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F6" i="17" s="1"/>
  <c r="R35" i="18"/>
  <c r="Q35" i="18"/>
  <c r="P35" i="18"/>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D6" i="17"/>
  <c r="D8" i="17" s="1"/>
  <c r="D12" i="17" s="1"/>
  <c r="E54"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29" i="20"/>
  <c r="C17" i="19"/>
  <c r="C19" i="19" s="1"/>
  <c r="D39" i="14" s="1"/>
  <c r="C56" i="22"/>
  <c r="C58" i="22" s="1"/>
  <c r="D49" i="14" s="1"/>
  <c r="D52" i="14" s="1"/>
  <c r="C17" i="49"/>
  <c r="C10" i="13"/>
  <c r="C12" i="13" s="1"/>
  <c r="D41" i="14" s="1"/>
  <c r="D46" i="14" s="1"/>
  <c r="D61" i="14" s="1"/>
  <c r="D63" i="14" s="1"/>
  <c r="C20" i="16"/>
  <c r="C22" i="16" s="1"/>
  <c r="D43" i="14" s="1"/>
  <c r="C22" i="59"/>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<sst xmlns="http://schemas.openxmlformats.org/spreadsheetml/2006/main" count="2472" uniqueCount="900">
  <si>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</si>
  <si>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</si>
  <si>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</si>
  <si>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</si>
  <si>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</si>
  <si>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</si>
  <si>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</si>
  <si>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</si>
  <si>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</si>
  <si>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</si>
  <si>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</si>
  <si>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</si>
  <si>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</si>
  <si>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</si>
  <si>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</si>
  <si>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</si>
  <si>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</si>
  <si>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</si>
  <si>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</si>
  <si>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</si>
  <si>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</si>
  <si>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</si>
  <si>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</si>
  <si>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</si>
  <si>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</si>
  <si>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</si>
  <si>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</si>
  <si>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</si>
  <si>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</si>
  <si>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</si>
  <si>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</si>
  <si>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</si>
  <si>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</si>
  <si>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</si>
  <si>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</si>
  <si>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</si>
  <si>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</si>
  <si>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</si>
  <si>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</si>
  <si>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</si>
  <si>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</si>
  <si>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</si>
  <si>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</si>
  <si>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</si>
  <si>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</si>
  <si>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</si>
  <si>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</si>
  <si>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</si>
  <si>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</si>
  <si>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</si>
  <si>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</si>
  <si>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</si>
  <si>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</si>
  <si>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</si>
  <si>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</si>
  <si>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</si>
  <si>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</si>
  <si>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</si>
  <si>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</si>
  <si>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</si>
  <si>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</si>
  <si>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</si>
  <si>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</si>
  <si>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</si>
  <si>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</si>
  <si>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</si>
  <si>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</si>
  <si>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</si>
  <si>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</si>
  <si>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</si>
  <si>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</si>
  <si>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</si>
  <si>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</si>
  <si>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</si>
  <si>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</si>
  <si>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</si>
  <si>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</si>
  <si>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</si>
  <si>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</si>
  <si>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</si>
  <si>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</si>
  <si>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</si>
  <si>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</si>
  <si>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</si>
  <si>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</si>
  <si>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</si>
  <si>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</si>
  <si>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</si>
  <si>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</si>
  <si>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</si>
  <si>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</si>
  <si>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</si>
  <si>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</si>
  <si>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</si>
  <si>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</si>
  <si>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</si>
  <si>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</si>
  <si>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</si>
  <si>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</si>
  <si>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</si>
  <si>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</si>
  <si>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</si>
  <si>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</si>
  <si>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</si>
  <si>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</si>
  <si>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</si>
  <si>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</si>
  <si>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</si>
  <si>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</si>
  <si>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</si>
  <si>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</si>
  <si>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</si>
  <si>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</si>
  <si>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</si>
  <si>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</si>
  <si>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</si>
  <si>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</si>
  <si>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</si>
  <si>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</si>
  <si>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</si>
  <si>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</si>
  <si>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</si>
  <si>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</si>
  <si>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</si>
  <si>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</si>
  <si>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</si>
  <si>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</si>
  <si>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</si>
  <si>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</si>
  <si>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</si>
  <si>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</si>
  <si>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</si>
  <si>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</si>
  <si>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</si>
  <si>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</si>
  <si>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</si>
  <si>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</si>
  <si>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</si>
  <si>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</si>
  <si>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</si>
  <si>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</si>
  <si>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</si>
  <si>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</si>
  <si>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</si>
  <si>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</si>
  <si>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</si>
  <si>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</si>
  <si>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</si>
  <si>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</si>
  <si>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</si>
  <si>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</si>
  <si>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</si>
  <si>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</si>
  <si>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</si>
  <si>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</si>
  <si>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</si>
  <si>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</si>
  <si>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</si>
  <si>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</si>
  <si>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</si>
  <si>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</si>
  <si>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</si>
  <si>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</si>
  <si>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</si>
  <si>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</si>
  <si>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</si>
  <si>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</si>
  <si>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</si>
  <si>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</si>
  <si>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</si>
  <si>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</si>
  <si>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</si>
  <si>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</si>
  <si>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</si>
  <si>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</si>
  <si>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</si>
  <si>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</si>
  <si>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</si>
  <si>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</si>
  <si>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</si>
  <si>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</si>
  <si>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</si>
  <si>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</si>
  <si>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</si>
  <si>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</si>
  <si>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</si>
  <si>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</si>
  <si>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</si>
  <si>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</si>
  <si>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</si>
  <si>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</si>
  <si>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</si>
  <si>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</si>
  <si>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</si>
  <si>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</si>
  <si>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</si>
  <si>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</si>
  <si>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</si>
  <si>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</si>
  <si>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</si>
  <si>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</si>
  <si>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</si>
  <si>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</si>
  <si>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</si>
  <si>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</si>
  <si>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</si>
  <si>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</si>
  <si>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</si>
  <si>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</si>
  <si>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</si>
  <si>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</si>
  <si>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</si>
  <si>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</si>
  <si>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</si>
  <si>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</si>
  <si>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</si>
  <si>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</si>
  <si>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</si>
  <si>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</si>
  <si>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</si>
  <si>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</si>
  <si>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</si>
  <si>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</si>
  <si>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</si>
  <si>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</si>
  <si>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</si>
  <si>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</si>
  <si>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</si>
  <si>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</si>
  <si>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</si>
  <si>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</si>
  <si>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</si>
  <si>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</si>
  <si>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</si>
  <si>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</si>
  <si>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</si>
  <si>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</si>
  <si>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</si>
  <si>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</si>
  <si>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</si>
  <si>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</si>
  <si>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</si>
  <si>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</si>
  <si>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</si>
  <si>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</si>
  <si>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</si>
  <si>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</si>
  <si>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</si>
  <si>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</si>
  <si>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</si>
  <si>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</si>
  <si>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</si>
  <si>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</si>
  <si>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</si>
  <si>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</si>
  <si>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</si>
  <si>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</si>
  <si>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</si>
  <si>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</si>
  <si>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</si>
  <si>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</si>
  <si>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</si>
  <si>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</si>
  <si>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</si>
  <si>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</si>
  <si>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</si>
  <si>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</si>
  <si>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</si>
  <si>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</si>
  <si>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</si>
  <si>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</si>
  <si>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</si>
  <si>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</si>
  <si>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</si>
  <si>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</si>
  <si>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</si>
  <si>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</si>
  <si>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</si>
  <si>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</si>
  <si>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</si>
  <si>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</si>
  <si>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</si>
  <si>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</si>
  <si>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</si>
  <si>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</si>
  <si>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</si>
  <si>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</si>
  <si>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</si>
  <si>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</si>
  <si>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</si>
  <si>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</si>
  <si>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</si>
  <si>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</si>
  <si>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</si>
  <si>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</si>
  <si>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</si>
  <si>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</si>
  <si>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</si>
  <si>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</si>
  <si>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</si>
  <si>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</si>
  <si>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</si>
  <si>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</si>
  <si>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</si>
  <si>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</si>
  <si>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</si>
  <si>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</si>
  <si>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</si>
  <si>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</si>
  <si>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</si>
  <si>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</si>
  <si>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</si>
  <si>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</si>
  <si>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</si>
  <si>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</si>
  <si>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</si>
  <si>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</si>
  <si>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</si>
  <si>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</si>
  <si>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</si>
  <si>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</si>
  <si>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</si>
  <si>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</si>
  <si>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</si>
  <si>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</si>
  <si>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</si>
  <si>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</si>
  <si>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</si>
  <si>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</si>
  <si>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</si>
  <si>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</si>
  <si>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</si>
  <si>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</si>
  <si>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</si>
  <si>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</si>
  <si>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</si>
  <si>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</si>
  <si>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</si>
  <si>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</si>
  <si>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</si>
  <si>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</si>
  <si>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</si>
  <si>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</si>
  <si>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</si>
  <si>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</si>
  <si>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</si>
  <si>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</si>
  <si>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</si>
  <si>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</si>
  <si>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</si>
  <si>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</si>
  <si>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</si>
  <si>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</si>
  <si>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</si>
  <si>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</si>
  <si>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</si>
  <si>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</si>
  <si>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</si>
  <si>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</si>
  <si>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</si>
  <si>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</si>
  <si>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</si>
  <si>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</si>
  <si>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</si>
  <si>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</si>
  <si>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</si>
  <si>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</si>
  <si>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</si>
  <si>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</si>
  <si>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</si>
  <si>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</si>
  <si>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</si>
  <si>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</si>
  <si>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</si>
  <si>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</si>
  <si>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</si>
  <si>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</si>
  <si>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</si>
  <si>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</si>
  <si>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</si>
  <si>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</si>
  <si>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</si>
  <si>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</si>
  <si>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</si>
  <si>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</si>
  <si>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</si>
  <si>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</si>
  <si>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</si>
  <si>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</si>
  <si>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</si>
  <si>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</si>
  <si>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</si>
  <si>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</si>
  <si>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</si>
  <si>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</si>
  <si>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</si>
  <si>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</si>
  <si>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</si>
  <si>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</si>
  <si>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</si>
  <si>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</si>
  <si>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</si>
  <si>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</si>
  <si>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</si>
  <si>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</si>
  <si>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</si>
  <si>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</si>
  <si>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</si>
  <si>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</si>
  <si>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</si>
  <si>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</si>
  <si>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</si>
  <si>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</si>
  <si>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</si>
  <si>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</si>
  <si>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</si>
  <si>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</si>
  <si>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</si>
  <si>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</si>
  <si>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</si>
  <si>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</si>
  <si>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</si>
  <si>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</si>
  <si>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</si>
  <si>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</si>
  <si>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</si>
  <si>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</si>
  <si>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</si>
  <si>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</si>
  <si>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</si>
  <si>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</si>
  <si>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</si>
  <si>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</si>
  <si>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</si>
  <si>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</si>
  <si>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</si>
  <si>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</si>
  <si>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</si>
  <si>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</si>
  <si>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</si>
  <si>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</si>
  <si>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</si>
  <si>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</si>
  <si>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</si>
  <si>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</si>
  <si>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</si>
  <si>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</si>
  <si>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</si>
  <si>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</si>
  <si>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</si>
  <si>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</si>
  <si>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</si>
  <si>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</si>
  <si>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</si>
  <si>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</si>
  <si>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</si>
  <si>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</si>
  <si>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</si>
  <si>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</si>
  <si>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</si>
  <si>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</si>
  <si>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</si>
  <si>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</si>
  <si>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</si>
  <si>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</si>
  <si>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</si>
  <si>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</si>
  <si>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</si>
  <si>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</si>
  <si>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</si>
  <si>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</si>
  <si>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</si>
  <si>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</si>
  <si>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</si>
  <si>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</si>
  <si>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</si>
  <si>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</si>
  <si>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</si>
  <si>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</si>
  <si>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</si>
  <si>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</si>
  <si>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</si>
  <si>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</si>
  <si>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</si>
  <si>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</si>
  <si>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</si>
  <si>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</si>
  <si>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</si>
  <si>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</si>
  <si>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</si>
  <si>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</si>
  <si>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</si>
  <si>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</si>
  <si>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</si>
  <si>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</si>
  <si>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</si>
  <si>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</si>
  <si>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</si>
  <si>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</si>
  <si>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</si>
  <si>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</si>
  <si>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</si>
  <si>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</si>
  <si>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</si>
  <si>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</si>
  <si>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</si>
  <si>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</si>
  <si>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</si>
  <si>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</si>
  <si>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</si>
  <si>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</si>
  <si>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</si>
  <si>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</si>
  <si>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</si>
  <si>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</si>
  <si>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</si>
  <si>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</si>
  <si>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</si>
  <si>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</si>
  <si>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</si>
  <si>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</si>
  <si>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</si>
  <si>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</si>
  <si>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</si>
  <si>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</si>
  <si>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</si>
  <si>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</si>
  <si>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</si>
  <si>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</si>
  <si>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</si>
  <si>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</si>
  <si>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</si>
  <si>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</si>
  <si>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</si>
  <si>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</si>
  <si>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</si>
  <si>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</si>
  <si>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</si>
  <si>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</si>
  <si>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</si>
  <si>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</si>
  <si>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</si>
  <si>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</si>
  <si>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</si>
  <si>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</si>
  <si>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</si>
  <si>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</si>
  <si>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</si>
  <si>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</si>
  <si>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</si>
  <si>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</si>
  <si>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</si>
  <si>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</si>
  <si>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</si>
  <si>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</si>
  <si>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</si>
  <si>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</si>
  <si>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</si>
  <si>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</si>
  <si>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</si>
  <si>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</si>
  <si>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</si>
  <si>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</si>
  <si>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</si>
  <si>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</si>
  <si>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</si>
  <si>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</si>
  <si>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</si>
  <si>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</si>
  <si>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</si>
  <si>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</si>
  <si>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</si>
  <si>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</si>
  <si>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</si>
  <si>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</si>
  <si>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</si>
  <si>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</si>
  <si>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</si>
  <si>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</si>
  <si>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</si>
  <si>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</si>
  <si>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</si>
  <si>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</si>
  <si>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</si>
  <si>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</si>
  <si>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</si>
  <si>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</si>
  <si>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</si>
  <si>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</si>
  <si>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</si>
  <si>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</si>
  <si>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</si>
  <si>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</si>
  <si>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</si>
  <si>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</si>
  <si>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</si>
  <si>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</si>
  <si>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</si>
  <si>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</si>
  <si>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</si>
  <si>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</si>
  <si>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</si>
  <si>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</si>
  <si>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</si>
  <si>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</si>
  <si>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</si>
  <si>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</si>
  <si>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</si>
  <si>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</si>
  <si>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</si>
  <si>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</si>
  <si>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</si>
  <si>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</si>
  <si>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</si>
  <si>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</si>
  <si>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</si>
  <si>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</si>
  <si>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</si>
  <si>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</si>
  <si>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</si>
  <si>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</si>
  <si>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</si>
  <si>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</si>
  <si>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</si>
  <si>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</si>
  <si>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</si>
  <si>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</si>
  <si>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</si>
  <si>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</si>
  <si>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</si>
  <si>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</si>
  <si>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</si>
  <si>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</si>
  <si>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</si>
  <si>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</si>
  <si>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</si>
  <si>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</si>
  <si>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</si>
  <si>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</si>
  <si>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</si>
  <si>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</si>
  <si>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</si>
  <si>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</si>
  <si>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</si>
  <si>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</si>
  <si>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</si>
  <si>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</si>
  <si>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</si>
  <si>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</si>
  <si>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</si>
  <si>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</si>
  <si>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</si>
  <si>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</si>
  <si>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</si>
  <si>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</si>
  <si>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</si>
  <si>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</si>
  <si>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</si>
  <si>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</si>
  <si>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</si>
  <si>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</si>
  <si>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</si>
  <si>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</si>
  <si>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</si>
  <si>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</si>
  <si>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</si>
  <si>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</si>
  <si>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</si>
  <si>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</si>
  <si>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</si>
  <si>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</si>
  <si>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</si>
  <si>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</si>
  <si>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</si>
  <si>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</si>
  <si>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</si>
  <si>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</si>
  <si>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</si>
  <si>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</si>
  <si>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</si>
  <si>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</si>
  <si>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</si>
  <si>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</si>
  <si>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</si>
  <si>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</si>
  <si>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</si>
  <si>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</si>
  <si>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</si>
  <si>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</si>
  <si>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</si>
  <si>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</si>
  <si>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</si>
  <si>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</si>
  <si>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</si>
  <si>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</si>
  <si>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</si>
  <si>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</si>
  <si>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</si>
  <si>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</si>
  <si>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</si>
  <si>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</si>
  <si>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</si>
  <si>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</si>
  <si>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</si>
  <si>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</si>
  <si>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</si>
  <si>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</si>
  <si>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</si>
  <si>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</si>
  <si>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</si>
  <si>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</si>
  <si>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</si>
  <si>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</si>
  <si>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</si>
  <si>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</si>
  <si>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</si>
  <si>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</si>
  <si>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</si>
  <si>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</si>
  <si>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</si>
  <si>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</si>
  <si>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</si>
  <si>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</si>
  <si>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</si>
  <si>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</si>
  <si>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</si>
  <si>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</si>
  <si>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</si>
  <si>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</si>
  <si>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</si>
  <si>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</si>
  <si>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</si>
  <si>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</si>
  <si>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</si>
  <si>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</si>
  <si>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</si>
  <si>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</si>
  <si>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</si>
  <si>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</si>
  <si>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</si>
  <si>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</si>
  <si>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</si>
  <si>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</si>
  <si>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</si>
  <si>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</si>
  <si>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</si>
  <si>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</si>
  <si>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</si>
  <si>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</si>
  <si>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</si>
  <si>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</si>
  <si>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</si>
  <si>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</si>
  <si>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</si>
  <si>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</si>
  <si>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</si>
  <si>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</si>
  <si>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</si>
  <si>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</si>
  <si>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</si>
  <si>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</si>
  <si>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</si>
  <si>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</si>
  <si>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</si>
  <si>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</si>
  <si>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</si>
  <si>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</si>
  <si>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</si>
  <si>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</si>
  <si>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</si>
  <si>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</si>
  <si>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</si>
  <si>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</si>
  <si>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</si>
  <si>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</si>
  <si>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</si>
  <si>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</si>
  <si>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</si>
  <si>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</si>
  <si>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</si>
  <si>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</si>
  <si>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</si>
  <si>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</si>
  <si>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</si>
  <si>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</si>
  <si>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</si>
  <si>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</si>
  <si>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</si>
  <si>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</si>
  <si>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</si>
  <si>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</si>
  <si>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</si>
  <si>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</si>
  <si>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</si>
  <si>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</si>
  <si>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</si>
  <si>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</si>
  <si>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</si>
  <si>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</si>
  <si>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</si>
  <si>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</si>
  <si>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</si>
  <si>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</si>
  <si>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</si>
  <si>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</si>
  <si>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</si>
  <si>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</si>
  <si>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</si>
  <si>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</si>
  <si>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</si>
  <si>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</si>
  <si>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</si>
  <si>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</si>
  <si>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</si>
  <si>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</si>
  <si>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</si>
  <si>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</si>
  <si>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</si>
  <si>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</si>
  <si>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</si>
  <si>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</si>
  <si>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</si>
  <si>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</si>
  <si>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</si>
  <si>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</si>
  <si>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</si>
  <si>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</si>
  <si>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</si>
  <si>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</si>
  <si>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</si>
  <si>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</si>
  <si>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</si>
  <si>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</si>
  <si>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</si>
  <si>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</si>
  <si>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</si>
  <si>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</si>
  <si>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</si>
  <si>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</si>
  <si>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</si>
  <si>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</si>
  <si>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</si>
  <si>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</si>
  <si>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</si>
  <si>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</si>
  <si>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</si>
  <si>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</si>
  <si>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</si>
  <si>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</si>
  <si>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</si>
  <si>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</si>
  <si>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</si>
  <si>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</si>
  <si>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</si>
  <si>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</si>
  <si>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</si>
  <si>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</si>
  <si>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</si>
  <si>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</si>
  <si>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</si>
  <si>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</si>
  <si>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</si>
  <si>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</si>
  <si>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</si>
  <si>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</si>
  <si>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</si>
  <si>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</si>
  <si>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</si>
  <si>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</si>
  <si>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</si>
  <si>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72039</t>
  </si>
  <si>
    <t>HOUTHALEN-HELCHTEREN</t>
  </si>
  <si>
    <t>referentietaak LNE (2017); Jaarverslag De Lijn</t>
  </si>
  <si>
    <t>waterkracht</t>
  </si>
  <si>
    <t>STORG bvba</t>
  </si>
  <si>
    <t>Peersedijk 3, 3530 Helchteren</t>
  </si>
  <si>
    <t xml:space="preserve">WKK-0174 Storg </t>
  </si>
  <si>
    <t>interne verbrandingsmotor</t>
  </si>
  <si>
    <t>WKK interne verbrandinsgmotor (gas)</t>
  </si>
  <si>
    <t>Inter-Energa</t>
  </si>
  <si>
    <t>Heraeus Electro-Nite International NV</t>
  </si>
  <si>
    <t>Centrum-Zuid 1105 , 3530 Houthalen</t>
  </si>
  <si>
    <t>WKK-0599 Heraeus Electro-Nite International</t>
  </si>
  <si>
    <t>Timmers</t>
  </si>
  <si>
    <t>WKK-0845</t>
  </si>
  <si>
    <t>Brandstofcel</t>
  </si>
  <si>
    <t>brandstofcel</t>
  </si>
  <si>
    <t>Maasveld 4</t>
  </si>
  <si>
    <t>Inter-energa (via INFRAX)</t>
  </si>
  <si>
    <t>Storg II</t>
  </si>
  <si>
    <t>WKK-0791</t>
  </si>
  <si>
    <t>Interne verbrandingsmotor</t>
  </si>
  <si>
    <t>Peersedijk 3</t>
  </si>
  <si>
    <t>IVEKA (via EANDIS)</t>
  </si>
  <si>
    <t>REMO Milieubeheer NV</t>
  </si>
  <si>
    <t>Ekkelgaarden 16 , 3500 Hasselt</t>
  </si>
  <si>
    <t>BGS-0013 REMO (GSC rest)</t>
  </si>
  <si>
    <t>biogas - stortgas</t>
  </si>
  <si>
    <t>niet WKK interne verbrandingsmotor (gas)</t>
  </si>
  <si>
    <t>Loerstraat - , 3530 Houthalen-Helchteren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</si>
</sst>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231163.16281769474</c:v>
                </c:pt>
                <c:pt idx="1">
                  <c:v>136990.63668065294</c:v>
                </c:pt>
                <c:pt idx="2">
                  <c:v>1715.468537</c:v>
                </c:pt>
                <c:pt idx="3">
                  <c:v>20796.377734448361</c:v>
                </c:pt>
                <c:pt idx="4">
                  <c:v>64787.425511817128</c:v>
                </c:pt>
                <c:pt idx="5">
                  <c:v>220321.16497589307</c:v>
                </c:pt>
                <c:pt idx="6">
                  <c:v>3815.6004571708004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231163.16281769474</c:v>
                </c:pt>
                <c:pt idx="1">
                  <c:v>136990.63668065294</c:v>
                </c:pt>
                <c:pt idx="2">
                  <c:v>1715.468537</c:v>
                </c:pt>
                <c:pt idx="3">
                  <c:v>20796.377734448361</c:v>
                </c:pt>
                <c:pt idx="4">
                  <c:v>64787.425511817128</c:v>
                </c:pt>
                <c:pt idx="5">
                  <c:v>220321.16497589307</c:v>
                </c:pt>
                <c:pt idx="6">
                  <c:v>3815.6004571708004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45476.961273055618</c:v>
                </c:pt>
                <c:pt idx="1">
                  <c:v>24780.718652975527</c:v>
                </c:pt>
                <c:pt idx="2">
                  <c:v>261.91104593532771</c:v>
                </c:pt>
                <c:pt idx="3">
                  <c:v>1762.8569739492077</c:v>
                </c:pt>
                <c:pt idx="4">
                  <c:v>11523.674390248603</c:v>
                </c:pt>
                <c:pt idx="5">
                  <c:v>54559.466061203879</c:v>
                </c:pt>
                <c:pt idx="6">
                  <c:v>957.77807260178929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45476.961273055618</c:v>
                </c:pt>
                <c:pt idx="1">
                  <c:v>24780.718652975527</c:v>
                </c:pt>
                <c:pt idx="2">
                  <c:v>261.91104593532771</c:v>
                </c:pt>
                <c:pt idx="3">
                  <c:v>1762.8569739492077</c:v>
                </c:pt>
                <c:pt idx="4">
                  <c:v>11523.674390248603</c:v>
                </c:pt>
                <c:pt idx="5">
                  <c:v>54559.466061203879</c:v>
                </c:pt>
                <c:pt idx="6">
                  <c:v>957.77807260178929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72039</v>
      </c>
      <c r="B6" s="386"/>
      <c r="C6" s="387"/>
    </row>
    <row r="7" spans="1:7" s="384" customFormat="1" ht="15.75" customHeight="1">
      <c r="A7" s="388" t="str">
        <f>txtMunicipality</f>
        <v>HOUTHALEN-HELCHTEREN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71141.943843000001</v>
      </c>
      <c r="D10" s="683">
        <f ca="1">tertiair!C16</f>
        <v>7512.1756756756758</v>
      </c>
      <c r="E10" s="683">
        <f ca="1">tertiair!D16</f>
        <v>34838.14206329803</v>
      </c>
      <c r="F10" s="683">
        <f>tertiair!E16</f>
        <v>394.61185428578966</v>
      </c>
      <c r="G10" s="683">
        <f ca="1">tertiair!F16</f>
        <v>24388.880556850792</v>
      </c>
      <c r="H10" s="683">
        <f>tertiair!G16</f>
        <v>0</v>
      </c>
      <c r="I10" s="683">
        <f>tertiair!H16</f>
        <v>0</v>
      </c>
      <c r="J10" s="683">
        <f>tertiair!I16</f>
        <v>0</v>
      </c>
      <c r="K10" s="683">
        <f>tertiair!J16</f>
        <v>0.24359655901779204</v>
      </c>
      <c r="L10" s="683">
        <f>tertiair!K16</f>
        <v>0</v>
      </c>
      <c r="M10" s="683">
        <f ca="1">tertiair!L16</f>
        <v>0</v>
      </c>
      <c r="N10" s="683">
        <f>tertiair!M16</f>
        <v>0</v>
      </c>
      <c r="O10" s="683">
        <f ca="1">tertiair!N16</f>
        <v>0</v>
      </c>
      <c r="P10" s="683">
        <f>tertiair!O16</f>
        <v>9.7945215316823084</v>
      </c>
      <c r="Q10" s="684">
        <f>tertiair!P16</f>
        <v>420.31310645196015</v>
      </c>
      <c r="R10" s="686">
        <f ca="1">SUM(C10:Q10)</f>
        <v>138706.10521765295</v>
      </c>
      <c r="S10" s="67"/>
    </row>
    <row r="11" spans="1:19" s="445" customFormat="1">
      <c r="A11" s="804" t="s">
        <v>220</v>
      </c>
      <c r="B11" s="809"/>
      <c r="C11" s="683">
        <f>huishoudens!B8</f>
        <v>46572.102812786296</v>
      </c>
      <c r="D11" s="683">
        <f>huishoudens!C8</f>
        <v>0</v>
      </c>
      <c r="E11" s="683">
        <f>huishoudens!D8</f>
        <v>90960.063220865995</v>
      </c>
      <c r="F11" s="683">
        <f>huishoudens!E8</f>
        <v>3266.6229809658421</v>
      </c>
      <c r="G11" s="683">
        <f>huishoudens!F8</f>
        <v>71560.620227921769</v>
      </c>
      <c r="H11" s="683">
        <f>huishoudens!G8</f>
        <v>0</v>
      </c>
      <c r="I11" s="683">
        <f>huishoudens!H8</f>
        <v>0</v>
      </c>
      <c r="J11" s="683">
        <f>huishoudens!I8</f>
        <v>0</v>
      </c>
      <c r="K11" s="683">
        <f>huishoudens!J8</f>
        <v>407.83180153290306</v>
      </c>
      <c r="L11" s="683">
        <f>huishoudens!K8</f>
        <v>0</v>
      </c>
      <c r="M11" s="683">
        <f>huishoudens!L8</f>
        <v>0</v>
      </c>
      <c r="N11" s="683">
        <f>huishoudens!M8</f>
        <v>0</v>
      </c>
      <c r="O11" s="683">
        <f>huishoudens!N8</f>
        <v>16106.423164450902</v>
      </c>
      <c r="P11" s="683">
        <f>huishoudens!O8</f>
        <v>962.21973640271051</v>
      </c>
      <c r="Q11" s="684">
        <f>huishoudens!P8</f>
        <v>1327.2788727683128</v>
      </c>
      <c r="R11" s="686">
        <f>SUM(C11:Q11)</f>
        <v>231163.16281769474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26454.048347</v>
      </c>
      <c r="D13" s="683">
        <f>industrie!C18</f>
        <v>900.00000000000023</v>
      </c>
      <c r="E13" s="683">
        <f>industrie!D18</f>
        <v>28374.231316971003</v>
      </c>
      <c r="F13" s="683">
        <f>industrie!E18</f>
        <v>509.20650547400334</v>
      </c>
      <c r="G13" s="683">
        <f>industrie!F18</f>
        <v>5690.3655877523934</v>
      </c>
      <c r="H13" s="683">
        <f>industrie!G18</f>
        <v>0</v>
      </c>
      <c r="I13" s="683">
        <f>industrie!H18</f>
        <v>0</v>
      </c>
      <c r="J13" s="683">
        <f>industrie!I18</f>
        <v>0</v>
      </c>
      <c r="K13" s="683">
        <f>industrie!J18</f>
        <v>150.58740859197647</v>
      </c>
      <c r="L13" s="683">
        <f>industrie!K18</f>
        <v>0</v>
      </c>
      <c r="M13" s="683">
        <f>industrie!L18</f>
        <v>0</v>
      </c>
      <c r="N13" s="683">
        <f>industrie!M18</f>
        <v>0</v>
      </c>
      <c r="O13" s="683">
        <f>industrie!N18</f>
        <v>2708.9863460277561</v>
      </c>
      <c r="P13" s="683">
        <f>industrie!O18</f>
        <v>0</v>
      </c>
      <c r="Q13" s="684">
        <f>industrie!P18</f>
        <v>0</v>
      </c>
      <c r="R13" s="686">
        <f>SUM(C13:Q13)</f>
        <v>64787.425511817128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144168.09500278629</v>
      </c>
      <c r="D16" s="719">
        <f t="shared" ref="D16:R16" ca="1" si="0">SUM(D9:D15)</f>
        <v>8412.1756756756768</v>
      </c>
      <c r="E16" s="719">
        <f t="shared" ca="1" si="0"/>
        <v>154172.43660113504</v>
      </c>
      <c r="F16" s="719">
        <f t="shared" si="0"/>
        <v>4170.4413407256352</v>
      </c>
      <c r="G16" s="719">
        <f t="shared" ca="1" si="0"/>
        <v>101639.86637252496</v>
      </c>
      <c r="H16" s="719">
        <f t="shared" si="0"/>
        <v>0</v>
      </c>
      <c r="I16" s="719">
        <f t="shared" si="0"/>
        <v>0</v>
      </c>
      <c r="J16" s="719">
        <f t="shared" si="0"/>
        <v>0</v>
      </c>
      <c r="K16" s="719">
        <f t="shared" si="0"/>
        <v>558.66280668389732</v>
      </c>
      <c r="L16" s="719">
        <f t="shared" si="0"/>
        <v>0</v>
      </c>
      <c r="M16" s="719">
        <f t="shared" ca="1" si="0"/>
        <v>0</v>
      </c>
      <c r="N16" s="719">
        <f t="shared" si="0"/>
        <v>0</v>
      </c>
      <c r="O16" s="719">
        <f t="shared" ca="1" si="0"/>
        <v>18815.409510478657</v>
      </c>
      <c r="P16" s="719">
        <f t="shared" si="0"/>
        <v>972.01425793439284</v>
      </c>
      <c r="Q16" s="719">
        <f t="shared" si="0"/>
        <v>1747.5919792202731</v>
      </c>
      <c r="R16" s="719">
        <f t="shared" ca="1" si="0"/>
        <v>434656.69354716479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56.781838721192607</v>
      </c>
      <c r="D19" s="683">
        <f>transport!C54</f>
        <v>0</v>
      </c>
      <c r="E19" s="683">
        <f>transport!D54</f>
        <v>0</v>
      </c>
      <c r="F19" s="683">
        <f>transport!E54</f>
        <v>0</v>
      </c>
      <c r="G19" s="683">
        <f>transport!F54</f>
        <v>0</v>
      </c>
      <c r="H19" s="683">
        <f>transport!G54</f>
        <v>3554.714767467794</v>
      </c>
      <c r="I19" s="683">
        <f>transport!H54</f>
        <v>0</v>
      </c>
      <c r="J19" s="683">
        <f>transport!I54</f>
        <v>0</v>
      </c>
      <c r="K19" s="683">
        <f>transport!J54</f>
        <v>0</v>
      </c>
      <c r="L19" s="683">
        <f>transport!K54</f>
        <v>0</v>
      </c>
      <c r="M19" s="683">
        <f>transport!L54</f>
        <v>0</v>
      </c>
      <c r="N19" s="683">
        <f>transport!M54</f>
        <v>204.10385098181371</v>
      </c>
      <c r="O19" s="683">
        <f>transport!N54</f>
        <v>0</v>
      </c>
      <c r="P19" s="683">
        <f>transport!O54</f>
        <v>0</v>
      </c>
      <c r="Q19" s="684">
        <f>transport!P54</f>
        <v>0</v>
      </c>
      <c r="R19" s="686">
        <f>SUM(C19:Q19)</f>
        <v>3815.6004571708004</v>
      </c>
      <c r="S19" s="67"/>
    </row>
    <row r="20" spans="1:19" s="445" customFormat="1">
      <c r="A20" s="804" t="s">
        <v>302</v>
      </c>
      <c r="B20" s="809"/>
      <c r="C20" s="683">
        <f>transport!B14</f>
        <v>520.11716983879535</v>
      </c>
      <c r="D20" s="683">
        <f>transport!C14</f>
        <v>0</v>
      </c>
      <c r="E20" s="683">
        <f>transport!D14</f>
        <v>913.79356550143962</v>
      </c>
      <c r="F20" s="683">
        <f>transport!E14</f>
        <v>371.05217661425468</v>
      </c>
      <c r="G20" s="683">
        <f>transport!F14</f>
        <v>0</v>
      </c>
      <c r="H20" s="683">
        <f>transport!G14</f>
        <v>161011.06012873631</v>
      </c>
      <c r="I20" s="683">
        <f>transport!H14</f>
        <v>45065.415266925214</v>
      </c>
      <c r="J20" s="683">
        <f>transport!I14</f>
        <v>0</v>
      </c>
      <c r="K20" s="683">
        <f>transport!J14</f>
        <v>0</v>
      </c>
      <c r="L20" s="683">
        <f>transport!K14</f>
        <v>0</v>
      </c>
      <c r="M20" s="683">
        <f>transport!L14</f>
        <v>0</v>
      </c>
      <c r="N20" s="683">
        <f>transport!M14</f>
        <v>12439.726668277061</v>
      </c>
      <c r="O20" s="683">
        <f>transport!N14</f>
        <v>0</v>
      </c>
      <c r="P20" s="683">
        <f>transport!O14</f>
        <v>0</v>
      </c>
      <c r="Q20" s="684">
        <f>transport!P14</f>
        <v>0</v>
      </c>
      <c r="R20" s="686">
        <f>SUM(C20:Q20)</f>
        <v>220321.16497589307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576.89900855998792</v>
      </c>
      <c r="D22" s="807">
        <f t="shared" ref="D22:R22" si="1">SUM(D18:D21)</f>
        <v>0</v>
      </c>
      <c r="E22" s="807">
        <f t="shared" si="1"/>
        <v>913.79356550143962</v>
      </c>
      <c r="F22" s="807">
        <f t="shared" si="1"/>
        <v>371.05217661425468</v>
      </c>
      <c r="G22" s="807">
        <f t="shared" si="1"/>
        <v>0</v>
      </c>
      <c r="H22" s="807">
        <f t="shared" si="1"/>
        <v>164565.77489620409</v>
      </c>
      <c r="I22" s="807">
        <f t="shared" si="1"/>
        <v>45065.415266925214</v>
      </c>
      <c r="J22" s="807">
        <f t="shared" si="1"/>
        <v>0</v>
      </c>
      <c r="K22" s="807">
        <f t="shared" si="1"/>
        <v>0</v>
      </c>
      <c r="L22" s="807">
        <f t="shared" si="1"/>
        <v>0</v>
      </c>
      <c r="M22" s="807">
        <f t="shared" si="1"/>
        <v>0</v>
      </c>
      <c r="N22" s="807">
        <f t="shared" si="1"/>
        <v>12643.830519258874</v>
      </c>
      <c r="O22" s="807">
        <f t="shared" si="1"/>
        <v>0</v>
      </c>
      <c r="P22" s="807">
        <f t="shared" si="1"/>
        <v>0</v>
      </c>
      <c r="Q22" s="807">
        <f t="shared" si="1"/>
        <v>0</v>
      </c>
      <c r="R22" s="807">
        <f t="shared" si="1"/>
        <v>224136.76543306388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336.29914299999996</v>
      </c>
      <c r="D24" s="683">
        <f>+landbouw!C8</f>
        <v>19285.714285714286</v>
      </c>
      <c r="E24" s="683">
        <f>+landbouw!D8</f>
        <v>14.672450583</v>
      </c>
      <c r="F24" s="683">
        <f>+landbouw!E8</f>
        <v>9.6321765778645645</v>
      </c>
      <c r="G24" s="683">
        <f>+landbouw!F8</f>
        <v>1064.5493671058291</v>
      </c>
      <c r="H24" s="683">
        <f>+landbouw!G8</f>
        <v>0</v>
      </c>
      <c r="I24" s="683">
        <f>+landbouw!H8</f>
        <v>0</v>
      </c>
      <c r="J24" s="683">
        <f>+landbouw!I8</f>
        <v>0</v>
      </c>
      <c r="K24" s="683">
        <f>+landbouw!J8</f>
        <v>85.510311467383289</v>
      </c>
      <c r="L24" s="683">
        <f>+landbouw!K8</f>
        <v>0</v>
      </c>
      <c r="M24" s="683">
        <f>+landbouw!L8</f>
        <v>0</v>
      </c>
      <c r="N24" s="683">
        <f>+landbouw!M8</f>
        <v>0</v>
      </c>
      <c r="O24" s="683">
        <f>+landbouw!N8</f>
        <v>0</v>
      </c>
      <c r="P24" s="683">
        <f>+landbouw!O8</f>
        <v>0</v>
      </c>
      <c r="Q24" s="684">
        <f>+landbouw!P8</f>
        <v>0</v>
      </c>
      <c r="R24" s="686">
        <f>SUM(C24:Q24)</f>
        <v>20796.377734448361</v>
      </c>
      <c r="S24" s="67"/>
    </row>
    <row r="25" spans="1:19" s="445" customFormat="1" ht="15" thickBot="1">
      <c r="A25" s="826" t="s">
        <v>696</v>
      </c>
      <c r="B25" s="939"/>
      <c r="C25" s="940">
        <f>IF(Onbekend_ele_kWh="---",0,Onbekend_ele_kWh)/1000+IF(REST_rest_ele_kWh="---",0,REST_rest_ele_kWh)/1000</f>
        <v>701.02980400000001</v>
      </c>
      <c r="D25" s="940"/>
      <c r="E25" s="940">
        <f>IF(onbekend_gas_kWh="---",0,onbekend_gas_kWh)/1000+IF(REST_rest_gas_kWh="---",0,REST_rest_gas_kWh)/1000</f>
        <v>2958.5371409999998</v>
      </c>
      <c r="F25" s="940"/>
      <c r="G25" s="940"/>
      <c r="H25" s="940"/>
      <c r="I25" s="940"/>
      <c r="J25" s="940"/>
      <c r="K25" s="940"/>
      <c r="L25" s="940"/>
      <c r="M25" s="940"/>
      <c r="N25" s="940"/>
      <c r="O25" s="940"/>
      <c r="P25" s="940"/>
      <c r="Q25" s="941"/>
      <c r="R25" s="686">
        <f>SUM(C25:Q25)</f>
        <v>3659.5669449999996</v>
      </c>
      <c r="S25" s="67"/>
    </row>
    <row r="26" spans="1:19" s="445" customFormat="1" ht="15.75" thickBot="1">
      <c r="A26" s="691" t="s">
        <v>697</v>
      </c>
      <c r="B26" s="812"/>
      <c r="C26" s="807">
        <f>SUM(C24:C25)</f>
        <v>1037.328947</v>
      </c>
      <c r="D26" s="807">
        <f t="shared" ref="D26:R26" si="2">SUM(D24:D25)</f>
        <v>19285.714285714286</v>
      </c>
      <c r="E26" s="807">
        <f t="shared" si="2"/>
        <v>2973.2095915829996</v>
      </c>
      <c r="F26" s="807">
        <f t="shared" si="2"/>
        <v>9.6321765778645645</v>
      </c>
      <c r="G26" s="807">
        <f t="shared" si="2"/>
        <v>1064.5493671058291</v>
      </c>
      <c r="H26" s="807">
        <f t="shared" si="2"/>
        <v>0</v>
      </c>
      <c r="I26" s="807">
        <f t="shared" si="2"/>
        <v>0</v>
      </c>
      <c r="J26" s="807">
        <f t="shared" si="2"/>
        <v>0</v>
      </c>
      <c r="K26" s="807">
        <f t="shared" si="2"/>
        <v>85.510311467383289</v>
      </c>
      <c r="L26" s="807">
        <f t="shared" si="2"/>
        <v>0</v>
      </c>
      <c r="M26" s="807">
        <f t="shared" si="2"/>
        <v>0</v>
      </c>
      <c r="N26" s="807">
        <f t="shared" si="2"/>
        <v>0</v>
      </c>
      <c r="O26" s="807">
        <f t="shared" si="2"/>
        <v>0</v>
      </c>
      <c r="P26" s="807">
        <f t="shared" si="2"/>
        <v>0</v>
      </c>
      <c r="Q26" s="807">
        <f t="shared" si="2"/>
        <v>0</v>
      </c>
      <c r="R26" s="807">
        <f t="shared" si="2"/>
        <v>24455.944679448359</v>
      </c>
      <c r="S26" s="67"/>
    </row>
    <row r="27" spans="1:19" s="445" customFormat="1" ht="17.25" thickTop="1" thickBot="1">
      <c r="A27" s="692" t="s">
        <v>115</v>
      </c>
      <c r="B27" s="799"/>
      <c r="C27" s="693">
        <f ca="1">C22+C16+C26</f>
        <v>145782.32295834628</v>
      </c>
      <c r="D27" s="693">
        <f t="shared" ref="D27:R27" ca="1" si="3">D22+D16+D26</f>
        <v>27697.889961389963</v>
      </c>
      <c r="E27" s="693">
        <f t="shared" ca="1" si="3"/>
        <v>158059.43975821947</v>
      </c>
      <c r="F27" s="693">
        <f t="shared" si="3"/>
        <v>4551.1256939177547</v>
      </c>
      <c r="G27" s="693">
        <f t="shared" ca="1" si="3"/>
        <v>102704.4157396308</v>
      </c>
      <c r="H27" s="693">
        <f t="shared" si="3"/>
        <v>164565.77489620409</v>
      </c>
      <c r="I27" s="693">
        <f t="shared" si="3"/>
        <v>45065.415266925214</v>
      </c>
      <c r="J27" s="693">
        <f t="shared" si="3"/>
        <v>0</v>
      </c>
      <c r="K27" s="693">
        <f t="shared" si="3"/>
        <v>644.17311815128062</v>
      </c>
      <c r="L27" s="693">
        <f t="shared" si="3"/>
        <v>0</v>
      </c>
      <c r="M27" s="693">
        <f t="shared" ca="1" si="3"/>
        <v>0</v>
      </c>
      <c r="N27" s="693">
        <f t="shared" si="3"/>
        <v>12643.830519258874</v>
      </c>
      <c r="O27" s="693">
        <f t="shared" ca="1" si="3"/>
        <v>18815.409510478657</v>
      </c>
      <c r="P27" s="693">
        <f t="shared" si="3"/>
        <v>972.01425793439284</v>
      </c>
      <c r="Q27" s="693">
        <f t="shared" si="3"/>
        <v>1747.5919792202731</v>
      </c>
      <c r="R27" s="693">
        <f t="shared" ca="1" si="3"/>
        <v>683249.40365967702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10861.674533755951</v>
      </c>
      <c r="D40" s="683">
        <f ca="1">tertiair!C20</f>
        <v>542.15623558476841</v>
      </c>
      <c r="E40" s="683">
        <f ca="1">tertiair!D20</f>
        <v>7037.3046967862028</v>
      </c>
      <c r="F40" s="683">
        <f>tertiair!E20</f>
        <v>89.576890922874256</v>
      </c>
      <c r="G40" s="683">
        <f ca="1">tertiair!F20</f>
        <v>6511.8311086791618</v>
      </c>
      <c r="H40" s="683">
        <f>tertiair!G20</f>
        <v>0</v>
      </c>
      <c r="I40" s="683">
        <f>tertiair!H20</f>
        <v>0</v>
      </c>
      <c r="J40" s="683">
        <f>tertiair!I20</f>
        <v>0</v>
      </c>
      <c r="K40" s="683">
        <f>tertiair!J20</f>
        <v>8.623318189229838E-2</v>
      </c>
      <c r="L40" s="683">
        <f>tertiair!K20</f>
        <v>0</v>
      </c>
      <c r="M40" s="683">
        <f ca="1">tertiair!L20</f>
        <v>0</v>
      </c>
      <c r="N40" s="683">
        <f>tertiair!M20</f>
        <v>0</v>
      </c>
      <c r="O40" s="683">
        <f ca="1">tertiair!N20</f>
        <v>0</v>
      </c>
      <c r="P40" s="683">
        <f>tertiair!O20</f>
        <v>0</v>
      </c>
      <c r="Q40" s="766">
        <f>tertiair!P20</f>
        <v>0</v>
      </c>
      <c r="R40" s="845">
        <f t="shared" ca="1" si="4"/>
        <v>25042.629698910852</v>
      </c>
    </row>
    <row r="41" spans="1:18">
      <c r="A41" s="817" t="s">
        <v>220</v>
      </c>
      <c r="B41" s="824"/>
      <c r="C41" s="683">
        <f ca="1">huishoudens!B12</f>
        <v>7110.4470271636792</v>
      </c>
      <c r="D41" s="683">
        <f ca="1">huishoudens!C12</f>
        <v>0</v>
      </c>
      <c r="E41" s="683">
        <f>huishoudens!D12</f>
        <v>18373.932770614931</v>
      </c>
      <c r="F41" s="683">
        <f>huishoudens!E12</f>
        <v>741.52341667924622</v>
      </c>
      <c r="G41" s="683">
        <f>huishoudens!F12</f>
        <v>19106.685600855115</v>
      </c>
      <c r="H41" s="683">
        <f>huishoudens!G12</f>
        <v>0</v>
      </c>
      <c r="I41" s="683">
        <f>huishoudens!H12</f>
        <v>0</v>
      </c>
      <c r="J41" s="683">
        <f>huishoudens!I12</f>
        <v>0</v>
      </c>
      <c r="K41" s="683">
        <f>huishoudens!J12</f>
        <v>144.37245774264767</v>
      </c>
      <c r="L41" s="683">
        <f>huishoudens!K12</f>
        <v>0</v>
      </c>
      <c r="M41" s="683">
        <f>huishoudens!L12</f>
        <v>0</v>
      </c>
      <c r="N41" s="683">
        <f>huishoudens!M12</f>
        <v>0</v>
      </c>
      <c r="O41" s="683">
        <f>huishoudens!N12</f>
        <v>0</v>
      </c>
      <c r="P41" s="683">
        <f>huishoudens!O12</f>
        <v>0</v>
      </c>
      <c r="Q41" s="766">
        <f>huishoudens!P12</f>
        <v>0</v>
      </c>
      <c r="R41" s="845">
        <f t="shared" ca="1" si="4"/>
        <v>45476.961273055618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4038.9009313474207</v>
      </c>
      <c r="D43" s="683">
        <f ca="1">industrie!C22</f>
        <v>64.953301558992663</v>
      </c>
      <c r="E43" s="683">
        <f>industrie!D22</f>
        <v>5731.5947260281428</v>
      </c>
      <c r="F43" s="683">
        <f>industrie!E22</f>
        <v>115.58987674259876</v>
      </c>
      <c r="G43" s="683">
        <f>industrie!F22</f>
        <v>1519.3276119298891</v>
      </c>
      <c r="H43" s="683">
        <f>industrie!G22</f>
        <v>0</v>
      </c>
      <c r="I43" s="683">
        <f>industrie!H22</f>
        <v>0</v>
      </c>
      <c r="J43" s="683">
        <f>industrie!I22</f>
        <v>0</v>
      </c>
      <c r="K43" s="683">
        <f>industrie!J22</f>
        <v>53.30794264155967</v>
      </c>
      <c r="L43" s="683">
        <f>industrie!K22</f>
        <v>0</v>
      </c>
      <c r="M43" s="683">
        <f>industrie!L22</f>
        <v>0</v>
      </c>
      <c r="N43" s="683">
        <f>industrie!M22</f>
        <v>0</v>
      </c>
      <c r="O43" s="683">
        <f>industrie!N22</f>
        <v>0</v>
      </c>
      <c r="P43" s="683">
        <f>industrie!O22</f>
        <v>0</v>
      </c>
      <c r="Q43" s="766">
        <f>industrie!P22</f>
        <v>0</v>
      </c>
      <c r="R43" s="844">
        <f t="shared" ca="1" si="4"/>
        <v>11523.674390248603</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22011.02249226705</v>
      </c>
      <c r="D46" s="719">
        <f t="shared" ref="D46:Q46" ca="1" si="5">SUM(D39:D45)</f>
        <v>607.10953714376103</v>
      </c>
      <c r="E46" s="719">
        <f t="shared" ca="1" si="5"/>
        <v>31142.832193429276</v>
      </c>
      <c r="F46" s="719">
        <f t="shared" si="5"/>
        <v>946.69018434471923</v>
      </c>
      <c r="G46" s="719">
        <f t="shared" ca="1" si="5"/>
        <v>27137.844321464167</v>
      </c>
      <c r="H46" s="719">
        <f t="shared" si="5"/>
        <v>0</v>
      </c>
      <c r="I46" s="719">
        <f t="shared" si="5"/>
        <v>0</v>
      </c>
      <c r="J46" s="719">
        <f t="shared" si="5"/>
        <v>0</v>
      </c>
      <c r="K46" s="719">
        <f t="shared" si="5"/>
        <v>197.76663356609964</v>
      </c>
      <c r="L46" s="719">
        <f t="shared" si="5"/>
        <v>0</v>
      </c>
      <c r="M46" s="719">
        <f t="shared" ca="1" si="5"/>
        <v>0</v>
      </c>
      <c r="N46" s="719">
        <f t="shared" si="5"/>
        <v>0</v>
      </c>
      <c r="O46" s="719">
        <f t="shared" ca="1" si="5"/>
        <v>0</v>
      </c>
      <c r="P46" s="719">
        <f t="shared" si="5"/>
        <v>0</v>
      </c>
      <c r="Q46" s="719">
        <f t="shared" si="5"/>
        <v>0</v>
      </c>
      <c r="R46" s="719">
        <f ca="1">SUM(R39:R45)</f>
        <v>82043.265362215083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8.6692296878882633</v>
      </c>
      <c r="D49" s="683">
        <f ca="1">transport!C58</f>
        <v>0</v>
      </c>
      <c r="E49" s="683">
        <f>transport!D58</f>
        <v>0</v>
      </c>
      <c r="F49" s="683">
        <f>transport!E58</f>
        <v>0</v>
      </c>
      <c r="G49" s="683">
        <f>transport!F58</f>
        <v>0</v>
      </c>
      <c r="H49" s="683">
        <f>transport!G58</f>
        <v>949.10884291390107</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957.77807260178929</v>
      </c>
    </row>
    <row r="50" spans="1:18">
      <c r="A50" s="820" t="s">
        <v>302</v>
      </c>
      <c r="B50" s="830"/>
      <c r="C50" s="689">
        <f ca="1">transport!B18</f>
        <v>79.409461044170328</v>
      </c>
      <c r="D50" s="689">
        <f>transport!C18</f>
        <v>0</v>
      </c>
      <c r="E50" s="689">
        <f>transport!D18</f>
        <v>184.58630023129081</v>
      </c>
      <c r="F50" s="689">
        <f>transport!E18</f>
        <v>84.228844091435818</v>
      </c>
      <c r="G50" s="689">
        <f>transport!F18</f>
        <v>0</v>
      </c>
      <c r="H50" s="689">
        <f>transport!G18</f>
        <v>42989.9530543726</v>
      </c>
      <c r="I50" s="689">
        <f>transport!H18</f>
        <v>11221.288401464379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54559.466061203879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88.07869073205859</v>
      </c>
      <c r="D52" s="719">
        <f t="shared" ref="D52:Q52" ca="1" si="6">SUM(D48:D51)</f>
        <v>0</v>
      </c>
      <c r="E52" s="719">
        <f t="shared" si="6"/>
        <v>184.58630023129081</v>
      </c>
      <c r="F52" s="719">
        <f t="shared" si="6"/>
        <v>84.228844091435818</v>
      </c>
      <c r="G52" s="719">
        <f t="shared" si="6"/>
        <v>0</v>
      </c>
      <c r="H52" s="719">
        <f t="shared" si="6"/>
        <v>43939.061897286498</v>
      </c>
      <c r="I52" s="719">
        <f t="shared" si="6"/>
        <v>11221.288401464379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55517.244133805667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51.344841593142156</v>
      </c>
      <c r="D54" s="689">
        <f ca="1">+landbouw!C12</f>
        <v>1391.856461978414</v>
      </c>
      <c r="E54" s="689">
        <f>+landbouw!D12</f>
        <v>2.9638350177660002</v>
      </c>
      <c r="F54" s="689">
        <f>+landbouw!E12</f>
        <v>2.1865040831752562</v>
      </c>
      <c r="G54" s="689">
        <f>+landbouw!F12</f>
        <v>284.23468101725638</v>
      </c>
      <c r="H54" s="689">
        <f>+landbouw!G12</f>
        <v>0</v>
      </c>
      <c r="I54" s="689">
        <f>+landbouw!H12</f>
        <v>0</v>
      </c>
      <c r="J54" s="689">
        <f>+landbouw!I12</f>
        <v>0</v>
      </c>
      <c r="K54" s="689">
        <f>+landbouw!J12</f>
        <v>30.270650259453681</v>
      </c>
      <c r="L54" s="689">
        <f>+landbouw!K12</f>
        <v>0</v>
      </c>
      <c r="M54" s="689">
        <f>+landbouw!L12</f>
        <v>0</v>
      </c>
      <c r="N54" s="689">
        <f>+landbouw!M12</f>
        <v>0</v>
      </c>
      <c r="O54" s="689">
        <f>+landbouw!N12</f>
        <v>0</v>
      </c>
      <c r="P54" s="689">
        <f>+landbouw!O12</f>
        <v>0</v>
      </c>
      <c r="Q54" s="690">
        <f>+landbouw!P12</f>
        <v>0</v>
      </c>
      <c r="R54" s="718">
        <f ca="1">SUM(C54:Q54)</f>
        <v>1762.8569739492077</v>
      </c>
    </row>
    <row r="55" spans="1:18" ht="15" thickBot="1">
      <c r="A55" s="820" t="s">
        <v>696</v>
      </c>
      <c r="B55" s="830"/>
      <c r="C55" s="689">
        <f ca="1">C25*'EF ele_warmte'!B12</f>
        <v>107.03049647215872</v>
      </c>
      <c r="D55" s="689"/>
      <c r="E55" s="689">
        <f>E25*EF_CO2_aardgas</f>
        <v>597.62450248200003</v>
      </c>
      <c r="F55" s="689"/>
      <c r="G55" s="689"/>
      <c r="H55" s="689"/>
      <c r="I55" s="689"/>
      <c r="J55" s="689"/>
      <c r="K55" s="689"/>
      <c r="L55" s="689"/>
      <c r="M55" s="689"/>
      <c r="N55" s="689"/>
      <c r="O55" s="689"/>
      <c r="P55" s="689"/>
      <c r="Q55" s="690"/>
      <c r="R55" s="718">
        <f ca="1">SUM(C55:Q55)</f>
        <v>704.65499895415871</v>
      </c>
    </row>
    <row r="56" spans="1:18" ht="15.75" thickBot="1">
      <c r="A56" s="818" t="s">
        <v>697</v>
      </c>
      <c r="B56" s="831"/>
      <c r="C56" s="719">
        <f ca="1">SUM(C54:C55)</f>
        <v>158.37533806530087</v>
      </c>
      <c r="D56" s="719">
        <f t="shared" ref="D56:Q56" ca="1" si="7">SUM(D54:D55)</f>
        <v>1391.856461978414</v>
      </c>
      <c r="E56" s="719">
        <f t="shared" si="7"/>
        <v>600.588337499766</v>
      </c>
      <c r="F56" s="719">
        <f t="shared" si="7"/>
        <v>2.1865040831752562</v>
      </c>
      <c r="G56" s="719">
        <f t="shared" si="7"/>
        <v>284.23468101725638</v>
      </c>
      <c r="H56" s="719">
        <f t="shared" si="7"/>
        <v>0</v>
      </c>
      <c r="I56" s="719">
        <f t="shared" si="7"/>
        <v>0</v>
      </c>
      <c r="J56" s="719">
        <f t="shared" si="7"/>
        <v>0</v>
      </c>
      <c r="K56" s="719">
        <f t="shared" si="7"/>
        <v>30.270650259453681</v>
      </c>
      <c r="L56" s="719">
        <f t="shared" si="7"/>
        <v>0</v>
      </c>
      <c r="M56" s="719">
        <f t="shared" si="7"/>
        <v>0</v>
      </c>
      <c r="N56" s="719">
        <f t="shared" si="7"/>
        <v>0</v>
      </c>
      <c r="O56" s="719">
        <f t="shared" si="7"/>
        <v>0</v>
      </c>
      <c r="P56" s="719">
        <f t="shared" si="7"/>
        <v>0</v>
      </c>
      <c r="Q56" s="720">
        <f t="shared" si="7"/>
        <v>0</v>
      </c>
      <c r="R56" s="721">
        <f ca="1">SUM(R54:R55)</f>
        <v>2467.5119729033663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22257.476521064407</v>
      </c>
      <c r="D61" s="727">
        <f t="shared" ref="D61:Q61" ca="1" si="8">D46+D52+D56</f>
        <v>1998.9659991221752</v>
      </c>
      <c r="E61" s="727">
        <f t="shared" ca="1" si="8"/>
        <v>31928.006831160332</v>
      </c>
      <c r="F61" s="727">
        <f t="shared" si="8"/>
        <v>1033.1055325193304</v>
      </c>
      <c r="G61" s="727">
        <f t="shared" ca="1" si="8"/>
        <v>27422.079002481423</v>
      </c>
      <c r="H61" s="727">
        <f t="shared" si="8"/>
        <v>43939.061897286498</v>
      </c>
      <c r="I61" s="727">
        <f t="shared" si="8"/>
        <v>11221.288401464379</v>
      </c>
      <c r="J61" s="727">
        <f t="shared" si="8"/>
        <v>0</v>
      </c>
      <c r="K61" s="727">
        <f t="shared" si="8"/>
        <v>228.03728382555332</v>
      </c>
      <c r="L61" s="727">
        <f t="shared" si="8"/>
        <v>0</v>
      </c>
      <c r="M61" s="727">
        <f t="shared" ca="1" si="8"/>
        <v>0</v>
      </c>
      <c r="N61" s="727">
        <f t="shared" si="8"/>
        <v>0</v>
      </c>
      <c r="O61" s="727">
        <f t="shared" ca="1" si="8"/>
        <v>0</v>
      </c>
      <c r="P61" s="727">
        <f t="shared" si="8"/>
        <v>0</v>
      </c>
      <c r="Q61" s="727">
        <f t="shared" si="8"/>
        <v>0</v>
      </c>
      <c r="R61" s="727">
        <f ca="1">R46+R52+R56</f>
        <v>140028.0214689241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0.15267610001950604</v>
      </c>
      <c r="D63" s="773">
        <f t="shared" ca="1" si="9"/>
        <v>7.2170335065547389E-2</v>
      </c>
      <c r="E63" s="965">
        <f t="shared" ca="1" si="9"/>
        <v>0.20199999999999999</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17680.318525558741</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13500.319924166122</v>
      </c>
      <c r="C76" s="740">
        <f>'lokale energieproductie'!B8*IFERROR(SUM(D76:H76)/SUM(D76:O76),0)</f>
        <v>5888.1800758338759</v>
      </c>
      <c r="D76" s="948">
        <f>'lokale energieproductie'!C8</f>
        <v>6927.1016901899284</v>
      </c>
      <c r="E76" s="949">
        <f>'lokale energieproductie'!D8</f>
        <v>0</v>
      </c>
      <c r="F76" s="949">
        <f>'lokale energieproductie'!E8</f>
        <v>0</v>
      </c>
      <c r="G76" s="949">
        <f>'lokale energieproductie'!F8</f>
        <v>0</v>
      </c>
      <c r="H76" s="949">
        <f>'lokale energieproductie'!G8</f>
        <v>0</v>
      </c>
      <c r="I76" s="949">
        <f>'lokale energieproductie'!I8</f>
        <v>0</v>
      </c>
      <c r="J76" s="949">
        <f>'lokale energieproductie'!J8</f>
        <v>15882.341871406168</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1399.2745414183655</v>
      </c>
      <c r="R76" s="847">
        <v>0</v>
      </c>
    </row>
    <row r="77" spans="1:18" ht="15.75" thickBot="1">
      <c r="A77" s="743" t="s">
        <v>742</v>
      </c>
      <c r="B77" s="740">
        <f>'lokale energieproductie'!B9*IFERROR(SUM(I77:O77)/SUM(D77:O77),0)</f>
        <v>14332.5</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40950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45513.138449724865</v>
      </c>
      <c r="C78" s="745">
        <f>SUM(C72:C77)</f>
        <v>5888.1800758338759</v>
      </c>
      <c r="D78" s="746">
        <f t="shared" ref="D78:H78" si="10">SUM(D76:D77)</f>
        <v>6927.1016901899284</v>
      </c>
      <c r="E78" s="746">
        <f t="shared" si="10"/>
        <v>0</v>
      </c>
      <c r="F78" s="746">
        <f t="shared" si="10"/>
        <v>0</v>
      </c>
      <c r="G78" s="746">
        <f t="shared" si="10"/>
        <v>0</v>
      </c>
      <c r="H78" s="746">
        <f t="shared" si="10"/>
        <v>0</v>
      </c>
      <c r="I78" s="746">
        <f>SUM(I76:I77)</f>
        <v>0</v>
      </c>
      <c r="J78" s="746">
        <f>SUM(J76:J77)</f>
        <v>56832.34187140617</v>
      </c>
      <c r="K78" s="746">
        <f t="shared" ref="K78:L78" si="11">SUM(K76:K77)</f>
        <v>0</v>
      </c>
      <c r="L78" s="746">
        <f t="shared" si="11"/>
        <v>0</v>
      </c>
      <c r="M78" s="746">
        <f>SUM(M76:M77)</f>
        <v>0</v>
      </c>
      <c r="N78" s="746">
        <f>SUM(N76:N77)</f>
        <v>0</v>
      </c>
      <c r="O78" s="855">
        <f>SUM(O76:O77)</f>
        <v>0</v>
      </c>
      <c r="P78" s="747">
        <v>0</v>
      </c>
      <c r="Q78" s="747">
        <f>SUM(Q76:Q77)</f>
        <v>1399.2745414183655</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19286.194171963471</v>
      </c>
      <c r="C87" s="758">
        <f>'lokale energieproductie'!B17*IFERROR(SUM(D87:H87)/SUM(D87:O87),0)</f>
        <v>8411.6957894264906</v>
      </c>
      <c r="D87" s="769">
        <f>'lokale energieproductie'!C17</f>
        <v>9895.8712827830441</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22689.086700022403</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1998.9659991221749</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19286.194171963471</v>
      </c>
      <c r="C90" s="745">
        <f>SUM(C87:C89)</f>
        <v>8411.6957894264906</v>
      </c>
      <c r="D90" s="745">
        <f t="shared" ref="D90:H90" si="12">SUM(D87:D89)</f>
        <v>9895.8712827830441</v>
      </c>
      <c r="E90" s="745">
        <f t="shared" si="12"/>
        <v>0</v>
      </c>
      <c r="F90" s="745">
        <f t="shared" si="12"/>
        <v>0</v>
      </c>
      <c r="G90" s="745">
        <f t="shared" si="12"/>
        <v>0</v>
      </c>
      <c r="H90" s="745">
        <f t="shared" si="12"/>
        <v>0</v>
      </c>
      <c r="I90" s="745">
        <f>SUM(I87:I89)</f>
        <v>0</v>
      </c>
      <c r="J90" s="745">
        <f>SUM(J87:J89)</f>
        <v>22689.086700022403</v>
      </c>
      <c r="K90" s="745">
        <f t="shared" ref="K90:L90" si="13">SUM(K87:K89)</f>
        <v>0</v>
      </c>
      <c r="L90" s="745">
        <f t="shared" si="13"/>
        <v>0</v>
      </c>
      <c r="M90" s="745">
        <f>SUM(M87:M89)</f>
        <v>0</v>
      </c>
      <c r="N90" s="745">
        <f>SUM(N87:N89)</f>
        <v>0</v>
      </c>
      <c r="O90" s="745">
        <f>SUM(O87:O89)</f>
        <v>0</v>
      </c>
      <c r="P90" s="745">
        <v>0</v>
      </c>
      <c r="Q90" s="745">
        <f>SUM(Q87:Q89)</f>
        <v>1998.9659991221749</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46572.102812786296</v>
      </c>
      <c r="C4" s="449">
        <f>huishoudens!C8</f>
        <v>0</v>
      </c>
      <c r="D4" s="449">
        <f>huishoudens!D8</f>
        <v>90960.063220865995</v>
      </c>
      <c r="E4" s="449">
        <f>huishoudens!E8</f>
        <v>3266.6229809658421</v>
      </c>
      <c r="F4" s="449">
        <f>huishoudens!F8</f>
        <v>71560.620227921769</v>
      </c>
      <c r="G4" s="449">
        <f>huishoudens!G8</f>
        <v>0</v>
      </c>
      <c r="H4" s="449">
        <f>huishoudens!H8</f>
        <v>0</v>
      </c>
      <c r="I4" s="449">
        <f>huishoudens!I8</f>
        <v>0</v>
      </c>
      <c r="J4" s="449">
        <f>huishoudens!J8</f>
        <v>407.83180153290306</v>
      </c>
      <c r="K4" s="449">
        <f>huishoudens!K8</f>
        <v>0</v>
      </c>
      <c r="L4" s="449">
        <f>huishoudens!L8</f>
        <v>0</v>
      </c>
      <c r="M4" s="449">
        <f>huishoudens!M8</f>
        <v>0</v>
      </c>
      <c r="N4" s="449">
        <f>huishoudens!N8</f>
        <v>16106.423164450902</v>
      </c>
      <c r="O4" s="449">
        <f>huishoudens!O8</f>
        <v>962.21973640271051</v>
      </c>
      <c r="P4" s="450">
        <f>huishoudens!P8</f>
        <v>1327.2788727683128</v>
      </c>
      <c r="Q4" s="451">
        <f>SUM(B4:P4)</f>
        <v>231163.16281769474</v>
      </c>
    </row>
    <row r="5" spans="1:17">
      <c r="A5" s="448" t="s">
        <v>155</v>
      </c>
      <c r="B5" s="449">
        <f ca="1">tertiair!B16</f>
        <v>69426.475306000008</v>
      </c>
      <c r="C5" s="449">
        <f ca="1">tertiair!C16</f>
        <v>7512.1756756756758</v>
      </c>
      <c r="D5" s="449">
        <f ca="1">tertiair!D16</f>
        <v>34838.14206329803</v>
      </c>
      <c r="E5" s="449">
        <f>tertiair!E16</f>
        <v>394.61185428578966</v>
      </c>
      <c r="F5" s="449">
        <f ca="1">tertiair!F16</f>
        <v>24388.880556850792</v>
      </c>
      <c r="G5" s="449">
        <f>tertiair!G16</f>
        <v>0</v>
      </c>
      <c r="H5" s="449">
        <f>tertiair!H16</f>
        <v>0</v>
      </c>
      <c r="I5" s="449">
        <f>tertiair!I16</f>
        <v>0</v>
      </c>
      <c r="J5" s="449">
        <f>tertiair!J16</f>
        <v>0.24359655901779204</v>
      </c>
      <c r="K5" s="449">
        <f>tertiair!K16</f>
        <v>0</v>
      </c>
      <c r="L5" s="449">
        <f ca="1">tertiair!L16</f>
        <v>0</v>
      </c>
      <c r="M5" s="449">
        <f>tertiair!M16</f>
        <v>0</v>
      </c>
      <c r="N5" s="449">
        <f ca="1">tertiair!N16</f>
        <v>0</v>
      </c>
      <c r="O5" s="449">
        <f>tertiair!O16</f>
        <v>9.7945215316823084</v>
      </c>
      <c r="P5" s="450">
        <f>tertiair!P16</f>
        <v>420.31310645196015</v>
      </c>
      <c r="Q5" s="448">
        <f t="shared" ref="Q5:Q14" ca="1" si="0">SUM(B5:P5)</f>
        <v>136990.63668065294</v>
      </c>
    </row>
    <row r="6" spans="1:17">
      <c r="A6" s="448" t="s">
        <v>193</v>
      </c>
      <c r="B6" s="449">
        <f>'openbare verlichting'!B8</f>
        <v>1715.468537</v>
      </c>
      <c r="C6" s="449"/>
      <c r="D6" s="449"/>
      <c r="E6" s="449"/>
      <c r="F6" s="449"/>
      <c r="G6" s="449"/>
      <c r="H6" s="449"/>
      <c r="I6" s="449"/>
      <c r="J6" s="449"/>
      <c r="K6" s="449"/>
      <c r="L6" s="449"/>
      <c r="M6" s="449"/>
      <c r="N6" s="449"/>
      <c r="O6" s="449"/>
      <c r="P6" s="450"/>
      <c r="Q6" s="448">
        <f t="shared" si="0"/>
        <v>1715.468537</v>
      </c>
    </row>
    <row r="7" spans="1:17">
      <c r="A7" s="448" t="s">
        <v>111</v>
      </c>
      <c r="B7" s="449">
        <f>landbouw!B8</f>
        <v>336.29914299999996</v>
      </c>
      <c r="C7" s="449">
        <f>landbouw!C8</f>
        <v>19285.714285714286</v>
      </c>
      <c r="D7" s="449">
        <f>landbouw!D8</f>
        <v>14.672450583</v>
      </c>
      <c r="E7" s="449">
        <f>landbouw!E8</f>
        <v>9.6321765778645645</v>
      </c>
      <c r="F7" s="449">
        <f>landbouw!F8</f>
        <v>1064.5493671058291</v>
      </c>
      <c r="G7" s="449">
        <f>landbouw!G8</f>
        <v>0</v>
      </c>
      <c r="H7" s="449">
        <f>landbouw!H8</f>
        <v>0</v>
      </c>
      <c r="I7" s="449">
        <f>landbouw!I8</f>
        <v>0</v>
      </c>
      <c r="J7" s="449">
        <f>landbouw!J8</f>
        <v>85.510311467383289</v>
      </c>
      <c r="K7" s="449">
        <f>landbouw!K8</f>
        <v>0</v>
      </c>
      <c r="L7" s="449">
        <f>landbouw!L8</f>
        <v>0</v>
      </c>
      <c r="M7" s="449">
        <f>landbouw!M8</f>
        <v>0</v>
      </c>
      <c r="N7" s="449">
        <f>landbouw!N8</f>
        <v>0</v>
      </c>
      <c r="O7" s="449">
        <f>landbouw!O8</f>
        <v>0</v>
      </c>
      <c r="P7" s="450">
        <f>landbouw!P8</f>
        <v>0</v>
      </c>
      <c r="Q7" s="448">
        <f t="shared" si="0"/>
        <v>20796.377734448361</v>
      </c>
    </row>
    <row r="8" spans="1:17">
      <c r="A8" s="448" t="s">
        <v>617</v>
      </c>
      <c r="B8" s="449">
        <f>industrie!B18</f>
        <v>26454.048347</v>
      </c>
      <c r="C8" s="449">
        <f>industrie!C18</f>
        <v>900.00000000000023</v>
      </c>
      <c r="D8" s="449">
        <f>industrie!D18</f>
        <v>28374.231316971003</v>
      </c>
      <c r="E8" s="449">
        <f>industrie!E18</f>
        <v>509.20650547400334</v>
      </c>
      <c r="F8" s="449">
        <f>industrie!F18</f>
        <v>5690.3655877523934</v>
      </c>
      <c r="G8" s="449">
        <f>industrie!G18</f>
        <v>0</v>
      </c>
      <c r="H8" s="449">
        <f>industrie!H18</f>
        <v>0</v>
      </c>
      <c r="I8" s="449">
        <f>industrie!I18</f>
        <v>0</v>
      </c>
      <c r="J8" s="449">
        <f>industrie!J18</f>
        <v>150.58740859197647</v>
      </c>
      <c r="K8" s="449">
        <f>industrie!K18</f>
        <v>0</v>
      </c>
      <c r="L8" s="449">
        <f>industrie!L18</f>
        <v>0</v>
      </c>
      <c r="M8" s="449">
        <f>industrie!M18</f>
        <v>0</v>
      </c>
      <c r="N8" s="449">
        <f>industrie!N18</f>
        <v>2708.9863460277561</v>
      </c>
      <c r="O8" s="449">
        <f>industrie!O18</f>
        <v>0</v>
      </c>
      <c r="P8" s="450">
        <f>industrie!P18</f>
        <v>0</v>
      </c>
      <c r="Q8" s="448">
        <f t="shared" si="0"/>
        <v>64787.425511817128</v>
      </c>
    </row>
    <row r="9" spans="1:17" s="454" customFormat="1">
      <c r="A9" s="452" t="s">
        <v>543</v>
      </c>
      <c r="B9" s="453">
        <f>transport!B14</f>
        <v>520.11716983879535</v>
      </c>
      <c r="C9" s="453">
        <f>transport!C14</f>
        <v>0</v>
      </c>
      <c r="D9" s="453">
        <f>transport!D14</f>
        <v>913.79356550143962</v>
      </c>
      <c r="E9" s="453">
        <f>transport!E14</f>
        <v>371.05217661425468</v>
      </c>
      <c r="F9" s="453">
        <f>transport!F14</f>
        <v>0</v>
      </c>
      <c r="G9" s="453">
        <f>transport!G14</f>
        <v>161011.06012873631</v>
      </c>
      <c r="H9" s="453">
        <f>transport!H14</f>
        <v>45065.415266925214</v>
      </c>
      <c r="I9" s="453">
        <f>transport!I14</f>
        <v>0</v>
      </c>
      <c r="J9" s="453">
        <f>transport!J14</f>
        <v>0</v>
      </c>
      <c r="K9" s="453">
        <f>transport!K14</f>
        <v>0</v>
      </c>
      <c r="L9" s="453">
        <f>transport!L14</f>
        <v>0</v>
      </c>
      <c r="M9" s="453">
        <f>transport!M14</f>
        <v>12439.726668277061</v>
      </c>
      <c r="N9" s="453">
        <f>transport!N14</f>
        <v>0</v>
      </c>
      <c r="O9" s="453">
        <f>transport!O14</f>
        <v>0</v>
      </c>
      <c r="P9" s="453">
        <f>transport!P14</f>
        <v>0</v>
      </c>
      <c r="Q9" s="452">
        <f>SUM(B9:P9)</f>
        <v>220321.16497589307</v>
      </c>
    </row>
    <row r="10" spans="1:17">
      <c r="A10" s="448" t="s">
        <v>533</v>
      </c>
      <c r="B10" s="449">
        <f>transport!B54</f>
        <v>56.781838721192607</v>
      </c>
      <c r="C10" s="449">
        <f>transport!C54</f>
        <v>0</v>
      </c>
      <c r="D10" s="449">
        <f>transport!D54</f>
        <v>0</v>
      </c>
      <c r="E10" s="449">
        <f>transport!E54</f>
        <v>0</v>
      </c>
      <c r="F10" s="449">
        <f>transport!F54</f>
        <v>0</v>
      </c>
      <c r="G10" s="449">
        <f>transport!G54</f>
        <v>3554.714767467794</v>
      </c>
      <c r="H10" s="449">
        <f>transport!H54</f>
        <v>0</v>
      </c>
      <c r="I10" s="449">
        <f>transport!I54</f>
        <v>0</v>
      </c>
      <c r="J10" s="449">
        <f>transport!J54</f>
        <v>0</v>
      </c>
      <c r="K10" s="449">
        <f>transport!K54</f>
        <v>0</v>
      </c>
      <c r="L10" s="449">
        <f>transport!L54</f>
        <v>0</v>
      </c>
      <c r="M10" s="449">
        <f>transport!M54</f>
        <v>204.10385098181371</v>
      </c>
      <c r="N10" s="449">
        <f>transport!N54</f>
        <v>0</v>
      </c>
      <c r="O10" s="449">
        <f>transport!O54</f>
        <v>0</v>
      </c>
      <c r="P10" s="450">
        <f>transport!P54</f>
        <v>0</v>
      </c>
      <c r="Q10" s="448">
        <f t="shared" si="0"/>
        <v>3815.6004571708004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701.02980400000001</v>
      </c>
      <c r="C14" s="456"/>
      <c r="D14" s="456">
        <f>'SEAP template'!E25</f>
        <v>2958.5371409999998</v>
      </c>
      <c r="E14" s="456"/>
      <c r="F14" s="456"/>
      <c r="G14" s="456"/>
      <c r="H14" s="456"/>
      <c r="I14" s="456"/>
      <c r="J14" s="456"/>
      <c r="K14" s="456"/>
      <c r="L14" s="456"/>
      <c r="M14" s="456"/>
      <c r="N14" s="456"/>
      <c r="O14" s="456"/>
      <c r="P14" s="457"/>
      <c r="Q14" s="448">
        <f t="shared" si="0"/>
        <v>3659.5669449999996</v>
      </c>
    </row>
    <row r="15" spans="1:17" s="460" customFormat="1">
      <c r="A15" s="458" t="s">
        <v>537</v>
      </c>
      <c r="B15" s="459">
        <f ca="1">SUM(B4:B14)</f>
        <v>145782.32295834628</v>
      </c>
      <c r="C15" s="459">
        <f t="shared" ref="C15:Q15" ca="1" si="1">SUM(C4:C14)</f>
        <v>27697.889961389963</v>
      </c>
      <c r="D15" s="459">
        <f t="shared" ca="1" si="1"/>
        <v>158059.43975821947</v>
      </c>
      <c r="E15" s="459">
        <f t="shared" si="1"/>
        <v>4551.1256939177547</v>
      </c>
      <c r="F15" s="459">
        <f t="shared" ca="1" si="1"/>
        <v>102704.4157396308</v>
      </c>
      <c r="G15" s="459">
        <f t="shared" si="1"/>
        <v>164565.77489620409</v>
      </c>
      <c r="H15" s="459">
        <f t="shared" si="1"/>
        <v>45065.415266925214</v>
      </c>
      <c r="I15" s="459">
        <f t="shared" si="1"/>
        <v>0</v>
      </c>
      <c r="J15" s="459">
        <f t="shared" si="1"/>
        <v>644.17311815128062</v>
      </c>
      <c r="K15" s="459">
        <f t="shared" si="1"/>
        <v>0</v>
      </c>
      <c r="L15" s="459">
        <f t="shared" ca="1" si="1"/>
        <v>0</v>
      </c>
      <c r="M15" s="459">
        <f t="shared" si="1"/>
        <v>12643.830519258874</v>
      </c>
      <c r="N15" s="459">
        <f t="shared" ca="1" si="1"/>
        <v>18815.409510478657</v>
      </c>
      <c r="O15" s="459">
        <f t="shared" si="1"/>
        <v>972.01425793439284</v>
      </c>
      <c r="P15" s="459">
        <f t="shared" si="1"/>
        <v>1747.5919792202731</v>
      </c>
      <c r="Q15" s="459">
        <f t="shared" ca="1" si="1"/>
        <v>683249.40365967702</v>
      </c>
    </row>
    <row r="17" spans="1:17">
      <c r="A17" s="461" t="s">
        <v>538</v>
      </c>
      <c r="B17" s="778">
        <f ca="1">huishoudens!B10</f>
        <v>0.15267610001950604</v>
      </c>
      <c r="C17" s="778">
        <f ca="1">huishoudens!C10</f>
        <v>7.2170335065547389E-2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7110.4470271636792</v>
      </c>
      <c r="C22" s="449">
        <f t="shared" ref="C22:C32" ca="1" si="3">C4*$C$17</f>
        <v>0</v>
      </c>
      <c r="D22" s="449">
        <f t="shared" ref="D22:D32" si="4">D4*$D$17</f>
        <v>18373.932770614931</v>
      </c>
      <c r="E22" s="449">
        <f t="shared" ref="E22:E32" si="5">E4*$E$17</f>
        <v>741.52341667924622</v>
      </c>
      <c r="F22" s="449">
        <f t="shared" ref="F22:F32" si="6">F4*$F$17</f>
        <v>19106.685600855115</v>
      </c>
      <c r="G22" s="449">
        <f t="shared" ref="G22:G32" si="7">G4*$G$17</f>
        <v>0</v>
      </c>
      <c r="H22" s="449">
        <f t="shared" ref="H22:H32" si="8">H4*$H$17</f>
        <v>0</v>
      </c>
      <c r="I22" s="449">
        <f t="shared" ref="I22:I32" si="9">I4*$I$17</f>
        <v>0</v>
      </c>
      <c r="J22" s="449">
        <f t="shared" ref="J22:J32" si="10">J4*$J$17</f>
        <v>144.37245774264767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45476.961273055618</v>
      </c>
    </row>
    <row r="23" spans="1:17">
      <c r="A23" s="448" t="s">
        <v>155</v>
      </c>
      <c r="B23" s="449">
        <f t="shared" ca="1" si="2"/>
        <v>10599.763487820625</v>
      </c>
      <c r="C23" s="449">
        <f t="shared" ca="1" si="3"/>
        <v>542.15623558476841</v>
      </c>
      <c r="D23" s="449">
        <f t="shared" ca="1" si="4"/>
        <v>7037.3046967862028</v>
      </c>
      <c r="E23" s="449">
        <f t="shared" si="5"/>
        <v>89.576890922874256</v>
      </c>
      <c r="F23" s="449">
        <f t="shared" ca="1" si="6"/>
        <v>6511.8311086791618</v>
      </c>
      <c r="G23" s="449">
        <f t="shared" si="7"/>
        <v>0</v>
      </c>
      <c r="H23" s="449">
        <f t="shared" si="8"/>
        <v>0</v>
      </c>
      <c r="I23" s="449">
        <f t="shared" si="9"/>
        <v>0</v>
      </c>
      <c r="J23" s="449">
        <f t="shared" si="10"/>
        <v>8.623318189229838E-2</v>
      </c>
      <c r="K23" s="449">
        <f t="shared" si="11"/>
        <v>0</v>
      </c>
      <c r="L23" s="449">
        <f t="shared" ca="1" si="12"/>
        <v>0</v>
      </c>
      <c r="M23" s="449">
        <f t="shared" si="13"/>
        <v>0</v>
      </c>
      <c r="N23" s="449">
        <f t="shared" ca="1" si="14"/>
        <v>0</v>
      </c>
      <c r="O23" s="449">
        <f t="shared" si="15"/>
        <v>0</v>
      </c>
      <c r="P23" s="450">
        <f t="shared" si="16"/>
        <v>0</v>
      </c>
      <c r="Q23" s="448">
        <f t="shared" ref="Q23:Q31" ca="1" si="17">SUM(B23:P23)</f>
        <v>24780.718652975527</v>
      </c>
    </row>
    <row r="24" spans="1:17">
      <c r="A24" s="448" t="s">
        <v>193</v>
      </c>
      <c r="B24" s="449">
        <f t="shared" ca="1" si="2"/>
        <v>261.91104593532771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261.91104593532771</v>
      </c>
    </row>
    <row r="25" spans="1:17">
      <c r="A25" s="448" t="s">
        <v>111</v>
      </c>
      <c r="B25" s="449">
        <f t="shared" ca="1" si="2"/>
        <v>51.344841593142156</v>
      </c>
      <c r="C25" s="449">
        <f t="shared" ca="1" si="3"/>
        <v>1391.856461978414</v>
      </c>
      <c r="D25" s="449">
        <f t="shared" si="4"/>
        <v>2.9638350177660002</v>
      </c>
      <c r="E25" s="449">
        <f t="shared" si="5"/>
        <v>2.1865040831752562</v>
      </c>
      <c r="F25" s="449">
        <f t="shared" si="6"/>
        <v>284.23468101725638</v>
      </c>
      <c r="G25" s="449">
        <f t="shared" si="7"/>
        <v>0</v>
      </c>
      <c r="H25" s="449">
        <f t="shared" si="8"/>
        <v>0</v>
      </c>
      <c r="I25" s="449">
        <f t="shared" si="9"/>
        <v>0</v>
      </c>
      <c r="J25" s="449">
        <f t="shared" si="10"/>
        <v>30.270650259453681</v>
      </c>
      <c r="K25" s="449">
        <f t="shared" si="11"/>
        <v>0</v>
      </c>
      <c r="L25" s="449">
        <f t="shared" si="12"/>
        <v>0</v>
      </c>
      <c r="M25" s="449">
        <f t="shared" si="13"/>
        <v>0</v>
      </c>
      <c r="N25" s="449">
        <f t="shared" si="14"/>
        <v>0</v>
      </c>
      <c r="O25" s="449">
        <f t="shared" si="15"/>
        <v>0</v>
      </c>
      <c r="P25" s="450">
        <f t="shared" si="16"/>
        <v>0</v>
      </c>
      <c r="Q25" s="448">
        <f t="shared" ca="1" si="17"/>
        <v>1762.8569739492077</v>
      </c>
    </row>
    <row r="26" spans="1:17">
      <c r="A26" s="448" t="s">
        <v>617</v>
      </c>
      <c r="B26" s="449">
        <f t="shared" ca="1" si="2"/>
        <v>4038.9009313474207</v>
      </c>
      <c r="C26" s="449">
        <f t="shared" ca="1" si="3"/>
        <v>64.953301558992663</v>
      </c>
      <c r="D26" s="449">
        <f t="shared" si="4"/>
        <v>5731.5947260281428</v>
      </c>
      <c r="E26" s="449">
        <f t="shared" si="5"/>
        <v>115.58987674259876</v>
      </c>
      <c r="F26" s="449">
        <f t="shared" si="6"/>
        <v>1519.3276119298891</v>
      </c>
      <c r="G26" s="449">
        <f t="shared" si="7"/>
        <v>0</v>
      </c>
      <c r="H26" s="449">
        <f t="shared" si="8"/>
        <v>0</v>
      </c>
      <c r="I26" s="449">
        <f t="shared" si="9"/>
        <v>0</v>
      </c>
      <c r="J26" s="449">
        <f t="shared" si="10"/>
        <v>53.30794264155967</v>
      </c>
      <c r="K26" s="449">
        <f t="shared" si="11"/>
        <v>0</v>
      </c>
      <c r="L26" s="449">
        <f t="shared" si="12"/>
        <v>0</v>
      </c>
      <c r="M26" s="449">
        <f t="shared" si="13"/>
        <v>0</v>
      </c>
      <c r="N26" s="449">
        <f t="shared" si="14"/>
        <v>0</v>
      </c>
      <c r="O26" s="449">
        <f t="shared" si="15"/>
        <v>0</v>
      </c>
      <c r="P26" s="450">
        <f t="shared" si="16"/>
        <v>0</v>
      </c>
      <c r="Q26" s="448">
        <f t="shared" ca="1" si="17"/>
        <v>11523.674390248603</v>
      </c>
    </row>
    <row r="27" spans="1:17" s="454" customFormat="1">
      <c r="A27" s="452" t="s">
        <v>543</v>
      </c>
      <c r="B27" s="772">
        <f t="shared" ca="1" si="2"/>
        <v>79.409461044170328</v>
      </c>
      <c r="C27" s="453">
        <f t="shared" ca="1" si="3"/>
        <v>0</v>
      </c>
      <c r="D27" s="453">
        <f t="shared" si="4"/>
        <v>184.58630023129081</v>
      </c>
      <c r="E27" s="453">
        <f t="shared" si="5"/>
        <v>84.228844091435818</v>
      </c>
      <c r="F27" s="453">
        <f t="shared" si="6"/>
        <v>0</v>
      </c>
      <c r="G27" s="453">
        <f t="shared" si="7"/>
        <v>42989.9530543726</v>
      </c>
      <c r="H27" s="453">
        <f t="shared" si="8"/>
        <v>11221.288401464379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54559.466061203879</v>
      </c>
    </row>
    <row r="28" spans="1:17" ht="16.5" customHeight="1">
      <c r="A28" s="448" t="s">
        <v>533</v>
      </c>
      <c r="B28" s="449">
        <f t="shared" ca="1" si="2"/>
        <v>8.6692296878882633</v>
      </c>
      <c r="C28" s="449">
        <f t="shared" ca="1" si="3"/>
        <v>0</v>
      </c>
      <c r="D28" s="449">
        <f t="shared" si="4"/>
        <v>0</v>
      </c>
      <c r="E28" s="449">
        <f t="shared" si="5"/>
        <v>0</v>
      </c>
      <c r="F28" s="449">
        <f t="shared" si="6"/>
        <v>0</v>
      </c>
      <c r="G28" s="449">
        <f t="shared" si="7"/>
        <v>949.10884291390107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957.77807260178929</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107.03049647215872</v>
      </c>
      <c r="C32" s="449">
        <f t="shared" ca="1" si="3"/>
        <v>0</v>
      </c>
      <c r="D32" s="449">
        <f t="shared" si="4"/>
        <v>597.62450248200003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704.65499895415871</v>
      </c>
    </row>
    <row r="33" spans="1:17" s="460" customFormat="1">
      <c r="A33" s="458" t="s">
        <v>537</v>
      </c>
      <c r="B33" s="459">
        <f ca="1">SUM(B22:B32)</f>
        <v>22257.476521064415</v>
      </c>
      <c r="C33" s="459">
        <f t="shared" ref="C33:Q33" ca="1" si="19">SUM(C22:C32)</f>
        <v>1998.9659991221752</v>
      </c>
      <c r="D33" s="459">
        <f t="shared" ca="1" si="19"/>
        <v>31928.006831160332</v>
      </c>
      <c r="E33" s="459">
        <f t="shared" si="19"/>
        <v>1033.1055325193304</v>
      </c>
      <c r="F33" s="459">
        <f t="shared" ca="1" si="19"/>
        <v>27422.079002481423</v>
      </c>
      <c r="G33" s="459">
        <f t="shared" si="19"/>
        <v>43939.061897286498</v>
      </c>
      <c r="H33" s="459">
        <f t="shared" si="19"/>
        <v>11221.288401464379</v>
      </c>
      <c r="I33" s="459">
        <f t="shared" si="19"/>
        <v>0</v>
      </c>
      <c r="J33" s="459">
        <f t="shared" si="19"/>
        <v>228.03728382555332</v>
      </c>
      <c r="K33" s="459">
        <f t="shared" si="19"/>
        <v>0</v>
      </c>
      <c r="L33" s="459">
        <f t="shared" ca="1" si="19"/>
        <v>0</v>
      </c>
      <c r="M33" s="459">
        <f t="shared" si="19"/>
        <v>0</v>
      </c>
      <c r="N33" s="459">
        <f t="shared" ca="1" si="19"/>
        <v>0</v>
      </c>
      <c r="O33" s="459">
        <f t="shared" si="19"/>
        <v>0</v>
      </c>
      <c r="P33" s="459">
        <f t="shared" si="19"/>
        <v>0</v>
      </c>
      <c r="Q33" s="459">
        <f t="shared" ca="1" si="19"/>
        <v>140028.02146892413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17680.318525558741</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13500.319924166122</v>
      </c>
      <c r="C8" s="1016">
        <f>'SEAP template'!C76</f>
        <v>5888.1800758338759</v>
      </c>
      <c r="D8" s="1016">
        <f>'SEAP template'!D76</f>
        <v>6927.1016901899284</v>
      </c>
      <c r="E8" s="1016">
        <f>'SEAP template'!E76</f>
        <v>0</v>
      </c>
      <c r="F8" s="1016">
        <f>'SEAP template'!F76</f>
        <v>0</v>
      </c>
      <c r="G8" s="1016">
        <f>'SEAP template'!G76</f>
        <v>0</v>
      </c>
      <c r="H8" s="1016">
        <f>'SEAP template'!H76</f>
        <v>0</v>
      </c>
      <c r="I8" s="1016">
        <f>'SEAP template'!I76</f>
        <v>0</v>
      </c>
      <c r="J8" s="1016">
        <f>'SEAP template'!J76</f>
        <v>15882.341871406168</v>
      </c>
      <c r="K8" s="1016">
        <f>'SEAP template'!K76</f>
        <v>0</v>
      </c>
      <c r="L8" s="1016">
        <f>'SEAP template'!L76</f>
        <v>0</v>
      </c>
      <c r="M8" s="1016">
        <f>'SEAP template'!M76</f>
        <v>0</v>
      </c>
      <c r="N8" s="1016">
        <f>'SEAP template'!N76</f>
        <v>0</v>
      </c>
      <c r="O8" s="1016">
        <f>'SEAP template'!O76</f>
        <v>0</v>
      </c>
      <c r="P8" s="1017">
        <f>'SEAP template'!Q76</f>
        <v>1399.2745414183655</v>
      </c>
    </row>
    <row r="9" spans="1:16">
      <c r="A9" s="1022" t="s">
        <v>743</v>
      </c>
      <c r="B9" s="1016">
        <f>'SEAP template'!B77</f>
        <v>14332.5</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40950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45513.138449724865</v>
      </c>
      <c r="C10" s="1018">
        <f>SUM(C4:C9)</f>
        <v>5888.1800758338759</v>
      </c>
      <c r="D10" s="1018">
        <f t="shared" ref="D10:H10" si="0">SUM(D8:D9)</f>
        <v>6927.1016901899284</v>
      </c>
      <c r="E10" s="1018">
        <f t="shared" si="0"/>
        <v>0</v>
      </c>
      <c r="F10" s="1018">
        <f t="shared" si="0"/>
        <v>0</v>
      </c>
      <c r="G10" s="1018">
        <f t="shared" si="0"/>
        <v>0</v>
      </c>
      <c r="H10" s="1018">
        <f t="shared" si="0"/>
        <v>0</v>
      </c>
      <c r="I10" s="1018">
        <f>SUM(I8:I9)</f>
        <v>0</v>
      </c>
      <c r="J10" s="1018">
        <f>SUM(J8:J9)</f>
        <v>56832.34187140617</v>
      </c>
      <c r="K10" s="1018">
        <f t="shared" ref="K10:L10" si="1">SUM(K8:K9)</f>
        <v>0</v>
      </c>
      <c r="L10" s="1018">
        <f t="shared" si="1"/>
        <v>0</v>
      </c>
      <c r="M10" s="1018">
        <f>SUM(M8:M9)</f>
        <v>0</v>
      </c>
      <c r="N10" s="1018">
        <f>SUM(N8:N9)</f>
        <v>0</v>
      </c>
      <c r="O10" s="1018">
        <f>SUM(O8:O9)</f>
        <v>0</v>
      </c>
      <c r="P10" s="1018">
        <f>SUM(P8:P9)</f>
        <v>1399.2745414183655</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0.15267610001950604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19286.194171963471</v>
      </c>
      <c r="C17" s="1019">
        <f>'SEAP template'!C87</f>
        <v>8411.6957894264906</v>
      </c>
      <c r="D17" s="1017">
        <f>'SEAP template'!D87</f>
        <v>9895.8712827830441</v>
      </c>
      <c r="E17" s="1017">
        <f>'SEAP template'!E87</f>
        <v>0</v>
      </c>
      <c r="F17" s="1017">
        <f>'SEAP template'!F87</f>
        <v>0</v>
      </c>
      <c r="G17" s="1017">
        <f>'SEAP template'!G87</f>
        <v>0</v>
      </c>
      <c r="H17" s="1017">
        <f>'SEAP template'!H87</f>
        <v>0</v>
      </c>
      <c r="I17" s="1017">
        <f>'SEAP template'!I87</f>
        <v>0</v>
      </c>
      <c r="J17" s="1017">
        <f>'SEAP template'!J87</f>
        <v>22689.086700022403</v>
      </c>
      <c r="K17" s="1017">
        <f>'SEAP template'!K87</f>
        <v>0</v>
      </c>
      <c r="L17" s="1017">
        <f>'SEAP template'!L87</f>
        <v>0</v>
      </c>
      <c r="M17" s="1017">
        <f>'SEAP template'!M87</f>
        <v>0</v>
      </c>
      <c r="N17" s="1017">
        <f>'SEAP template'!N87</f>
        <v>0</v>
      </c>
      <c r="O17" s="1017">
        <f>'SEAP template'!O87</f>
        <v>0</v>
      </c>
      <c r="P17" s="1017">
        <f>'SEAP template'!Q87</f>
        <v>1998.9659991221749</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19286.194171963471</v>
      </c>
      <c r="C20" s="1018">
        <f>SUM(C17:C19)</f>
        <v>8411.6957894264906</v>
      </c>
      <c r="D20" s="1018">
        <f t="shared" ref="D20:H20" si="2">SUM(D17:D19)</f>
        <v>9895.8712827830441</v>
      </c>
      <c r="E20" s="1018">
        <f t="shared" si="2"/>
        <v>0</v>
      </c>
      <c r="F20" s="1018">
        <f t="shared" si="2"/>
        <v>0</v>
      </c>
      <c r="G20" s="1018">
        <f t="shared" si="2"/>
        <v>0</v>
      </c>
      <c r="H20" s="1018">
        <f t="shared" si="2"/>
        <v>0</v>
      </c>
      <c r="I20" s="1018">
        <f>SUM(I17:I19)</f>
        <v>0</v>
      </c>
      <c r="J20" s="1018">
        <f>SUM(J17:J19)</f>
        <v>22689.086700022403</v>
      </c>
      <c r="K20" s="1018">
        <f t="shared" ref="K20:L20" si="3">SUM(K17:K19)</f>
        <v>0</v>
      </c>
      <c r="L20" s="1018">
        <f t="shared" si="3"/>
        <v>0</v>
      </c>
      <c r="M20" s="1018">
        <f>SUM(M17:M19)</f>
        <v>0</v>
      </c>
      <c r="N20" s="1018">
        <f>SUM(N17:N19)</f>
        <v>0</v>
      </c>
      <c r="O20" s="1018">
        <f>SUM(O17:O19)</f>
        <v>0</v>
      </c>
      <c r="P20" s="1018">
        <f>SUM(P17:P19)</f>
        <v>1998.9659991221749</v>
      </c>
    </row>
    <row r="21" spans="1:16">
      <c r="B21" s="883"/>
    </row>
    <row r="22" spans="1:16">
      <c r="A22" s="461" t="s">
        <v>755</v>
      </c>
      <c r="B22" s="778" t="s">
        <v>753</v>
      </c>
      <c r="C22" s="778">
        <f ca="1">'EF ele_warmte'!B22</f>
        <v>7.2170335065547389E-2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0.15267610001950604</v>
      </c>
      <c r="C17" s="498">
        <f ca="1">'EF ele_warmte'!B22</f>
        <v>7.2170335065547389E-2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9.7945215316823084</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0.15267610001950604</v>
      </c>
      <c r="C17" s="498">
        <f ca="1">'EF ele_warmte'!B22</f>
        <v>7.2170335065547389E-2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0.15267610001950604</v>
      </c>
      <c r="C29" s="499">
        <f ca="1">'EF ele_warmte'!B22</f>
        <v>7.2170335065547389E-2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11944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2492.2399999999998</v>
      </c>
      <c r="C14" s="326"/>
      <c r="D14" s="326"/>
      <c r="E14" s="326"/>
      <c r="F14" s="326"/>
    </row>
    <row r="15" spans="1:6">
      <c r="A15" s="1312" t="s">
        <v>183</v>
      </c>
      <c r="B15" s="1313">
        <v>1188</v>
      </c>
      <c r="C15" s="326"/>
      <c r="D15" s="326"/>
      <c r="E15" s="326"/>
      <c r="F15" s="326"/>
    </row>
    <row r="16" spans="1:6">
      <c r="A16" s="1312" t="s">
        <v>6</v>
      </c>
      <c r="B16" s="1313">
        <v>433</v>
      </c>
      <c r="C16" s="326"/>
      <c r="D16" s="326"/>
      <c r="E16" s="326"/>
      <c r="F16" s="326"/>
    </row>
    <row r="17" spans="1:6">
      <c r="A17" s="1312" t="s">
        <v>7</v>
      </c>
      <c r="B17" s="1313">
        <v>16</v>
      </c>
      <c r="C17" s="326"/>
      <c r="D17" s="326"/>
      <c r="E17" s="326"/>
      <c r="F17" s="326"/>
    </row>
    <row r="18" spans="1:6">
      <c r="A18" s="1312" t="s">
        <v>8</v>
      </c>
      <c r="B18" s="1313">
        <v>161</v>
      </c>
      <c r="C18" s="326"/>
      <c r="D18" s="326"/>
      <c r="E18" s="326"/>
      <c r="F18" s="326"/>
    </row>
    <row r="19" spans="1:6">
      <c r="A19" s="1312" t="s">
        <v>9</v>
      </c>
      <c r="B19" s="1313">
        <v>173</v>
      </c>
      <c r="C19" s="326"/>
      <c r="D19" s="326"/>
      <c r="E19" s="326"/>
      <c r="F19" s="326"/>
    </row>
    <row r="20" spans="1:6">
      <c r="A20" s="1312" t="s">
        <v>10</v>
      </c>
      <c r="B20" s="1313">
        <v>47</v>
      </c>
      <c r="C20" s="326"/>
      <c r="D20" s="326"/>
      <c r="E20" s="326"/>
      <c r="F20" s="326"/>
    </row>
    <row r="21" spans="1:6">
      <c r="A21" s="1312" t="s">
        <v>11</v>
      </c>
      <c r="B21" s="1313">
        <v>4492</v>
      </c>
      <c r="C21" s="326"/>
      <c r="D21" s="326"/>
      <c r="E21" s="326"/>
      <c r="F21" s="326"/>
    </row>
    <row r="22" spans="1:6">
      <c r="A22" s="1312" t="s">
        <v>12</v>
      </c>
      <c r="B22" s="1313">
        <v>2121</v>
      </c>
      <c r="C22" s="326"/>
      <c r="D22" s="326"/>
      <c r="E22" s="326"/>
      <c r="F22" s="326"/>
    </row>
    <row r="23" spans="1:6">
      <c r="A23" s="1312" t="s">
        <v>13</v>
      </c>
      <c r="B23" s="1313">
        <v>104</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1559</v>
      </c>
      <c r="C26" s="326"/>
      <c r="D26" s="326"/>
      <c r="E26" s="326"/>
      <c r="F26" s="326"/>
    </row>
    <row r="27" spans="1:6">
      <c r="A27" s="1312" t="s">
        <v>17</v>
      </c>
      <c r="B27" s="1313">
        <v>0</v>
      </c>
      <c r="C27" s="326"/>
      <c r="D27" s="326"/>
      <c r="E27" s="326"/>
      <c r="F27" s="326"/>
    </row>
    <row r="28" spans="1:6" s="43" customFormat="1">
      <c r="A28" s="1314" t="s">
        <v>18</v>
      </c>
      <c r="B28" s="1315">
        <v>27378</v>
      </c>
      <c r="C28" s="332"/>
      <c r="D28" s="332"/>
      <c r="E28" s="332"/>
      <c r="F28" s="332"/>
    </row>
    <row r="29" spans="1:6">
      <c r="A29" s="1314" t="s">
        <v>684</v>
      </c>
      <c r="B29" s="1315">
        <v>86</v>
      </c>
      <c r="C29" s="332"/>
      <c r="D29" s="332"/>
      <c r="E29" s="332"/>
      <c r="F29" s="332"/>
    </row>
    <row r="30" spans="1:6">
      <c r="A30" s="1307" t="s">
        <v>685</v>
      </c>
      <c r="B30" s="1316">
        <v>17</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9</v>
      </c>
      <c r="F36" s="1313">
        <v>374355.29399999999</v>
      </c>
    </row>
    <row r="37" spans="1:6">
      <c r="A37" s="1312" t="s">
        <v>24</v>
      </c>
      <c r="B37" s="1312" t="s">
        <v>27</v>
      </c>
      <c r="C37" s="1313">
        <v>0</v>
      </c>
      <c r="D37" s="1313">
        <v>0</v>
      </c>
      <c r="E37" s="1313">
        <v>0</v>
      </c>
      <c r="F37" s="1313">
        <v>0</v>
      </c>
    </row>
    <row r="38" spans="1:6">
      <c r="A38" s="1312" t="s">
        <v>24</v>
      </c>
      <c r="B38" s="1312" t="s">
        <v>28</v>
      </c>
      <c r="C38" s="1313">
        <v>2</v>
      </c>
      <c r="D38" s="1313">
        <v>172431.10800000001</v>
      </c>
      <c r="E38" s="1313">
        <v>3</v>
      </c>
      <c r="F38" s="1313">
        <v>14461.082</v>
      </c>
    </row>
    <row r="39" spans="1:6">
      <c r="A39" s="1312" t="s">
        <v>29</v>
      </c>
      <c r="B39" s="1312" t="s">
        <v>30</v>
      </c>
      <c r="C39" s="1313">
        <v>7023</v>
      </c>
      <c r="D39" s="1313">
        <v>100730967.022</v>
      </c>
      <c r="E39" s="1313">
        <v>12125</v>
      </c>
      <c r="F39" s="1313">
        <v>35533658.348000102</v>
      </c>
    </row>
    <row r="40" spans="1:6">
      <c r="A40" s="1312" t="s">
        <v>29</v>
      </c>
      <c r="B40" s="1312" t="s">
        <v>28</v>
      </c>
      <c r="C40" s="1313">
        <v>0</v>
      </c>
      <c r="D40" s="1313">
        <v>0</v>
      </c>
      <c r="E40" s="1313">
        <v>0</v>
      </c>
      <c r="F40" s="1313">
        <v>0</v>
      </c>
    </row>
    <row r="41" spans="1:6">
      <c r="A41" s="1312" t="s">
        <v>31</v>
      </c>
      <c r="B41" s="1312" t="s">
        <v>32</v>
      </c>
      <c r="C41" s="1313">
        <v>116</v>
      </c>
      <c r="D41" s="1313">
        <v>10344732.276000001</v>
      </c>
      <c r="E41" s="1313">
        <v>226</v>
      </c>
      <c r="F41" s="1313">
        <v>6656546.2539999997</v>
      </c>
    </row>
    <row r="42" spans="1:6">
      <c r="A42" s="1312" t="s">
        <v>31</v>
      </c>
      <c r="B42" s="1312" t="s">
        <v>33</v>
      </c>
      <c r="C42" s="1313">
        <v>0</v>
      </c>
      <c r="D42" s="1313">
        <v>0</v>
      </c>
      <c r="E42" s="1313">
        <v>3</v>
      </c>
      <c r="F42" s="1313">
        <v>1712341</v>
      </c>
    </row>
    <row r="43" spans="1:6">
      <c r="A43" s="1312" t="s">
        <v>31</v>
      </c>
      <c r="B43" s="1312" t="s">
        <v>34</v>
      </c>
      <c r="C43" s="1313">
        <v>0</v>
      </c>
      <c r="D43" s="1313">
        <v>0</v>
      </c>
      <c r="E43" s="1313">
        <v>0</v>
      </c>
      <c r="F43" s="1313">
        <v>0</v>
      </c>
    </row>
    <row r="44" spans="1:6">
      <c r="A44" s="1312" t="s">
        <v>31</v>
      </c>
      <c r="B44" s="1312" t="s">
        <v>35</v>
      </c>
      <c r="C44" s="1313">
        <v>24</v>
      </c>
      <c r="D44" s="1313">
        <v>12896759.206</v>
      </c>
      <c r="E44" s="1313">
        <v>41</v>
      </c>
      <c r="F44" s="1313">
        <v>11754953.858999999</v>
      </c>
    </row>
    <row r="45" spans="1:6">
      <c r="A45" s="1312" t="s">
        <v>31</v>
      </c>
      <c r="B45" s="1312" t="s">
        <v>36</v>
      </c>
      <c r="C45" s="1313">
        <v>9</v>
      </c>
      <c r="D45" s="1313">
        <v>7666410.9079999998</v>
      </c>
      <c r="E45" s="1313">
        <v>12</v>
      </c>
      <c r="F45" s="1313">
        <v>3933938.588</v>
      </c>
    </row>
    <row r="46" spans="1:6">
      <c r="A46" s="1312" t="s">
        <v>31</v>
      </c>
      <c r="B46" s="1312" t="s">
        <v>37</v>
      </c>
      <c r="C46" s="1313">
        <v>0</v>
      </c>
      <c r="D46" s="1313">
        <v>0</v>
      </c>
      <c r="E46" s="1313">
        <v>0</v>
      </c>
      <c r="F46" s="1313">
        <v>0</v>
      </c>
    </row>
    <row r="47" spans="1:6">
      <c r="A47" s="1312" t="s">
        <v>31</v>
      </c>
      <c r="B47" s="1312" t="s">
        <v>38</v>
      </c>
      <c r="C47" s="1313">
        <v>4</v>
      </c>
      <c r="D47" s="1313">
        <v>268411.723</v>
      </c>
      <c r="E47" s="1313">
        <v>5</v>
      </c>
      <c r="F47" s="1313">
        <v>892367.9</v>
      </c>
    </row>
    <row r="48" spans="1:6">
      <c r="A48" s="1312" t="s">
        <v>31</v>
      </c>
      <c r="B48" s="1312" t="s">
        <v>28</v>
      </c>
      <c r="C48" s="1313">
        <v>2</v>
      </c>
      <c r="D48" s="1313">
        <v>1704673.32</v>
      </c>
      <c r="E48" s="1313">
        <v>0</v>
      </c>
      <c r="F48" s="1313">
        <v>0</v>
      </c>
    </row>
    <row r="49" spans="1:6">
      <c r="A49" s="1312" t="s">
        <v>31</v>
      </c>
      <c r="B49" s="1312" t="s">
        <v>39</v>
      </c>
      <c r="C49" s="1313">
        <v>4</v>
      </c>
      <c r="D49" s="1313">
        <v>201318.791</v>
      </c>
      <c r="E49" s="1313">
        <v>4</v>
      </c>
      <c r="F49" s="1313">
        <v>130620.594</v>
      </c>
    </row>
    <row r="50" spans="1:6">
      <c r="A50" s="1312" t="s">
        <v>31</v>
      </c>
      <c r="B50" s="1312" t="s">
        <v>40</v>
      </c>
      <c r="C50" s="1313">
        <v>9</v>
      </c>
      <c r="D50" s="1313">
        <v>333232.33299999998</v>
      </c>
      <c r="E50" s="1313">
        <v>14</v>
      </c>
      <c r="F50" s="1313">
        <v>743280.152</v>
      </c>
    </row>
    <row r="51" spans="1:6">
      <c r="A51" s="1312" t="s">
        <v>41</v>
      </c>
      <c r="B51" s="1312" t="s">
        <v>42</v>
      </c>
      <c r="C51" s="1313">
        <v>0</v>
      </c>
      <c r="D51" s="1313">
        <v>0</v>
      </c>
      <c r="E51" s="1313">
        <v>16</v>
      </c>
      <c r="F51" s="1313">
        <v>336299.14299999998</v>
      </c>
    </row>
    <row r="52" spans="1:6">
      <c r="A52" s="1312" t="s">
        <v>41</v>
      </c>
      <c r="B52" s="1312" t="s">
        <v>28</v>
      </c>
      <c r="C52" s="1313">
        <v>1</v>
      </c>
      <c r="D52" s="1313">
        <v>16248.561</v>
      </c>
      <c r="E52" s="1313">
        <v>0</v>
      </c>
      <c r="F52" s="1313">
        <v>0</v>
      </c>
    </row>
    <row r="53" spans="1:6">
      <c r="A53" s="1312" t="s">
        <v>43</v>
      </c>
      <c r="B53" s="1312" t="s">
        <v>44</v>
      </c>
      <c r="C53" s="1313">
        <v>60</v>
      </c>
      <c r="D53" s="1313">
        <v>2958537.1409999998</v>
      </c>
      <c r="E53" s="1313">
        <v>95</v>
      </c>
      <c r="F53" s="1313">
        <v>701029.804</v>
      </c>
    </row>
    <row r="54" spans="1:6">
      <c r="A54" s="1312" t="s">
        <v>45</v>
      </c>
      <c r="B54" s="1312" t="s">
        <v>46</v>
      </c>
      <c r="C54" s="1313">
        <v>0</v>
      </c>
      <c r="D54" s="1313">
        <v>0</v>
      </c>
      <c r="E54" s="1313">
        <v>3</v>
      </c>
      <c r="F54" s="1313">
        <v>1715468.537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94</v>
      </c>
      <c r="D57" s="1313">
        <v>17993030.837000001</v>
      </c>
      <c r="E57" s="1313">
        <v>159</v>
      </c>
      <c r="F57" s="1313">
        <v>24084676.055</v>
      </c>
    </row>
    <row r="58" spans="1:6">
      <c r="A58" s="1312" t="s">
        <v>48</v>
      </c>
      <c r="B58" s="1312" t="s">
        <v>50</v>
      </c>
      <c r="C58" s="1313">
        <v>35</v>
      </c>
      <c r="D58" s="1313">
        <v>2121137.0109999999</v>
      </c>
      <c r="E58" s="1313">
        <v>61</v>
      </c>
      <c r="F58" s="1313">
        <v>2318478.8689999999</v>
      </c>
    </row>
    <row r="59" spans="1:6">
      <c r="A59" s="1312" t="s">
        <v>48</v>
      </c>
      <c r="B59" s="1312" t="s">
        <v>51</v>
      </c>
      <c r="C59" s="1313">
        <v>175</v>
      </c>
      <c r="D59" s="1313">
        <v>9551208.8359999992</v>
      </c>
      <c r="E59" s="1313">
        <v>301</v>
      </c>
      <c r="F59" s="1313">
        <v>10111709.492000001</v>
      </c>
    </row>
    <row r="60" spans="1:6">
      <c r="A60" s="1312" t="s">
        <v>48</v>
      </c>
      <c r="B60" s="1312" t="s">
        <v>52</v>
      </c>
      <c r="C60" s="1313">
        <v>78</v>
      </c>
      <c r="D60" s="1313">
        <v>11022846.361</v>
      </c>
      <c r="E60" s="1313">
        <v>151</v>
      </c>
      <c r="F60" s="1313">
        <v>6016536.7369999997</v>
      </c>
    </row>
    <row r="61" spans="1:6">
      <c r="A61" s="1312" t="s">
        <v>48</v>
      </c>
      <c r="B61" s="1312" t="s">
        <v>53</v>
      </c>
      <c r="C61" s="1313">
        <v>251</v>
      </c>
      <c r="D61" s="1313">
        <v>10818532.995999999</v>
      </c>
      <c r="E61" s="1313">
        <v>482</v>
      </c>
      <c r="F61" s="1313">
        <v>6449979.068</v>
      </c>
    </row>
    <row r="62" spans="1:6">
      <c r="A62" s="1312" t="s">
        <v>48</v>
      </c>
      <c r="B62" s="1312" t="s">
        <v>54</v>
      </c>
      <c r="C62" s="1313">
        <v>32</v>
      </c>
      <c r="D62" s="1313">
        <v>3710425.6159999999</v>
      </c>
      <c r="E62" s="1313">
        <v>32</v>
      </c>
      <c r="F62" s="1313">
        <v>854095.08499999996</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437424.87900000002</v>
      </c>
      <c r="E65" s="1313">
        <v>0</v>
      </c>
      <c r="F65" s="1313">
        <v>0</v>
      </c>
    </row>
    <row r="66" spans="1:6">
      <c r="A66" s="1312" t="s">
        <v>55</v>
      </c>
      <c r="B66" s="1312" t="s">
        <v>57</v>
      </c>
      <c r="C66" s="1313">
        <v>0</v>
      </c>
      <c r="D66" s="1313">
        <v>0</v>
      </c>
      <c r="E66" s="1313">
        <v>21</v>
      </c>
      <c r="F66" s="1313">
        <v>791685.56200000003</v>
      </c>
    </row>
    <row r="67" spans="1:6">
      <c r="A67" s="1314" t="s">
        <v>55</v>
      </c>
      <c r="B67" s="1314" t="s">
        <v>58</v>
      </c>
      <c r="C67" s="1313">
        <v>0</v>
      </c>
      <c r="D67" s="1313">
        <v>0</v>
      </c>
      <c r="E67" s="1313">
        <v>0</v>
      </c>
      <c r="F67" s="1313">
        <v>0</v>
      </c>
    </row>
    <row r="68" spans="1:6">
      <c r="A68" s="1307" t="s">
        <v>55</v>
      </c>
      <c r="B68" s="1307" t="s">
        <v>59</v>
      </c>
      <c r="C68" s="1316">
        <v>9</v>
      </c>
      <c r="D68" s="1316">
        <v>535727.37199999997</v>
      </c>
      <c r="E68" s="1316">
        <v>14</v>
      </c>
      <c r="F68" s="1316">
        <v>358823.745</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146364568</v>
      </c>
      <c r="E73" s="447"/>
      <c r="F73" s="326"/>
    </row>
    <row r="74" spans="1:6">
      <c r="A74" s="1312" t="s">
        <v>63</v>
      </c>
      <c r="B74" s="1312" t="s">
        <v>638</v>
      </c>
      <c r="C74" s="1326" t="s">
        <v>640</v>
      </c>
      <c r="D74" s="1327">
        <v>11822779.516479924</v>
      </c>
      <c r="E74" s="447"/>
      <c r="F74" s="326"/>
    </row>
    <row r="75" spans="1:6">
      <c r="A75" s="1312" t="s">
        <v>64</v>
      </c>
      <c r="B75" s="1312" t="s">
        <v>637</v>
      </c>
      <c r="C75" s="1326" t="s">
        <v>641</v>
      </c>
      <c r="D75" s="1327">
        <v>50965572</v>
      </c>
      <c r="E75" s="447"/>
      <c r="F75" s="326"/>
    </row>
    <row r="76" spans="1:6">
      <c r="A76" s="1312" t="s">
        <v>64</v>
      </c>
      <c r="B76" s="1312" t="s">
        <v>638</v>
      </c>
      <c r="C76" s="1326" t="s">
        <v>642</v>
      </c>
      <c r="D76" s="1327">
        <v>716405.51647992502</v>
      </c>
      <c r="E76" s="447"/>
      <c r="F76" s="326"/>
    </row>
    <row r="77" spans="1:6">
      <c r="A77" s="1312" t="s">
        <v>65</v>
      </c>
      <c r="B77" s="1312" t="s">
        <v>637</v>
      </c>
      <c r="C77" s="1326" t="s">
        <v>643</v>
      </c>
      <c r="D77" s="1327">
        <v>47684897</v>
      </c>
      <c r="E77" s="447"/>
      <c r="F77" s="326"/>
    </row>
    <row r="78" spans="1:6">
      <c r="A78" s="1307" t="s">
        <v>65</v>
      </c>
      <c r="B78" s="1307" t="s">
        <v>638</v>
      </c>
      <c r="C78" s="1307" t="s">
        <v>644</v>
      </c>
      <c r="D78" s="1328">
        <v>7997615</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1059104.96704015</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11038.444464786196</v>
      </c>
      <c r="C91" s="326"/>
      <c r="D91" s="326"/>
      <c r="E91" s="326"/>
      <c r="F91" s="326"/>
    </row>
    <row r="92" spans="1:6">
      <c r="A92" s="1307" t="s">
        <v>68</v>
      </c>
      <c r="B92" s="1308">
        <v>6641.874060772544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2539</v>
      </c>
      <c r="C97" s="326"/>
      <c r="D97" s="326"/>
      <c r="E97" s="326"/>
      <c r="F97" s="326"/>
    </row>
    <row r="98" spans="1:6">
      <c r="A98" s="1312" t="s">
        <v>71</v>
      </c>
      <c r="B98" s="1313">
        <v>4</v>
      </c>
      <c r="C98" s="326"/>
      <c r="D98" s="326"/>
      <c r="E98" s="326"/>
      <c r="F98" s="326"/>
    </row>
    <row r="99" spans="1:6">
      <c r="A99" s="1312" t="s">
        <v>72</v>
      </c>
      <c r="B99" s="1313">
        <v>32</v>
      </c>
      <c r="C99" s="326"/>
      <c r="D99" s="326"/>
      <c r="E99" s="326"/>
      <c r="F99" s="326"/>
    </row>
    <row r="100" spans="1:6">
      <c r="A100" s="1312" t="s">
        <v>73</v>
      </c>
      <c r="B100" s="1313">
        <v>215</v>
      </c>
      <c r="C100" s="326"/>
      <c r="D100" s="326"/>
      <c r="E100" s="326"/>
      <c r="F100" s="326"/>
    </row>
    <row r="101" spans="1:6">
      <c r="A101" s="1312" t="s">
        <v>74</v>
      </c>
      <c r="B101" s="1313">
        <v>70</v>
      </c>
      <c r="C101" s="326"/>
      <c r="D101" s="326"/>
      <c r="E101" s="326"/>
      <c r="F101" s="326"/>
    </row>
    <row r="102" spans="1:6">
      <c r="A102" s="1312" t="s">
        <v>75</v>
      </c>
      <c r="B102" s="1313">
        <v>101</v>
      </c>
      <c r="C102" s="326"/>
      <c r="D102" s="326"/>
      <c r="E102" s="326"/>
      <c r="F102" s="326"/>
    </row>
    <row r="103" spans="1:6">
      <c r="A103" s="1312" t="s">
        <v>76</v>
      </c>
      <c r="B103" s="1313">
        <v>138</v>
      </c>
      <c r="C103" s="326"/>
      <c r="D103" s="326"/>
      <c r="E103" s="326"/>
      <c r="F103" s="326"/>
    </row>
    <row r="104" spans="1:6">
      <c r="A104" s="1312" t="s">
        <v>77</v>
      </c>
      <c r="B104" s="1313">
        <v>6792</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2</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3</v>
      </c>
      <c r="C121" s="1313">
        <v>0</v>
      </c>
      <c r="D121" s="326"/>
      <c r="E121" s="326"/>
      <c r="F121" s="326"/>
    </row>
    <row r="122" spans="1:6">
      <c r="A122" s="1312" t="s">
        <v>86</v>
      </c>
      <c r="B122" s="1313">
        <v>0</v>
      </c>
      <c r="C122" s="1313">
        <v>0</v>
      </c>
      <c r="D122" s="326"/>
      <c r="E122" s="326"/>
      <c r="F122" s="326"/>
    </row>
    <row r="123" spans="1:6">
      <c r="A123" s="1312" t="s">
        <v>87</v>
      </c>
      <c r="B123" s="1313">
        <v>69</v>
      </c>
      <c r="C123" s="1313">
        <v>56</v>
      </c>
      <c r="D123" s="326"/>
      <c r="E123" s="326"/>
      <c r="F123" s="326"/>
    </row>
    <row r="124" spans="1:6" s="43" customFormat="1">
      <c r="A124" s="1314" t="s">
        <v>88</v>
      </c>
      <c r="B124" s="1335">
        <v>4</v>
      </c>
      <c r="C124" s="1335">
        <v>5</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424</v>
      </c>
      <c r="C129" s="326"/>
      <c r="D129" s="326"/>
      <c r="E129" s="326"/>
      <c r="F129" s="326"/>
    </row>
    <row r="130" spans="1:6">
      <c r="A130" s="1312" t="s">
        <v>290</v>
      </c>
      <c r="B130" s="1313">
        <v>2</v>
      </c>
      <c r="C130" s="326"/>
      <c r="D130" s="326"/>
      <c r="E130" s="326"/>
      <c r="F130" s="326"/>
    </row>
    <row r="131" spans="1:6">
      <c r="A131" s="1312" t="s">
        <v>291</v>
      </c>
      <c r="B131" s="1313">
        <v>5</v>
      </c>
      <c r="C131" s="326"/>
      <c r="D131" s="326"/>
      <c r="E131" s="326"/>
      <c r="F131" s="326"/>
    </row>
    <row r="132" spans="1:6">
      <c r="A132" s="1307" t="s">
        <v>292</v>
      </c>
      <c r="B132" s="1308">
        <v>53</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145782.32295834628</v>
      </c>
      <c r="C3" s="43" t="s">
        <v>169</v>
      </c>
      <c r="D3" s="43"/>
      <c r="E3" s="154"/>
      <c r="F3" s="43"/>
      <c r="G3" s="43"/>
      <c r="H3" s="43"/>
      <c r="I3" s="43"/>
      <c r="J3" s="43"/>
      <c r="K3" s="96"/>
    </row>
    <row r="4" spans="1:11">
      <c r="A4" s="354" t="s">
        <v>170</v>
      </c>
      <c r="B4" s="49">
        <f>IF(ISERROR('SEAP template'!B78+'SEAP template'!C78),0,'SEAP template'!B78+'SEAP template'!C78)</f>
        <v>51401.318525558745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1399.2745414183655</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0.15267610001950604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1998.9659991221749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27697.889961389963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7.2170335065547389E-2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1715.468537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1715.468537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0.15267610001950604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261.91104593532771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35533.658348000099</v>
      </c>
      <c r="C5" s="17">
        <f>IF(ISERROR('Eigen informatie GS &amp; warmtenet'!B59),0,'Eigen informatie GS &amp; warmtenet'!B59)</f>
        <v>0</v>
      </c>
      <c r="D5" s="30">
        <f>(SUM(HH_hh_gas_kWh,HH_rest_gas_kWh)/1000)*0.903</f>
        <v>90960.063220865995</v>
      </c>
      <c r="E5" s="17">
        <f>B32*B41</f>
        <v>3266.6229809658421</v>
      </c>
      <c r="F5" s="17">
        <f>B36*B45</f>
        <v>71560.620227921769</v>
      </c>
      <c r="G5" s="18"/>
      <c r="H5" s="17"/>
      <c r="I5" s="17"/>
      <c r="J5" s="17">
        <f>B35*B44+C35*C44</f>
        <v>407.83180153290306</v>
      </c>
      <c r="K5" s="17"/>
      <c r="L5" s="17"/>
      <c r="M5" s="17"/>
      <c r="N5" s="17">
        <f>B34*B43+C34*C43</f>
        <v>16106.423164450902</v>
      </c>
      <c r="O5" s="17">
        <f>B52*B53*B54</f>
        <v>962.21973640271051</v>
      </c>
      <c r="P5" s="17">
        <f>B60*B61*B62/1000-B60*B61*B62/1000/B63</f>
        <v>1327.2788727683128</v>
      </c>
    </row>
    <row r="6" spans="1:16">
      <c r="A6" s="16" t="s">
        <v>603</v>
      </c>
      <c r="B6" s="780">
        <f>kWh_PV_kleiner_dan_10kW</f>
        <v>11038.444464786196</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46572.102812786296</v>
      </c>
      <c r="C8" s="21">
        <f>C5</f>
        <v>0</v>
      </c>
      <c r="D8" s="21">
        <f>D5</f>
        <v>90960.063220865995</v>
      </c>
      <c r="E8" s="21">
        <f>E5</f>
        <v>3266.6229809658421</v>
      </c>
      <c r="F8" s="21">
        <f>F5</f>
        <v>71560.620227921769</v>
      </c>
      <c r="G8" s="21"/>
      <c r="H8" s="21"/>
      <c r="I8" s="21"/>
      <c r="J8" s="21">
        <f>J5</f>
        <v>407.83180153290306</v>
      </c>
      <c r="K8" s="21"/>
      <c r="L8" s="21">
        <f>L5</f>
        <v>0</v>
      </c>
      <c r="M8" s="21">
        <f>M5</f>
        <v>0</v>
      </c>
      <c r="N8" s="21">
        <f>N5</f>
        <v>16106.423164450902</v>
      </c>
      <c r="O8" s="21">
        <f>O5</f>
        <v>962.21973640271051</v>
      </c>
      <c r="P8" s="21">
        <f>P5</f>
        <v>1327.2788727683128</v>
      </c>
    </row>
    <row r="9" spans="1:16">
      <c r="B9" s="19"/>
      <c r="C9" s="19"/>
      <c r="D9" s="254"/>
      <c r="E9" s="19"/>
      <c r="F9" s="19"/>
      <c r="G9" s="19"/>
      <c r="H9" s="19"/>
      <c r="I9" s="19"/>
      <c r="J9" s="19"/>
      <c r="K9" s="19"/>
      <c r="L9" s="19"/>
      <c r="M9" s="19"/>
      <c r="N9" s="19"/>
      <c r="O9" s="19"/>
      <c r="P9" s="19"/>
    </row>
    <row r="10" spans="1:16">
      <c r="A10" s="24" t="s">
        <v>213</v>
      </c>
      <c r="B10" s="25">
        <f ca="1">'EF ele_warmte'!B12</f>
        <v>0.15267610001950604</v>
      </c>
      <c r="C10" s="25">
        <f ca="1">'EF ele_warmte'!B22</f>
        <v>7.2170335065547389E-2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7110.4470271636792</v>
      </c>
      <c r="C12" s="23">
        <f ca="1">C10*C8</f>
        <v>0</v>
      </c>
      <c r="D12" s="23">
        <f>D8*D10</f>
        <v>18373.932770614931</v>
      </c>
      <c r="E12" s="23">
        <f>E10*E8</f>
        <v>741.52341667924622</v>
      </c>
      <c r="F12" s="23">
        <f>F10*F8</f>
        <v>19106.685600855115</v>
      </c>
      <c r="G12" s="23"/>
      <c r="H12" s="23"/>
      <c r="I12" s="23"/>
      <c r="J12" s="23">
        <f>J10*J8</f>
        <v>144.37245774264767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11944</v>
      </c>
      <c r="C26" s="36"/>
      <c r="D26" s="225"/>
    </row>
    <row r="27" spans="1:5" s="15" customFormat="1">
      <c r="A27" s="227" t="s">
        <v>866</v>
      </c>
      <c r="B27" s="37">
        <f>SUM(HH_hh_gas_aantal,HH_rest_gas_aantal)</f>
        <v>7023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6671.85</v>
      </c>
      <c r="C31" s="34" t="s">
        <v>110</v>
      </c>
      <c r="D31" s="171"/>
    </row>
    <row r="32" spans="1:5">
      <c r="A32" s="168" t="s">
        <v>72</v>
      </c>
      <c r="B32" s="33">
        <f>IF((B21*($B$26-($B$27-0.05*$B$27)-$B$60))&lt;0,0,(B21*($B$26-($B$27-0.05*$B$27)-$B$60)))</f>
        <v>81.696153758792036</v>
      </c>
      <c r="C32" s="34" t="s">
        <v>110</v>
      </c>
      <c r="D32" s="171"/>
    </row>
    <row r="33" spans="1:6">
      <c r="A33" s="168" t="s">
        <v>73</v>
      </c>
      <c r="B33" s="33">
        <f>IF((B22*($B$26-($B$27-0.05*$B$27)-$B$60))&lt;0,0,B22*($B$26-($B$27-0.05*$B$27)-$B$60))</f>
        <v>1326.5837360343537</v>
      </c>
      <c r="C33" s="34" t="s">
        <v>110</v>
      </c>
      <c r="D33" s="171"/>
    </row>
    <row r="34" spans="1:6">
      <c r="A34" s="168" t="s">
        <v>74</v>
      </c>
      <c r="B34" s="33">
        <f>IF((B24*($B$26-($B$27-0.05*$B$27)-$B$60))&lt;0,0,B24*($B$26-($B$27-0.05*$B$27)-$B$60))</f>
        <v>254.32385515700329</v>
      </c>
      <c r="C34" s="33">
        <f>B26*C24</f>
        <v>2447.3965450493638</v>
      </c>
      <c r="D34" s="230"/>
    </row>
    <row r="35" spans="1:6">
      <c r="A35" s="168" t="s">
        <v>76</v>
      </c>
      <c r="B35" s="33">
        <f>IF((B19*($B$26-($B$27-0.05*$B$27)-$B$60))&lt;0,0,B19*($B$26-($B$27-0.05*$B$27)-$B$60))</f>
        <v>35.513123269985243</v>
      </c>
      <c r="C35" s="33">
        <f>B35/2</f>
        <v>17.756561634992622</v>
      </c>
      <c r="D35" s="230"/>
    </row>
    <row r="36" spans="1:6">
      <c r="A36" s="168" t="s">
        <v>77</v>
      </c>
      <c r="B36" s="33">
        <f>IF((B18*($B$26-($B$27-0.05*$B$27)-$B$60))&lt;0,0,B18*($B$26-($B$27-0.05*$B$27)-$B$60))</f>
        <v>3448.0331317798646</v>
      </c>
      <c r="C36" s="34" t="s">
        <v>110</v>
      </c>
      <c r="D36" s="171"/>
    </row>
    <row r="37" spans="1:6">
      <c r="A37" s="168" t="s">
        <v>78</v>
      </c>
      <c r="B37" s="33">
        <f>B60</f>
        <v>126</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485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126</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49835.475306</v>
      </c>
      <c r="C5" s="17">
        <f>IF(ISERROR('Eigen informatie GS &amp; warmtenet'!B60),0,'Eigen informatie GS &amp; warmtenet'!B60)</f>
        <v>0</v>
      </c>
      <c r="D5" s="30">
        <f>SUM(D6:D12)</f>
        <v>49861.115036271003</v>
      </c>
      <c r="E5" s="17">
        <f>SUM(E6:E12)</f>
        <v>394.61185428578966</v>
      </c>
      <c r="F5" s="17">
        <f>SUM(F6:F12)</f>
        <v>24388.880556850792</v>
      </c>
      <c r="G5" s="18"/>
      <c r="H5" s="17"/>
      <c r="I5" s="17"/>
      <c r="J5" s="17">
        <f>SUM(J6:J12)</f>
        <v>0.24359655901779204</v>
      </c>
      <c r="K5" s="17"/>
      <c r="L5" s="17"/>
      <c r="M5" s="17"/>
      <c r="N5" s="17">
        <f>SUM(N6:N12)</f>
        <v>9244.7537212561401</v>
      </c>
      <c r="O5" s="17">
        <f>B38*B39*B40</f>
        <v>9.7945215316823084</v>
      </c>
      <c r="P5" s="17">
        <f>B46*B47*B48/1000-B46*B47*B48/1000/B49</f>
        <v>420.31310645196015</v>
      </c>
      <c r="R5" s="32"/>
    </row>
    <row r="6" spans="1:18">
      <c r="A6" s="32" t="s">
        <v>53</v>
      </c>
      <c r="B6" s="37">
        <f>B26</f>
        <v>6449.9790679999996</v>
      </c>
      <c r="C6" s="33"/>
      <c r="D6" s="37">
        <f>IF(ISERROR(TER_kantoor_gas_kWh/1000),0,TER_kantoor_gas_kWh/1000)*0.903</f>
        <v>9769.1352953879996</v>
      </c>
      <c r="E6" s="33">
        <f>$C$26*'E Balans VL '!I12/100/3.6*1000000</f>
        <v>1.5368399008500961</v>
      </c>
      <c r="F6" s="33">
        <f>$C$26*('E Balans VL '!L12+'E Balans VL '!N12)/100/3.6*1000000</f>
        <v>560.24386701147159</v>
      </c>
      <c r="G6" s="34"/>
      <c r="H6" s="33"/>
      <c r="I6" s="33"/>
      <c r="J6" s="33">
        <f>$C$26*('E Balans VL '!D12+'E Balans VL '!E12)/100/3.6*1000000</f>
        <v>0</v>
      </c>
      <c r="K6" s="33"/>
      <c r="L6" s="33"/>
      <c r="M6" s="33"/>
      <c r="N6" s="33">
        <f>$C$26*'E Balans VL '!Y12/100/3.6*1000000</f>
        <v>8.621299377737488</v>
      </c>
      <c r="O6" s="33"/>
      <c r="P6" s="33"/>
      <c r="R6" s="32"/>
    </row>
    <row r="7" spans="1:18">
      <c r="A7" s="32" t="s">
        <v>52</v>
      </c>
      <c r="B7" s="37">
        <f t="shared" ref="B7:B12" si="0">B27</f>
        <v>6016.5367369999994</v>
      </c>
      <c r="C7" s="33"/>
      <c r="D7" s="37">
        <f>IF(ISERROR(TER_horeca_gas_kWh/1000),0,TER_horeca_gas_kWh/1000)*0.903</f>
        <v>9953.630263983001</v>
      </c>
      <c r="E7" s="33">
        <f>$C$27*'E Balans VL '!I9/100/3.6*1000000</f>
        <v>0</v>
      </c>
      <c r="F7" s="33">
        <f>$C$27*('E Balans VL '!L9+'E Balans VL '!N9)/100/3.6*1000000</f>
        <v>490.23886030425234</v>
      </c>
      <c r="G7" s="34"/>
      <c r="H7" s="33"/>
      <c r="I7" s="33"/>
      <c r="J7" s="33">
        <f>$C$27*('E Balans VL '!D9+'E Balans VL '!E9)/100/3.6*1000000</f>
        <v>0</v>
      </c>
      <c r="K7" s="33"/>
      <c r="L7" s="33"/>
      <c r="M7" s="33"/>
      <c r="N7" s="33">
        <f>$C$27*'E Balans VL '!Y9/100/3.6*1000000</f>
        <v>1.6664686641741302</v>
      </c>
      <c r="O7" s="33"/>
      <c r="P7" s="33"/>
      <c r="R7" s="32"/>
    </row>
    <row r="8" spans="1:18">
      <c r="A8" s="6" t="s">
        <v>51</v>
      </c>
      <c r="B8" s="37">
        <f t="shared" si="0"/>
        <v>10111.709492</v>
      </c>
      <c r="C8" s="33"/>
      <c r="D8" s="37">
        <f>IF(ISERROR(TER_handel_gas_kWh/1000),0,TER_handel_gas_kWh/1000)*0.903</f>
        <v>8624.7415789080005</v>
      </c>
      <c r="E8" s="33">
        <f>$C$28*'E Balans VL '!I13/100/3.6*1000000</f>
        <v>80.829108612250735</v>
      </c>
      <c r="F8" s="33">
        <f>$C$28*('E Balans VL '!L13+'E Balans VL '!N13)/100/3.6*1000000</f>
        <v>1004.5354799765563</v>
      </c>
      <c r="G8" s="34"/>
      <c r="H8" s="33"/>
      <c r="I8" s="33"/>
      <c r="J8" s="33">
        <f>$C$28*('E Balans VL '!D13+'E Balans VL '!E13)/100/3.6*1000000</f>
        <v>0</v>
      </c>
      <c r="K8" s="33"/>
      <c r="L8" s="33"/>
      <c r="M8" s="33"/>
      <c r="N8" s="33">
        <f>$C$28*'E Balans VL '!Y13/100/3.6*1000000</f>
        <v>3.7773253842748016</v>
      </c>
      <c r="O8" s="33"/>
      <c r="P8" s="33"/>
      <c r="R8" s="32"/>
    </row>
    <row r="9" spans="1:18">
      <c r="A9" s="32" t="s">
        <v>50</v>
      </c>
      <c r="B9" s="37">
        <f t="shared" si="0"/>
        <v>2318.478869</v>
      </c>
      <c r="C9" s="33"/>
      <c r="D9" s="37">
        <f>IF(ISERROR(TER_gezond_gas_kWh/1000),0,TER_gezond_gas_kWh/1000)*0.903</f>
        <v>1915.3867209329999</v>
      </c>
      <c r="E9" s="33">
        <f>$C$29*'E Balans VL '!I10/100/3.6*1000000</f>
        <v>0</v>
      </c>
      <c r="F9" s="33">
        <f>$C$29*('E Balans VL '!L10+'E Balans VL '!N10)/100/3.6*1000000</f>
        <v>211.36713013769719</v>
      </c>
      <c r="G9" s="34"/>
      <c r="H9" s="33"/>
      <c r="I9" s="33"/>
      <c r="J9" s="33">
        <f>$C$29*('E Balans VL '!D10+'E Balans VL '!E10)/100/3.6*1000000</f>
        <v>0</v>
      </c>
      <c r="K9" s="33"/>
      <c r="L9" s="33"/>
      <c r="M9" s="33"/>
      <c r="N9" s="33">
        <f>$C$29*'E Balans VL '!Y10/100/3.6*1000000</f>
        <v>16.946002804265348</v>
      </c>
      <c r="O9" s="33"/>
      <c r="P9" s="33"/>
      <c r="R9" s="32"/>
    </row>
    <row r="10" spans="1:18">
      <c r="A10" s="32" t="s">
        <v>49</v>
      </c>
      <c r="B10" s="37">
        <f t="shared" si="0"/>
        <v>24084.676055</v>
      </c>
      <c r="C10" s="33"/>
      <c r="D10" s="37">
        <f>IF(ISERROR(TER_ander_gas_kWh/1000),0,TER_ander_gas_kWh/1000)*0.903</f>
        <v>16247.706845811002</v>
      </c>
      <c r="E10" s="33">
        <f>$C$30*'E Balans VL '!I14/100/3.6*1000000</f>
        <v>312.24590577268884</v>
      </c>
      <c r="F10" s="33">
        <f>$C$30*('E Balans VL '!L14+'E Balans VL '!N14)/100/3.6*1000000</f>
        <v>22089.029495159368</v>
      </c>
      <c r="G10" s="34"/>
      <c r="H10" s="33"/>
      <c r="I10" s="33"/>
      <c r="J10" s="33">
        <f>$C$30*('E Balans VL '!D14+'E Balans VL '!E14)/100/3.6*1000000</f>
        <v>0.24359655901779204</v>
      </c>
      <c r="K10" s="33"/>
      <c r="L10" s="33"/>
      <c r="M10" s="33"/>
      <c r="N10" s="33">
        <f>$C$30*'E Balans VL '!Y14/100/3.6*1000000</f>
        <v>9211.0528685793361</v>
      </c>
      <c r="O10" s="33"/>
      <c r="P10" s="33"/>
      <c r="R10" s="32"/>
    </row>
    <row r="11" spans="1:18">
      <c r="A11" s="32" t="s">
        <v>54</v>
      </c>
      <c r="B11" s="37">
        <f t="shared" si="0"/>
        <v>854.09508499999993</v>
      </c>
      <c r="C11" s="33"/>
      <c r="D11" s="37">
        <f>IF(ISERROR(TER_onderwijs_gas_kWh/1000),0,TER_onderwijs_gas_kWh/1000)*0.903</f>
        <v>3350.514331248</v>
      </c>
      <c r="E11" s="33">
        <f>$C$31*'E Balans VL '!I11/100/3.6*1000000</f>
        <v>0</v>
      </c>
      <c r="F11" s="33">
        <f>$C$31*('E Balans VL '!L11+'E Balans VL '!N11)/100/3.6*1000000</f>
        <v>33.465724261447477</v>
      </c>
      <c r="G11" s="34"/>
      <c r="H11" s="33"/>
      <c r="I11" s="33"/>
      <c r="J11" s="33">
        <f>$C$31*('E Balans VL '!D11+'E Balans VL '!E11)/100/3.6*1000000</f>
        <v>0</v>
      </c>
      <c r="K11" s="33"/>
      <c r="L11" s="33"/>
      <c r="M11" s="33"/>
      <c r="N11" s="33">
        <f>$C$31*'E Balans VL '!Y11/100/3.6*1000000</f>
        <v>2.6897564463516614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19591</v>
      </c>
      <c r="C13" s="243">
        <f ca="1">'lokale energieproductie'!O41+'lokale energieproductie'!O34</f>
        <v>7512.1756756756758</v>
      </c>
      <c r="D13" s="304">
        <f ca="1">('lokale energieproductie'!P34+'lokale energieproductie'!P41)*(-1)</f>
        <v>-15022.972972972975</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-40950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69426.475306000008</v>
      </c>
      <c r="C16" s="21">
        <f t="shared" ca="1" si="1"/>
        <v>7512.1756756756758</v>
      </c>
      <c r="D16" s="21">
        <f t="shared" ca="1" si="1"/>
        <v>34838.14206329803</v>
      </c>
      <c r="E16" s="21">
        <f t="shared" si="1"/>
        <v>394.61185428578966</v>
      </c>
      <c r="F16" s="21">
        <f t="shared" ca="1" si="1"/>
        <v>24388.880556850792</v>
      </c>
      <c r="G16" s="21">
        <f t="shared" si="1"/>
        <v>0</v>
      </c>
      <c r="H16" s="21">
        <f t="shared" si="1"/>
        <v>0</v>
      </c>
      <c r="I16" s="21">
        <f t="shared" si="1"/>
        <v>0</v>
      </c>
      <c r="J16" s="21">
        <f t="shared" si="1"/>
        <v>0.24359655901779204</v>
      </c>
      <c r="K16" s="21">
        <f t="shared" si="1"/>
        <v>0</v>
      </c>
      <c r="L16" s="21">
        <f t="shared" ca="1" si="1"/>
        <v>0</v>
      </c>
      <c r="M16" s="21">
        <f t="shared" si="1"/>
        <v>0</v>
      </c>
      <c r="N16" s="21">
        <f t="shared" ca="1" si="1"/>
        <v>0</v>
      </c>
      <c r="O16" s="21">
        <f>O5</f>
        <v>9.7945215316823084</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0.15267610001950604</v>
      </c>
      <c r="C18" s="25">
        <f ca="1">'EF ele_warmte'!B22</f>
        <v>7.2170335065547389E-2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10599.763487820625</v>
      </c>
      <c r="C20" s="23">
        <f t="shared" ref="C20:P20" ca="1" si="2">C16*C18</f>
        <v>542.15623558476841</v>
      </c>
      <c r="D20" s="23">
        <f t="shared" ca="1" si="2"/>
        <v>7037.3046967862028</v>
      </c>
      <c r="E20" s="23">
        <f t="shared" si="2"/>
        <v>89.576890922874256</v>
      </c>
      <c r="F20" s="23">
        <f t="shared" ca="1" si="2"/>
        <v>6511.8311086791618</v>
      </c>
      <c r="G20" s="23">
        <f t="shared" si="2"/>
        <v>0</v>
      </c>
      <c r="H20" s="23">
        <f t="shared" si="2"/>
        <v>0</v>
      </c>
      <c r="I20" s="23">
        <f t="shared" si="2"/>
        <v>0</v>
      </c>
      <c r="J20" s="23">
        <f t="shared" si="2"/>
        <v>8.623318189229838E-2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6449.9790679999996</v>
      </c>
      <c r="C26" s="39">
        <f>IF(ISERROR(B26*3.6/1000000/'E Balans VL '!Z12*100),0,B26*3.6/1000000/'E Balans VL '!Z12*100)</f>
        <v>0.18504929248495389</v>
      </c>
      <c r="D26" s="233" t="s">
        <v>841</v>
      </c>
      <c r="F26" s="6"/>
    </row>
    <row r="27" spans="1:18" ht="30">
      <c r="A27" s="228" t="s">
        <v>52</v>
      </c>
      <c r="B27" s="33">
        <f>IF(ISERROR(TER_horeca_ele_kWh/1000),0,TER_horeca_ele_kWh/1000)</f>
        <v>6016.5367369999994</v>
      </c>
      <c r="C27" s="39">
        <f>IF(ISERROR(B27*3.6/1000000/'E Balans VL '!Z9*100),0,B27*3.6/1000000/'E Balans VL '!Z9*100)</f>
        <v>0.44077361142057314</v>
      </c>
      <c r="D27" s="233" t="s">
        <v>841</v>
      </c>
      <c r="F27" s="6"/>
    </row>
    <row r="28" spans="1:18" ht="30">
      <c r="A28" s="168" t="s">
        <v>51</v>
      </c>
      <c r="B28" s="33">
        <f>IF(ISERROR(TER_handel_ele_kWh/1000),0,TER_handel_ele_kWh/1000)</f>
        <v>10111.709492</v>
      </c>
      <c r="C28" s="39">
        <f>IF(ISERROR(B28*3.6/1000000/'E Balans VL '!Z13*100),0,B28*3.6/1000000/'E Balans VL '!Z13*100)</f>
        <v>0.31246035203768735</v>
      </c>
      <c r="D28" s="233" t="s">
        <v>841</v>
      </c>
      <c r="F28" s="6"/>
    </row>
    <row r="29" spans="1:18" ht="30">
      <c r="A29" s="228" t="s">
        <v>50</v>
      </c>
      <c r="B29" s="33">
        <f>IF(ISERROR(TER_gezond_ele_kWh/1000),0,TER_gezond_ele_kWh/1000)</f>
        <v>2318.478869</v>
      </c>
      <c r="C29" s="39">
        <f>IF(ISERROR(B29*3.6/1000000/'E Balans VL '!Z10*100),0,B29*3.6/1000000/'E Balans VL '!Z10*100)</f>
        <v>0.22722518538423106</v>
      </c>
      <c r="D29" s="233" t="s">
        <v>841</v>
      </c>
      <c r="F29" s="6"/>
    </row>
    <row r="30" spans="1:18" ht="30">
      <c r="A30" s="228" t="s">
        <v>49</v>
      </c>
      <c r="B30" s="33">
        <f>IF(ISERROR(TER_ander_ele_kWh/1000),0,TER_ander_ele_kWh/1000)</f>
        <v>24084.676055</v>
      </c>
      <c r="C30" s="39">
        <f>IF(ISERROR(B30*3.6/1000000/'E Balans VL '!Z14*100),0,B30*3.6/1000000/'E Balans VL '!Z14*100)</f>
        <v>0.99766508812747579</v>
      </c>
      <c r="D30" s="233" t="s">
        <v>841</v>
      </c>
      <c r="F30" s="6"/>
    </row>
    <row r="31" spans="1:18" ht="30">
      <c r="A31" s="228" t="s">
        <v>54</v>
      </c>
      <c r="B31" s="33">
        <f>IF(ISERROR(TER_onderwijs_ele_kWh/1000),0,TER_onderwijs_ele_kWh/1000)</f>
        <v>854.09508499999993</v>
      </c>
      <c r="C31" s="39">
        <f>IF(ISERROR(B31*3.6/1000000/'E Balans VL '!Z11*100),0,B31*3.6/1000000/'E Balans VL '!Z11*100)</f>
        <v>0.2624374528921139</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8</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25824.048347</v>
      </c>
      <c r="C5" s="17">
        <f>IF(ISERROR('Eigen informatie GS &amp; warmtenet'!B61),0,'Eigen informatie GS &amp; warmtenet'!B61)</f>
        <v>0</v>
      </c>
      <c r="D5" s="30">
        <f>SUM(D6:D15)</f>
        <v>30174.231316971003</v>
      </c>
      <c r="E5" s="17">
        <f>SUM(E6:E15)</f>
        <v>509.20650547400334</v>
      </c>
      <c r="F5" s="17">
        <f>SUM(F6:F15)</f>
        <v>5690.3655877523934</v>
      </c>
      <c r="G5" s="18"/>
      <c r="H5" s="17"/>
      <c r="I5" s="17"/>
      <c r="J5" s="17">
        <f>SUM(J6:J15)</f>
        <v>150.58740859197647</v>
      </c>
      <c r="K5" s="17"/>
      <c r="L5" s="17"/>
      <c r="M5" s="17"/>
      <c r="N5" s="17">
        <f>SUM(N6:N15)</f>
        <v>2708.9863460277561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11754.953858999999</v>
      </c>
      <c r="C8" s="33"/>
      <c r="D8" s="37">
        <f>IF( ISERROR(IND_metaal_Gas_kWH/1000),0,IND_metaal_Gas_kWH/1000)*0.903</f>
        <v>11645.773563018001</v>
      </c>
      <c r="E8" s="33">
        <f>C30*'E Balans VL '!I18/100/3.6*1000000</f>
        <v>64.078086758296564</v>
      </c>
      <c r="F8" s="33">
        <f>C30*'E Balans VL '!L18/100/3.6*1000000+C30*'E Balans VL '!N18/100/3.6*1000000</f>
        <v>757.01992639473201</v>
      </c>
      <c r="G8" s="34"/>
      <c r="H8" s="33"/>
      <c r="I8" s="33"/>
      <c r="J8" s="40">
        <f>C30*'E Balans VL '!D18/100/3.6*1000000+C30*'E Balans VL '!E18/100/3.6*1000000</f>
        <v>9.6287410610789763</v>
      </c>
      <c r="K8" s="33"/>
      <c r="L8" s="33"/>
      <c r="M8" s="33"/>
      <c r="N8" s="33">
        <f>C30*'E Balans VL '!Y18/100/3.6*1000000</f>
        <v>253.95801048665498</v>
      </c>
      <c r="O8" s="33"/>
      <c r="P8" s="33"/>
      <c r="R8" s="32"/>
    </row>
    <row r="9" spans="1:18">
      <c r="A9" s="6" t="s">
        <v>32</v>
      </c>
      <c r="B9" s="37">
        <f t="shared" si="0"/>
        <v>6656.5462539999999</v>
      </c>
      <c r="C9" s="33"/>
      <c r="D9" s="37">
        <f>IF( ISERROR(IND_andere_gas_kWh/1000),0,IND_andere_gas_kWh/1000)*0.903</f>
        <v>9341.2932452280002</v>
      </c>
      <c r="E9" s="33">
        <f>C31*'E Balans VL '!I19/100/3.6*1000000</f>
        <v>21.488464921437682</v>
      </c>
      <c r="F9" s="33">
        <f>C31*'E Balans VL '!L19/100/3.6*1000000+C31*'E Balans VL '!N19/100/3.6*1000000</f>
        <v>4304.1750621333294</v>
      </c>
      <c r="G9" s="34"/>
      <c r="H9" s="33"/>
      <c r="I9" s="33"/>
      <c r="J9" s="40">
        <f>C31*'E Balans VL '!D19/100/3.6*1000000+C31*'E Balans VL '!E19/100/3.6*1000000</f>
        <v>0</v>
      </c>
      <c r="K9" s="33"/>
      <c r="L9" s="33"/>
      <c r="M9" s="33"/>
      <c r="N9" s="33">
        <f>C31*'E Balans VL '!Y19/100/3.6*1000000</f>
        <v>268.98334513889324</v>
      </c>
      <c r="O9" s="33"/>
      <c r="P9" s="33"/>
      <c r="R9" s="32"/>
    </row>
    <row r="10" spans="1:18">
      <c r="A10" s="6" t="s">
        <v>40</v>
      </c>
      <c r="B10" s="37">
        <f t="shared" si="0"/>
        <v>743.28015200000004</v>
      </c>
      <c r="C10" s="33"/>
      <c r="D10" s="37">
        <f>IF( ISERROR(IND_voed_gas_kWh/1000),0,IND_voed_gas_kWh/1000)*0.903</f>
        <v>300.90879669899999</v>
      </c>
      <c r="E10" s="33">
        <f>C32*'E Balans VL '!I20/100/3.6*1000000</f>
        <v>1.5580973569044421</v>
      </c>
      <c r="F10" s="33">
        <f>C32*'E Balans VL '!L20/100/3.6*1000000+C32*'E Balans VL '!N20/100/3.6*1000000</f>
        <v>14.481666045858024</v>
      </c>
      <c r="G10" s="34"/>
      <c r="H10" s="33"/>
      <c r="I10" s="33"/>
      <c r="J10" s="40">
        <f>C32*'E Balans VL '!D20/100/3.6*1000000+C32*'E Balans VL '!E20/100/3.6*1000000</f>
        <v>0</v>
      </c>
      <c r="K10" s="33"/>
      <c r="L10" s="33"/>
      <c r="M10" s="33"/>
      <c r="N10" s="33">
        <f>C32*'E Balans VL '!Y20/100/3.6*1000000</f>
        <v>29.565623771970419</v>
      </c>
      <c r="O10" s="33"/>
      <c r="P10" s="33"/>
      <c r="R10" s="32"/>
    </row>
    <row r="11" spans="1:18">
      <c r="A11" s="6" t="s">
        <v>39</v>
      </c>
      <c r="B11" s="37">
        <f t="shared" si="0"/>
        <v>130.62059400000001</v>
      </c>
      <c r="C11" s="33"/>
      <c r="D11" s="37">
        <f>IF( ISERROR(IND_textiel_gas_kWh/1000),0,IND_textiel_gas_kWh/1000)*0.903</f>
        <v>181.790868273</v>
      </c>
      <c r="E11" s="33">
        <f>C33*'E Balans VL '!I21/100/3.6*1000000</f>
        <v>0.11223834990713631</v>
      </c>
      <c r="F11" s="33">
        <f>C33*'E Balans VL '!L21/100/3.6*1000000+C33*'E Balans VL '!N21/100/3.6*1000000</f>
        <v>2.7385963219924427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3933.938588</v>
      </c>
      <c r="C12" s="33"/>
      <c r="D12" s="37">
        <f>IF( ISERROR(IND_min_gas_kWh/1000),0,IND_min_gas_kWh/1000)*0.903</f>
        <v>6922.7690499239998</v>
      </c>
      <c r="E12" s="33">
        <f>C34*'E Balans VL '!I22/100/3.6*1000000</f>
        <v>64.379136647308044</v>
      </c>
      <c r="F12" s="33">
        <f>C34*'E Balans VL '!L22/100/3.6*1000000+C34*'E Balans VL '!N22/100/3.6*1000000</f>
        <v>600.45407368990038</v>
      </c>
      <c r="G12" s="34"/>
      <c r="H12" s="33"/>
      <c r="I12" s="33"/>
      <c r="J12" s="40">
        <f>C34*'E Balans VL '!D22/100/3.6*1000000+C34*'E Balans VL '!E22/100/3.6*1000000</f>
        <v>140.78215154552487</v>
      </c>
      <c r="K12" s="33"/>
      <c r="L12" s="33"/>
      <c r="M12" s="33"/>
      <c r="N12" s="33">
        <f>C34*'E Balans VL '!Y22/100/3.6*1000000</f>
        <v>2155.8818395995404</v>
      </c>
      <c r="O12" s="33"/>
      <c r="P12" s="33"/>
      <c r="R12" s="32"/>
    </row>
    <row r="13" spans="1:18">
      <c r="A13" s="6" t="s">
        <v>38</v>
      </c>
      <c r="B13" s="37">
        <f t="shared" si="0"/>
        <v>892.36790000000008</v>
      </c>
      <c r="C13" s="33"/>
      <c r="D13" s="37">
        <f>IF( ISERROR(IND_papier_gas_kWh/1000),0,IND_papier_gas_kWh/1000)*0.903</f>
        <v>242.375785869</v>
      </c>
      <c r="E13" s="33">
        <f>C35*'E Balans VL '!I23/100/3.6*1000000</f>
        <v>0</v>
      </c>
      <c r="F13" s="33">
        <f>C35*'E Balans VL '!L23/100/3.6*1000000+C35*'E Balans VL '!N23/100/3.6*1000000</f>
        <v>0.11953549354218788</v>
      </c>
      <c r="G13" s="34"/>
      <c r="H13" s="33"/>
      <c r="I13" s="33"/>
      <c r="J13" s="40">
        <f>C35*'E Balans VL '!D23/100/3.6*1000000+C35*'E Balans VL '!E23/100/3.6*1000000</f>
        <v>0.17651598537260826</v>
      </c>
      <c r="K13" s="33"/>
      <c r="L13" s="33"/>
      <c r="M13" s="33"/>
      <c r="N13" s="33">
        <f>C35*'E Balans VL '!Y23/100/3.6*1000000</f>
        <v>0</v>
      </c>
      <c r="O13" s="33"/>
      <c r="P13" s="33"/>
      <c r="R13" s="32"/>
    </row>
    <row r="14" spans="1:18">
      <c r="A14" s="6" t="s">
        <v>33</v>
      </c>
      <c r="B14" s="37">
        <f t="shared" si="0"/>
        <v>1712.3409999999999</v>
      </c>
      <c r="C14" s="33"/>
      <c r="D14" s="37">
        <f>IF( ISERROR(IND_chemie_gas_kWh/1000),0,IND_chemie_gas_kWh/1000)*0.903</f>
        <v>0</v>
      </c>
      <c r="E14" s="33">
        <f>C36*'E Balans VL '!I24/100/3.6*1000000</f>
        <v>357.59048144014946</v>
      </c>
      <c r="F14" s="33">
        <f>C36*'E Balans VL '!L24/100/3.6*1000000+C36*'E Balans VL '!N24/100/3.6*1000000</f>
        <v>11.376727673038214</v>
      </c>
      <c r="G14" s="34"/>
      <c r="H14" s="33"/>
      <c r="I14" s="33"/>
      <c r="J14" s="40">
        <f>C36*'E Balans VL '!D24/100/3.6*1000000+C36*'E Balans VL '!E24/100/3.6*1000000</f>
        <v>0</v>
      </c>
      <c r="K14" s="33"/>
      <c r="L14" s="33"/>
      <c r="M14" s="33"/>
      <c r="N14" s="33">
        <f>C36*'E Balans VL '!Y24/100/3.6*1000000</f>
        <v>0.59752703069721436</v>
      </c>
      <c r="O14" s="33"/>
      <c r="P14" s="33"/>
      <c r="R14" s="32"/>
    </row>
    <row r="15" spans="1:18">
      <c r="A15" s="6" t="s">
        <v>265</v>
      </c>
      <c r="B15" s="37">
        <f t="shared" si="0"/>
        <v>0</v>
      </c>
      <c r="C15" s="33"/>
      <c r="D15" s="37">
        <f>IF( ISERROR(IND_rest_gas_kWh/1000),0,IND_rest_gas_kWh/1000)*0.903</f>
        <v>1539.3200079600001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energieproductie'!N40+'lokale energieproductie'!N33</f>
        <v>630.00000000000011</v>
      </c>
      <c r="C16" s="243">
        <f>'lokale energieproductie'!O40+'lokale energieproductie'!O33</f>
        <v>900.00000000000023</v>
      </c>
      <c r="D16" s="304">
        <f>('lokale energieproductie'!P33+'lokale energieproductie'!P40)*(-1)</f>
        <v>-1800.0000000000005</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26454.048347</v>
      </c>
      <c r="C18" s="21">
        <f>C5+C16</f>
        <v>900.00000000000023</v>
      </c>
      <c r="D18" s="21">
        <f>MAX((D5+D16),0)</f>
        <v>28374.231316971003</v>
      </c>
      <c r="E18" s="21">
        <f>MAX((E5+E16),0)</f>
        <v>509.20650547400334</v>
      </c>
      <c r="F18" s="21">
        <f>MAX((F5+F16),0)</f>
        <v>5690.3655877523934</v>
      </c>
      <c r="G18" s="21"/>
      <c r="H18" s="21"/>
      <c r="I18" s="21"/>
      <c r="J18" s="21">
        <f>MAX((J5+J16),0)</f>
        <v>150.58740859197647</v>
      </c>
      <c r="K18" s="21"/>
      <c r="L18" s="21">
        <f>MAX((L5+L16),0)</f>
        <v>0</v>
      </c>
      <c r="M18" s="21"/>
      <c r="N18" s="21">
        <f>MAX((N5+N16),0)</f>
        <v>2708.9863460277561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0.15267610001950604</v>
      </c>
      <c r="C20" s="25">
        <f ca="1">'EF ele_warmte'!B22</f>
        <v>7.2170335065547389E-2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4038.9009313474207</v>
      </c>
      <c r="C22" s="23">
        <f ca="1">C18*C20</f>
        <v>64.953301558992663</v>
      </c>
      <c r="D22" s="23">
        <f>D18*D20</f>
        <v>5731.5947260281428</v>
      </c>
      <c r="E22" s="23">
        <f>E18*E20</f>
        <v>115.58987674259876</v>
      </c>
      <c r="F22" s="23">
        <f>F18*F20</f>
        <v>1519.3276119298891</v>
      </c>
      <c r="G22" s="23"/>
      <c r="H22" s="23"/>
      <c r="I22" s="23"/>
      <c r="J22" s="23">
        <f>J18*J20</f>
        <v>53.30794264155967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11754.953858999999</v>
      </c>
      <c r="C30" s="39">
        <f>IF(ISERROR(B30*3.6/1000000/'E Balans VL '!Z18*100),0,B30*3.6/1000000/'E Balans VL '!Z18*100)</f>
        <v>0.70785108882753578</v>
      </c>
      <c r="D30" s="233" t="s">
        <v>841</v>
      </c>
    </row>
    <row r="31" spans="1:18" ht="30">
      <c r="A31" s="6" t="s">
        <v>32</v>
      </c>
      <c r="B31" s="37">
        <f>IF( ISERROR(IND_ander_ele_kWh/1000),0,IND_ander_ele_kWh/1000)</f>
        <v>6656.5462539999999</v>
      </c>
      <c r="C31" s="39">
        <f>IF(ISERROR(B31*3.6/1000000/'E Balans VL '!Z19*100),0,B31*3.6/1000000/'E Balans VL '!Z19*100)</f>
        <v>0.27120147502459901</v>
      </c>
      <c r="D31" s="233" t="s">
        <v>841</v>
      </c>
    </row>
    <row r="32" spans="1:18" ht="30">
      <c r="A32" s="168" t="s">
        <v>40</v>
      </c>
      <c r="B32" s="37">
        <f>IF( ISERROR(IND_voed_ele_kWh/1000),0,IND_voed_ele_kWh/1000)</f>
        <v>743.28015200000004</v>
      </c>
      <c r="C32" s="39">
        <f>IF(ISERROR(B32*3.6/1000000/'E Balans VL '!Z20*100),0,B32*3.6/1000000/'E Balans VL '!Z20*100)</f>
        <v>2.1491220377161127E-2</v>
      </c>
      <c r="D32" s="233" t="s">
        <v>841</v>
      </c>
    </row>
    <row r="33" spans="1:5" ht="30">
      <c r="A33" s="168" t="s">
        <v>39</v>
      </c>
      <c r="B33" s="37">
        <f>IF( ISERROR(IND_textiel_ele_kWh/1000),0,IND_textiel_ele_kWh/1000)</f>
        <v>130.62059400000001</v>
      </c>
      <c r="C33" s="39">
        <f>IF(ISERROR(B33*3.6/1000000/'E Balans VL '!Z21*100),0,B33*3.6/1000000/'E Balans VL '!Z21*100)</f>
        <v>2.1481023905672022E-2</v>
      </c>
      <c r="D33" s="233" t="s">
        <v>841</v>
      </c>
    </row>
    <row r="34" spans="1:5" ht="30">
      <c r="A34" s="168" t="s">
        <v>36</v>
      </c>
      <c r="B34" s="37">
        <f>IF( ISERROR(IND_min_ele_kWh/1000),0,IND_min_ele_kWh/1000)</f>
        <v>3933.938588</v>
      </c>
      <c r="C34" s="39">
        <f>IF(ISERROR(B34*3.6/1000000/'E Balans VL '!Z22*100),0,B34*3.6/1000000/'E Balans VL '!Z22*100)</f>
        <v>1.6797552219405048</v>
      </c>
      <c r="D34" s="233" t="s">
        <v>841</v>
      </c>
    </row>
    <row r="35" spans="1:5" ht="30">
      <c r="A35" s="168" t="s">
        <v>38</v>
      </c>
      <c r="B35" s="37">
        <f>IF( ISERROR(IND_papier_ele_kWh/1000),0,IND_papier_ele_kWh/1000)</f>
        <v>892.36790000000008</v>
      </c>
      <c r="C35" s="39">
        <f>IF(ISERROR(B35*3.6/1000000/'E Balans VL '!Z22*100),0,B35*3.6/1000000/'E Balans VL '!Z22*100)</f>
        <v>0.38103280119559463</v>
      </c>
      <c r="D35" s="233" t="s">
        <v>841</v>
      </c>
    </row>
    <row r="36" spans="1:5" ht="30">
      <c r="A36" s="168" t="s">
        <v>33</v>
      </c>
      <c r="B36" s="37">
        <f>IF( ISERROR(IND_chemie_ele_kWh/1000),0,IND_chemie_ele_kWh/1000)</f>
        <v>1712.3409999999999</v>
      </c>
      <c r="C36" s="39">
        <f>IF(ISERROR(B36*3.6/1000000/'E Balans VL '!Z24*100),0,B36*3.6/1000000/'E Balans VL '!Z24*100)</f>
        <v>5.1958872234540668E-2</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336.29914299999996</v>
      </c>
      <c r="C5" s="17">
        <f>'Eigen informatie GS &amp; warmtenet'!B62</f>
        <v>0</v>
      </c>
      <c r="D5" s="30">
        <f>IF(ISERROR(SUM(LB_lb_gas_kWh,LB_rest_gas_kWh)/1000),0,SUM(LB_lb_gas_kWh,LB_rest_gas_kWh)/1000)*0.903</f>
        <v>14.672450583</v>
      </c>
      <c r="E5" s="17">
        <f>B17*'E Balans VL '!I25/3.6*1000000/100</f>
        <v>9.6321765778645645</v>
      </c>
      <c r="F5" s="17">
        <f>B17*('E Balans VL '!L25/3.6*1000000+'E Balans VL '!N25/3.6*1000000)/100</f>
        <v>1064.5493671058291</v>
      </c>
      <c r="G5" s="18"/>
      <c r="H5" s="17"/>
      <c r="I5" s="17"/>
      <c r="J5" s="17">
        <f>('E Balans VL '!D25+'E Balans VL '!E25)/3.6*1000000*landbouw!B17/100</f>
        <v>85.510311467383289</v>
      </c>
      <c r="K5" s="17"/>
      <c r="L5" s="17">
        <f>L6*(-1)</f>
        <v>0</v>
      </c>
      <c r="M5" s="17"/>
      <c r="N5" s="17">
        <f>N6*(-1)</f>
        <v>38571.428571428572</v>
      </c>
      <c r="O5" s="17"/>
      <c r="P5" s="17"/>
      <c r="R5" s="32"/>
    </row>
    <row r="6" spans="1:18">
      <c r="A6" s="16" t="s">
        <v>473</v>
      </c>
      <c r="B6" s="17" t="s">
        <v>210</v>
      </c>
      <c r="C6" s="17">
        <f>'lokale energieproductie'!O42+'lokale energieproductie'!O35</f>
        <v>19285.714285714286</v>
      </c>
      <c r="D6" s="304">
        <f>('lokale energieproductie'!P35+'lokale energieproductie'!P42)*(-1)</f>
        <v>0</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-38571.428571428572</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336.29914299999996</v>
      </c>
      <c r="C8" s="21">
        <f>C5+C6</f>
        <v>19285.714285714286</v>
      </c>
      <c r="D8" s="21">
        <f>MAX((D5+D6),0)</f>
        <v>14.672450583</v>
      </c>
      <c r="E8" s="21">
        <f>MAX((E5+E6),0)</f>
        <v>9.6321765778645645</v>
      </c>
      <c r="F8" s="21">
        <f>MAX((F5+F6),0)</f>
        <v>1064.5493671058291</v>
      </c>
      <c r="G8" s="21"/>
      <c r="H8" s="21"/>
      <c r="I8" s="21"/>
      <c r="J8" s="21">
        <f>MAX((J5+J6),0)</f>
        <v>85.510311467383289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0.15267610001950604</v>
      </c>
      <c r="C10" s="31">
        <f ca="1">'EF ele_warmte'!B22</f>
        <v>7.2170335065547389E-2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51.344841593142156</v>
      </c>
      <c r="C12" s="23">
        <f ca="1">C8*C10</f>
        <v>1391.856461978414</v>
      </c>
      <c r="D12" s="23">
        <f>D8*D10</f>
        <v>2.9638350177660002</v>
      </c>
      <c r="E12" s="23">
        <f>E8*E10</f>
        <v>2.1865040831752562</v>
      </c>
      <c r="F12" s="23">
        <f>F8*F10</f>
        <v>284.23468101725638</v>
      </c>
      <c r="G12" s="23"/>
      <c r="H12" s="23"/>
      <c r="I12" s="23"/>
      <c r="J12" s="23">
        <f>J8*J10</f>
        <v>30.270650259453681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4.6569802191373862E-2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103.85103657243239</v>
      </c>
      <c r="C26" s="243">
        <f>B26*'GWP N2O_CH4'!B5</f>
        <v>2180.8717680210802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39.959177750565843</v>
      </c>
      <c r="C27" s="243">
        <f>B27*'GWP N2O_CH4'!B5</f>
        <v>839.14273276188271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2.0514563411894415</v>
      </c>
      <c r="C28" s="243">
        <f>B28*'GWP N2O_CH4'!B4</f>
        <v>635.95146576872685</v>
      </c>
      <c r="D28" s="50"/>
    </row>
    <row r="29" spans="1:4">
      <c r="A29" s="41" t="s">
        <v>272</v>
      </c>
      <c r="B29" s="243">
        <f>B34*'ha_N2O bodem landbouw'!B4</f>
        <v>16.253647763726978</v>
      </c>
      <c r="C29" s="243">
        <f>B29*'GWP N2O_CH4'!B4</f>
        <v>5038.6308067553628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3.6925378758712311E-3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1.8724218114196632E-3</v>
      </c>
      <c r="C5" s="434" t="s">
        <v>210</v>
      </c>
      <c r="D5" s="419">
        <f>SUM(D6:D11)</f>
        <v>3.2896568358051826E-3</v>
      </c>
      <c r="E5" s="419">
        <f>SUM(E6:E11)</f>
        <v>1.3357878358113168E-3</v>
      </c>
      <c r="F5" s="432" t="s">
        <v>210</v>
      </c>
      <c r="G5" s="419">
        <f>SUM(G6:G11)</f>
        <v>0.57963981646345064</v>
      </c>
      <c r="H5" s="419">
        <f>SUM(H6:H11)</f>
        <v>0.16223549496093076</v>
      </c>
      <c r="I5" s="434" t="s">
        <v>210</v>
      </c>
      <c r="J5" s="434" t="s">
        <v>210</v>
      </c>
      <c r="K5" s="434" t="s">
        <v>210</v>
      </c>
      <c r="L5" s="434" t="s">
        <v>210</v>
      </c>
      <c r="M5" s="419">
        <f>SUM(M6:M11)</f>
        <v>4.4783016005797413E-2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1.0263384158064382E-3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1.7111999468186652E-3</v>
      </c>
      <c r="E6" s="886">
        <f>vkm_GW_PW*SUMIFS(TableVerdeelsleutelVkm[LPG],TableVerdeelsleutelVkm[Voertuigtype],"Lichte voertuigen")*SUMIFS(TableECFTransport[EnergieConsumptieFactor (PJ per km)],TableECFTransport[Index],CONCATENATE($A6,"_LPG_LPG"))</f>
        <v>6.7842118068078263E-4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0.20388260703330199</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8.3920240413089695E-2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1.7655855934689029E-2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2.8764619481973421E-6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0.11402476469137957</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8.4133771815151029E-7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6.5471091562599821E-3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4.4594541310093237E-4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1.0182954896684128E-3</v>
      </c>
      <c r="E8" s="422">
        <f>vkm_NGW_PW*SUMIFS(TableVerdeelsleutelVkm[LPG],TableVerdeelsleutelVkm[Voertuigtype],"Lichte voertuigen")*SUMIFS(TableECFTransport[EnergieConsumptieFactor (PJ per km)],TableECFTransport[Index],CONCATENATE($A8,"_LPG_LPG"))</f>
        <v>3.8655021039690367E-4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0.10640957342992594</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4.9472701792685515E-2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9.6170765164280882E-3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1.7430023157927573E-7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8.8976462589054218E-3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6.1535557048102548E-8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5.1088750917370343E-4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3.9514141434063684E-4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5.6016139931810472E-4</v>
      </c>
      <c r="E10" s="422">
        <f>vkm_SW_PW*SUMIFS(TableVerdeelsleutelVkm[LPG],TableVerdeelsleutelVkm[Voertuigtype],"Lichte voertuigen")*SUMIFS(TableECFTransport[EnergieConsumptieFactor (PJ per km)],TableECFTransport[Index],CONCATENATE($A10,"_LPG_LPG"))</f>
        <v>2.7081644473363046E-4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7.3837287790053469E-2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2.8841064092219981E-2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6.284206729919228E-3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1.9458059918791138E-6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7.2587937259884217E-2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5.8578966038287746E-7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4.1678801593273748E-3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520.11716983879535</v>
      </c>
      <c r="C14" s="21"/>
      <c r="D14" s="21">
        <f t="shared" ref="D14:M14" si="0">((D5)*10^9/3600)+D12</f>
        <v>913.79356550143962</v>
      </c>
      <c r="E14" s="21">
        <f t="shared" si="0"/>
        <v>371.05217661425468</v>
      </c>
      <c r="F14" s="21"/>
      <c r="G14" s="21">
        <f t="shared" si="0"/>
        <v>161011.06012873631</v>
      </c>
      <c r="H14" s="21">
        <f t="shared" si="0"/>
        <v>45065.415266925214</v>
      </c>
      <c r="I14" s="21"/>
      <c r="J14" s="21"/>
      <c r="K14" s="21"/>
      <c r="L14" s="21"/>
      <c r="M14" s="21">
        <f t="shared" si="0"/>
        <v>12439.726668277061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0.15267610001950604</v>
      </c>
      <c r="C16" s="56">
        <f ca="1">'EF ele_warmte'!B22</f>
        <v>7.2170335065547389E-2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79.409461044170328</v>
      </c>
      <c r="C18" s="23"/>
      <c r="D18" s="23">
        <f t="shared" ref="D18:M18" si="1">D14*D16</f>
        <v>184.58630023129081</v>
      </c>
      <c r="E18" s="23">
        <f t="shared" si="1"/>
        <v>84.228844091435818</v>
      </c>
      <c r="F18" s="23"/>
      <c r="G18" s="23">
        <f t="shared" si="1"/>
        <v>42989.9530543726</v>
      </c>
      <c r="H18" s="23">
        <f t="shared" si="1"/>
        <v>11221.288401464379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2.0441461939629338E-4</v>
      </c>
      <c r="C50" s="315">
        <f t="shared" ref="C50:P50" si="2">SUM(C51:C52)</f>
        <v>0</v>
      </c>
      <c r="D50" s="315">
        <f t="shared" si="2"/>
        <v>0</v>
      </c>
      <c r="E50" s="315">
        <f t="shared" si="2"/>
        <v>0</v>
      </c>
      <c r="F50" s="315">
        <f t="shared" si="2"/>
        <v>0</v>
      </c>
      <c r="G50" s="315">
        <f t="shared" si="2"/>
        <v>1.2796973162884058E-2</v>
      </c>
      <c r="H50" s="315">
        <f t="shared" si="2"/>
        <v>0</v>
      </c>
      <c r="I50" s="315">
        <f t="shared" si="2"/>
        <v>0</v>
      </c>
      <c r="J50" s="315">
        <f t="shared" si="2"/>
        <v>0</v>
      </c>
      <c r="K50" s="315">
        <f t="shared" si="2"/>
        <v>0</v>
      </c>
      <c r="L50" s="315">
        <f t="shared" si="2"/>
        <v>0</v>
      </c>
      <c r="M50" s="315">
        <f t="shared" si="2"/>
        <v>7.3477386353452934E-4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2.0441461939629338E-4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1.2796973162884058E-2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7.3477386353452934E-4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56.781838721192607</v>
      </c>
      <c r="C54" s="21">
        <f t="shared" ref="C54:P54" si="3">(C50)*10^9/3600</f>
        <v>0</v>
      </c>
      <c r="D54" s="21">
        <f t="shared" si="3"/>
        <v>0</v>
      </c>
      <c r="E54" s="21">
        <f t="shared" si="3"/>
        <v>0</v>
      </c>
      <c r="F54" s="21">
        <f t="shared" si="3"/>
        <v>0</v>
      </c>
      <c r="G54" s="21">
        <f t="shared" si="3"/>
        <v>3554.714767467794</v>
      </c>
      <c r="H54" s="21">
        <f t="shared" si="3"/>
        <v>0</v>
      </c>
      <c r="I54" s="21">
        <f t="shared" si="3"/>
        <v>0</v>
      </c>
      <c r="J54" s="21">
        <f t="shared" si="3"/>
        <v>0</v>
      </c>
      <c r="K54" s="21">
        <f t="shared" si="3"/>
        <v>0</v>
      </c>
      <c r="L54" s="21">
        <f t="shared" si="3"/>
        <v>0</v>
      </c>
      <c r="M54" s="21">
        <f t="shared" si="3"/>
        <v>204.10385098181371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0.15267610001950604</v>
      </c>
      <c r="C56" s="56">
        <f ca="1">'EF ele_warmte'!B22</f>
        <v>7.2170335065547389E-2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8.6692296878882633</v>
      </c>
      <c r="C58" s="23">
        <f t="shared" ref="C58:P58" ca="1" si="4">C54*C56</f>
        <v>0</v>
      </c>
      <c r="D58" s="23">
        <f t="shared" si="4"/>
        <v>0</v>
      </c>
      <c r="E58" s="23">
        <f t="shared" si="4"/>
        <v>0</v>
      </c>
      <c r="F58" s="23">
        <f t="shared" si="4"/>
        <v>0</v>
      </c>
      <c r="G58" s="23">
        <f t="shared" si="4"/>
        <v>949.10884291390107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zoomScale="65" zoomScaleNormal="65" workbookViewId="0">
      <selection activeCell="M31" sqref="M31"/>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17680.318525558741</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N32</f>
        <v>19388.5</v>
      </c>
      <c r="C8" s="545">
        <f>B51</f>
        <v>6927.1016901899284</v>
      </c>
      <c r="D8" s="546"/>
      <c r="E8" s="546">
        <f>E51</f>
        <v>0</v>
      </c>
      <c r="F8" s="547"/>
      <c r="G8" s="548"/>
      <c r="H8" s="546">
        <f>I51</f>
        <v>0</v>
      </c>
      <c r="I8" s="546">
        <f>G51+F51</f>
        <v>0</v>
      </c>
      <c r="J8" s="546">
        <f>H51+D51+C51</f>
        <v>15882.341871406168</v>
      </c>
      <c r="K8" s="546"/>
      <c r="L8" s="546"/>
      <c r="M8" s="546"/>
      <c r="N8" s="549"/>
      <c r="O8" s="550">
        <f>C8*$C$12+D8*$D$12+E8*$E$12+F8*$F$12+G8*$G$12+H8*$H$12+I8*$I$12+J8*$J$12</f>
        <v>1399.2745414183655</v>
      </c>
      <c r="P8" s="1285"/>
      <c r="Q8" s="1286"/>
      <c r="S8" s="540"/>
      <c r="T8" s="1282"/>
      <c r="U8" s="1282"/>
    </row>
    <row r="9" spans="1:21" s="531" customFormat="1" ht="17.45" customHeight="1" thickBot="1">
      <c r="A9" s="551" t="s">
        <v>243</v>
      </c>
      <c r="B9" s="552">
        <f>N39+'Eigen informatie GS &amp; warmtenet'!B12</f>
        <v>14332.5</v>
      </c>
      <c r="C9" s="553">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40950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51401.318525558745</v>
      </c>
      <c r="C10" s="560">
        <f t="shared" ref="C10:L10" si="0">SUM(C8:C9)</f>
        <v>6927.1016901899284</v>
      </c>
      <c r="D10" s="560">
        <f t="shared" si="0"/>
        <v>0</v>
      </c>
      <c r="E10" s="560">
        <f t="shared" si="0"/>
        <v>0</v>
      </c>
      <c r="F10" s="560">
        <f t="shared" si="0"/>
        <v>0</v>
      </c>
      <c r="G10" s="560">
        <f t="shared" si="0"/>
        <v>0</v>
      </c>
      <c r="H10" s="560">
        <f t="shared" si="0"/>
        <v>0</v>
      </c>
      <c r="I10" s="560">
        <f t="shared" si="0"/>
        <v>0</v>
      </c>
      <c r="J10" s="560">
        <f t="shared" si="0"/>
        <v>56832.34187140617</v>
      </c>
      <c r="K10" s="560">
        <f t="shared" si="0"/>
        <v>0</v>
      </c>
      <c r="L10" s="560">
        <f t="shared" si="0"/>
        <v>0</v>
      </c>
      <c r="M10" s="961"/>
      <c r="N10" s="961"/>
      <c r="O10" s="561">
        <f>SUM(O4:O9)</f>
        <v>1399.2745414183655</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O32</f>
        <v>27697.889961389963</v>
      </c>
      <c r="C17" s="576">
        <f>B52</f>
        <v>9895.8712827830441</v>
      </c>
      <c r="D17" s="577"/>
      <c r="E17" s="577">
        <f>E52</f>
        <v>0</v>
      </c>
      <c r="F17" s="578"/>
      <c r="G17" s="579"/>
      <c r="H17" s="576">
        <f>I52</f>
        <v>0</v>
      </c>
      <c r="I17" s="577">
        <f>G52+F52</f>
        <v>0</v>
      </c>
      <c r="J17" s="577">
        <f>H52+D52+C52</f>
        <v>22689.086700022403</v>
      </c>
      <c r="K17" s="577"/>
      <c r="L17" s="577"/>
      <c r="M17" s="577"/>
      <c r="N17" s="962"/>
      <c r="O17" s="580">
        <f>C17*$C$22+E17*$E$22+H17*$H$22+I17*$I$22+J17*$J$22+D17*$D$22+F17*$F$22+G17*$G$22+K17*$K$22+L17*$L$22</f>
        <v>1998.9659991221749</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27697.889961389963</v>
      </c>
      <c r="C20" s="559">
        <f>SUM(C17:C19)</f>
        <v>9895.8712827830441</v>
      </c>
      <c r="D20" s="559">
        <f t="shared" ref="D20:L20" si="1">SUM(D17:D19)</f>
        <v>0</v>
      </c>
      <c r="E20" s="559">
        <f t="shared" si="1"/>
        <v>0</v>
      </c>
      <c r="F20" s="559">
        <f t="shared" si="1"/>
        <v>0</v>
      </c>
      <c r="G20" s="559">
        <f t="shared" si="1"/>
        <v>0</v>
      </c>
      <c r="H20" s="559">
        <f t="shared" si="1"/>
        <v>0</v>
      </c>
      <c r="I20" s="559">
        <f t="shared" si="1"/>
        <v>0</v>
      </c>
      <c r="J20" s="559">
        <f t="shared" si="1"/>
        <v>22689.086700022403</v>
      </c>
      <c r="K20" s="559">
        <f t="shared" si="1"/>
        <v>0</v>
      </c>
      <c r="L20" s="559">
        <f t="shared" si="1"/>
        <v>0</v>
      </c>
      <c r="M20" s="559"/>
      <c r="N20" s="559"/>
      <c r="O20" s="585">
        <f>SUM(O17:O19)</f>
        <v>1998.9659991221749</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72039</v>
      </c>
      <c r="C28" s="787">
        <v>3530</v>
      </c>
      <c r="D28" s="637" t="s">
        <v>874</v>
      </c>
      <c r="E28" s="636" t="s">
        <v>875</v>
      </c>
      <c r="F28" s="636" t="s">
        <v>876</v>
      </c>
      <c r="G28" s="636" t="s">
        <v>877</v>
      </c>
      <c r="H28" s="636" t="s">
        <v>878</v>
      </c>
      <c r="I28" s="636" t="s">
        <v>875</v>
      </c>
      <c r="J28" s="786">
        <v>39532</v>
      </c>
      <c r="K28" s="786">
        <v>39609</v>
      </c>
      <c r="L28" s="636" t="s">
        <v>879</v>
      </c>
      <c r="M28" s="636">
        <v>3000</v>
      </c>
      <c r="N28" s="636">
        <v>13500</v>
      </c>
      <c r="O28" s="636">
        <v>19285.714285714286</v>
      </c>
      <c r="P28" s="636">
        <v>0</v>
      </c>
      <c r="Q28" s="636">
        <v>38571.428571428572</v>
      </c>
      <c r="R28" s="636">
        <v>0</v>
      </c>
      <c r="S28" s="636">
        <v>0</v>
      </c>
      <c r="T28" s="636">
        <v>0</v>
      </c>
      <c r="U28" s="636">
        <v>0</v>
      </c>
      <c r="V28" s="636">
        <v>0</v>
      </c>
      <c r="W28" s="636">
        <v>0</v>
      </c>
      <c r="X28" s="636">
        <v>10</v>
      </c>
      <c r="Y28" s="636" t="s">
        <v>111</v>
      </c>
      <c r="Z28" s="638" t="s">
        <v>111</v>
      </c>
    </row>
    <row r="29" spans="1:26" s="590" customFormat="1" ht="38.25">
      <c r="A29" s="589"/>
      <c r="B29" s="787">
        <v>72039</v>
      </c>
      <c r="C29" s="787">
        <v>3530</v>
      </c>
      <c r="D29" s="637" t="s">
        <v>880</v>
      </c>
      <c r="E29" s="636" t="s">
        <v>881</v>
      </c>
      <c r="F29" s="636" t="s">
        <v>882</v>
      </c>
      <c r="G29" s="636" t="s">
        <v>877</v>
      </c>
      <c r="H29" s="636" t="s">
        <v>878</v>
      </c>
      <c r="I29" s="636" t="s">
        <v>881</v>
      </c>
      <c r="J29" s="786">
        <v>41561</v>
      </c>
      <c r="K29" s="786">
        <v>41428</v>
      </c>
      <c r="L29" s="636" t="s">
        <v>879</v>
      </c>
      <c r="M29" s="636">
        <v>140</v>
      </c>
      <c r="N29" s="636">
        <v>630.00000000000011</v>
      </c>
      <c r="O29" s="636">
        <v>900.00000000000023</v>
      </c>
      <c r="P29" s="636">
        <v>1800.0000000000005</v>
      </c>
      <c r="Q29" s="636">
        <v>0</v>
      </c>
      <c r="R29" s="636">
        <v>0</v>
      </c>
      <c r="S29" s="636">
        <v>0</v>
      </c>
      <c r="T29" s="636">
        <v>0</v>
      </c>
      <c r="U29" s="636">
        <v>0</v>
      </c>
      <c r="V29" s="636">
        <v>0</v>
      </c>
      <c r="W29" s="636">
        <v>0</v>
      </c>
      <c r="X29" s="636">
        <v>800</v>
      </c>
      <c r="Y29" s="636" t="s">
        <v>35</v>
      </c>
      <c r="Z29" s="638" t="s">
        <v>379</v>
      </c>
    </row>
    <row r="30" spans="1:26" s="590" customFormat="1" ht="12.75">
      <c r="A30" s="589"/>
      <c r="B30" s="787">
        <v>72039</v>
      </c>
      <c r="C30" s="787">
        <v>3530</v>
      </c>
      <c r="D30" s="637" t="s">
        <v>883</v>
      </c>
      <c r="E30" s="636"/>
      <c r="F30" s="636" t="s">
        <v>884</v>
      </c>
      <c r="G30" s="636" t="s">
        <v>885</v>
      </c>
      <c r="H30" s="636" t="s">
        <v>886</v>
      </c>
      <c r="I30" s="636" t="s">
        <v>887</v>
      </c>
      <c r="J30" s="786">
        <v>42818</v>
      </c>
      <c r="K30" s="786">
        <v>42818</v>
      </c>
      <c r="L30" s="636" t="s">
        <v>888</v>
      </c>
      <c r="M30" s="636">
        <v>1.7</v>
      </c>
      <c r="N30" s="636">
        <v>8.5</v>
      </c>
      <c r="O30" s="636">
        <v>12.175675675675675</v>
      </c>
      <c r="P30" s="636">
        <v>22.972972972972972</v>
      </c>
      <c r="Q30" s="636">
        <v>0</v>
      </c>
      <c r="R30" s="636">
        <v>0</v>
      </c>
      <c r="S30" s="636">
        <v>0</v>
      </c>
      <c r="T30" s="636">
        <v>0</v>
      </c>
      <c r="U30" s="636">
        <v>0</v>
      </c>
      <c r="V30" s="636">
        <v>0</v>
      </c>
      <c r="W30" s="636">
        <v>0</v>
      </c>
      <c r="X30" s="636">
        <v>1100</v>
      </c>
      <c r="Y30" s="636" t="s">
        <v>160</v>
      </c>
      <c r="Z30" s="638" t="s">
        <v>155</v>
      </c>
    </row>
    <row r="31" spans="1:26" s="590" customFormat="1" ht="63.75">
      <c r="A31" s="589"/>
      <c r="B31" s="787">
        <v>72039</v>
      </c>
      <c r="C31" s="787">
        <v>3530</v>
      </c>
      <c r="D31" s="637" t="s">
        <v>889</v>
      </c>
      <c r="E31" s="636"/>
      <c r="F31" s="636" t="s">
        <v>890</v>
      </c>
      <c r="G31" s="636" t="s">
        <v>891</v>
      </c>
      <c r="H31" s="636" t="s">
        <v>878</v>
      </c>
      <c r="I31" s="636" t="s">
        <v>892</v>
      </c>
      <c r="J31" s="786">
        <v>39532</v>
      </c>
      <c r="K31" s="786">
        <v>43591</v>
      </c>
      <c r="L31" s="636" t="s">
        <v>893</v>
      </c>
      <c r="M31" s="636">
        <v>2000</v>
      </c>
      <c r="N31" s="636">
        <v>5250</v>
      </c>
      <c r="O31" s="636">
        <v>7500</v>
      </c>
      <c r="P31" s="636">
        <v>15000.000000000002</v>
      </c>
      <c r="Q31" s="636">
        <v>0</v>
      </c>
      <c r="R31" s="636">
        <v>0</v>
      </c>
      <c r="S31" s="636">
        <v>0</v>
      </c>
      <c r="T31" s="636">
        <v>0</v>
      </c>
      <c r="U31" s="636">
        <v>0</v>
      </c>
      <c r="V31" s="636">
        <v>0</v>
      </c>
      <c r="W31" s="636">
        <v>0</v>
      </c>
      <c r="X31" s="636">
        <v>1600</v>
      </c>
      <c r="Y31" s="636" t="s">
        <v>49</v>
      </c>
      <c r="Z31" s="638" t="s">
        <v>155</v>
      </c>
    </row>
    <row r="32" spans="1:26" s="570" customFormat="1">
      <c r="A32" s="592" t="s">
        <v>275</v>
      </c>
      <c r="B32" s="593"/>
      <c r="C32" s="593"/>
      <c r="D32" s="593"/>
      <c r="E32" s="593"/>
      <c r="F32" s="593"/>
      <c r="G32" s="593"/>
      <c r="H32" s="593"/>
      <c r="I32" s="593"/>
      <c r="J32" s="593"/>
      <c r="K32" s="593"/>
      <c r="L32" s="594"/>
      <c r="M32" s="594">
        <f>SUM(M28:M31)</f>
        <v>5141.7</v>
      </c>
      <c r="N32" s="594">
        <f>SUM(N28:N31)</f>
        <v>19388.5</v>
      </c>
      <c r="O32" s="594">
        <f>SUM(O28:O31)</f>
        <v>27697.889961389963</v>
      </c>
      <c r="P32" s="594">
        <f>SUM(P28:P31)</f>
        <v>16822.972972972973</v>
      </c>
      <c r="Q32" s="594">
        <f>SUM(Q28:Q31)</f>
        <v>38571.428571428572</v>
      </c>
      <c r="R32" s="594">
        <f>SUM(R28:R31)</f>
        <v>0</v>
      </c>
      <c r="S32" s="594">
        <f>SUM(S28:S31)</f>
        <v>0</v>
      </c>
      <c r="T32" s="594">
        <f>SUM(T28:T31)</f>
        <v>0</v>
      </c>
      <c r="U32" s="594">
        <f>SUM(U28:U31)</f>
        <v>0</v>
      </c>
      <c r="V32" s="594">
        <f>SUM(V28:V31)</f>
        <v>0</v>
      </c>
      <c r="W32" s="594">
        <f>SUM(W28:W31)</f>
        <v>0</v>
      </c>
      <c r="X32" s="595"/>
      <c r="Y32" s="595"/>
      <c r="Z32" s="596"/>
    </row>
    <row r="33" spans="1:27" s="570" customFormat="1">
      <c r="A33" s="592" t="s">
        <v>282</v>
      </c>
      <c r="B33" s="593"/>
      <c r="C33" s="593"/>
      <c r="D33" s="593"/>
      <c r="E33" s="593"/>
      <c r="F33" s="593"/>
      <c r="G33" s="593"/>
      <c r="H33" s="593"/>
      <c r="I33" s="593"/>
      <c r="J33" s="593"/>
      <c r="K33" s="593"/>
      <c r="L33" s="594"/>
      <c r="M33" s="594">
        <f>SUMIF($Z$28:$Z$31,"industrie",M28:M31)</f>
        <v>140</v>
      </c>
      <c r="N33" s="594">
        <f>SUMIF($Z$28:$Z$31,"industrie",N28:N31)</f>
        <v>630.00000000000011</v>
      </c>
      <c r="O33" s="594">
        <f>SUMIF($Z$28:$Z$31,"industrie",O28:O31)</f>
        <v>900.00000000000023</v>
      </c>
      <c r="P33" s="594">
        <f>SUMIF($Z$28:$Z$31,"industrie",P28:P31)</f>
        <v>1800.0000000000005</v>
      </c>
      <c r="Q33" s="594">
        <f>SUMIF($Z$28:$Z$31,"industrie",Q28:Q31)</f>
        <v>0</v>
      </c>
      <c r="R33" s="594">
        <f>SUMIF($Z$28:$Z$31,"industrie",R28:R31)</f>
        <v>0</v>
      </c>
      <c r="S33" s="594">
        <f>SUMIF($Z$28:$Z$31,"industrie",S28:S31)</f>
        <v>0</v>
      </c>
      <c r="T33" s="594">
        <f>SUMIF($Z$28:$Z$31,"industrie",T28:T31)</f>
        <v>0</v>
      </c>
      <c r="U33" s="594">
        <f>SUMIF($Z$28:$Z$31,"industrie",U28:U31)</f>
        <v>0</v>
      </c>
      <c r="V33" s="594">
        <f>SUMIF($Z$28:$Z$31,"industrie",V28:V31)</f>
        <v>0</v>
      </c>
      <c r="W33" s="594">
        <f>SUMIF($Z$28:$Z$31,"industrie",W28:W31)</f>
        <v>0</v>
      </c>
      <c r="X33" s="595"/>
      <c r="Y33" s="595"/>
      <c r="Z33" s="596"/>
    </row>
    <row r="34" spans="1:27" s="570" customFormat="1">
      <c r="A34" s="592" t="s">
        <v>283</v>
      </c>
      <c r="B34" s="593"/>
      <c r="C34" s="593"/>
      <c r="D34" s="593"/>
      <c r="E34" s="593"/>
      <c r="F34" s="593"/>
      <c r="G34" s="593"/>
      <c r="H34" s="593"/>
      <c r="I34" s="593"/>
      <c r="J34" s="593"/>
      <c r="K34" s="593"/>
      <c r="L34" s="594"/>
      <c r="M34" s="594">
        <f ca="1">SUMIF($Z$28:AC31,"tertiair",M28:M31)</f>
        <v>2001.7</v>
      </c>
      <c r="N34" s="594">
        <f ca="1">SUMIF($Z$28:AD31,"tertiair",N28:N31)</f>
        <v>5258.5</v>
      </c>
      <c r="O34" s="594">
        <f ca="1">SUMIF($Z$28:AE31,"tertiair",O28:O31)</f>
        <v>7512.1756756756758</v>
      </c>
      <c r="P34" s="594">
        <f ca="1">SUMIF($Z$28:AF31,"tertiair",P28:P31)</f>
        <v>15022.972972972975</v>
      </c>
      <c r="Q34" s="594">
        <f ca="1">SUMIF($Z$28:AG31,"tertiair",Q28:Q31)</f>
        <v>0</v>
      </c>
      <c r="R34" s="594">
        <f ca="1">SUMIF($Z$28:AH31,"tertiair",R28:R31)</f>
        <v>0</v>
      </c>
      <c r="S34" s="594">
        <f ca="1">SUMIF($Z$28:AI31,"tertiair",S28:S31)</f>
        <v>0</v>
      </c>
      <c r="T34" s="594">
        <f ca="1">SUMIF($Z$28:AJ31,"tertiair",T28:T31)</f>
        <v>0</v>
      </c>
      <c r="U34" s="594">
        <f ca="1">SUMIF($Z$28:AK31,"tertiair",U28:U31)</f>
        <v>0</v>
      </c>
      <c r="V34" s="594">
        <f ca="1">SUMIF($Z$28:AL31,"tertiair",V28:V31)</f>
        <v>0</v>
      </c>
      <c r="W34" s="594">
        <f ca="1">SUMIF($Z$28:AM31,"tertiair",W28:W31)</f>
        <v>0</v>
      </c>
      <c r="X34" s="595"/>
      <c r="Y34" s="595"/>
      <c r="Z34" s="596"/>
    </row>
    <row r="35" spans="1:27" s="570" customFormat="1" ht="15.75" thickBot="1">
      <c r="A35" s="597" t="s">
        <v>284</v>
      </c>
      <c r="B35" s="598"/>
      <c r="C35" s="598"/>
      <c r="D35" s="598"/>
      <c r="E35" s="598"/>
      <c r="F35" s="598"/>
      <c r="G35" s="598"/>
      <c r="H35" s="598"/>
      <c r="I35" s="598"/>
      <c r="J35" s="598"/>
      <c r="K35" s="598"/>
      <c r="L35" s="599"/>
      <c r="M35" s="599">
        <f>SUMIF($Z$28:$Z$31,"landbouw",M28:M31)</f>
        <v>3000</v>
      </c>
      <c r="N35" s="599">
        <f>SUMIF($Z$28:$Z$31,"landbouw",N28:N31)</f>
        <v>13500</v>
      </c>
      <c r="O35" s="599">
        <f>SUMIF($Z$28:$Z$31,"landbouw",O28:O31)</f>
        <v>19285.714285714286</v>
      </c>
      <c r="P35" s="599">
        <f>SUMIF($Z$28:$Z$31,"landbouw",P28:P31)</f>
        <v>0</v>
      </c>
      <c r="Q35" s="599">
        <f>SUMIF($Z$28:$Z$31,"landbouw",Q28:Q31)</f>
        <v>38571.428571428572</v>
      </c>
      <c r="R35" s="599">
        <f>SUMIF($Z$28:$Z$31,"landbouw",R28:R31)</f>
        <v>0</v>
      </c>
      <c r="S35" s="599">
        <f>SUMIF($Z$28:$Z$31,"landbouw",S28:S31)</f>
        <v>0</v>
      </c>
      <c r="T35" s="599">
        <f>SUMIF($Z$28:$Z$31,"landbouw",T28:T31)</f>
        <v>0</v>
      </c>
      <c r="U35" s="599">
        <f>SUMIF($Z$28:$Z$31,"landbouw",U28:U31)</f>
        <v>0</v>
      </c>
      <c r="V35" s="599">
        <f>SUMIF($Z$28:$Z$31,"landbouw",V28:V31)</f>
        <v>0</v>
      </c>
      <c r="W35" s="599">
        <f>SUMIF($Z$28:$Z$31,"landbouw",W28:W31)</f>
        <v>0</v>
      </c>
      <c r="X35" s="600"/>
      <c r="Y35" s="600"/>
      <c r="Z35" s="601"/>
    </row>
    <row r="36" spans="1:27" s="531" customFormat="1" ht="15.75" thickBot="1">
      <c r="A36" s="602"/>
      <c r="B36" s="603"/>
      <c r="C36" s="603"/>
      <c r="D36" s="603"/>
      <c r="E36" s="603"/>
      <c r="F36" s="603"/>
      <c r="G36" s="603"/>
      <c r="H36" s="603"/>
      <c r="I36" s="603"/>
      <c r="J36" s="603"/>
      <c r="K36" s="603"/>
      <c r="L36" s="586"/>
      <c r="M36" s="586"/>
      <c r="N36" s="586"/>
      <c r="O36" s="587"/>
      <c r="P36" s="587"/>
    </row>
    <row r="37" spans="1:27" s="531" customFormat="1" ht="45">
      <c r="A37" s="604" t="s">
        <v>276</v>
      </c>
      <c r="B37" s="633" t="s">
        <v>89</v>
      </c>
      <c r="C37" s="633" t="s">
        <v>90</v>
      </c>
      <c r="D37" s="633" t="s">
        <v>91</v>
      </c>
      <c r="E37" s="633" t="s">
        <v>92</v>
      </c>
      <c r="F37" s="633" t="s">
        <v>93</v>
      </c>
      <c r="G37" s="633" t="s">
        <v>94</v>
      </c>
      <c r="H37" s="633" t="s">
        <v>95</v>
      </c>
      <c r="I37" s="633" t="s">
        <v>96</v>
      </c>
      <c r="J37" s="633" t="s">
        <v>97</v>
      </c>
      <c r="K37" s="633" t="s">
        <v>98</v>
      </c>
      <c r="L37" s="633" t="s">
        <v>99</v>
      </c>
      <c r="M37" s="634" t="s">
        <v>293</v>
      </c>
      <c r="N37" s="634" t="s">
        <v>100</v>
      </c>
      <c r="O37" s="634" t="s">
        <v>101</v>
      </c>
      <c r="P37" s="634" t="s">
        <v>517</v>
      </c>
      <c r="Q37" s="634" t="s">
        <v>102</v>
      </c>
      <c r="R37" s="634" t="s">
        <v>103</v>
      </c>
      <c r="S37" s="634" t="s">
        <v>104</v>
      </c>
      <c r="T37" s="634" t="s">
        <v>105</v>
      </c>
      <c r="U37" s="634" t="s">
        <v>106</v>
      </c>
      <c r="V37" s="634" t="s">
        <v>107</v>
      </c>
      <c r="W37" s="633" t="s">
        <v>108</v>
      </c>
      <c r="X37" s="633" t="s">
        <v>294</v>
      </c>
      <c r="Y37" s="633" t="s">
        <v>109</v>
      </c>
      <c r="Z37" s="635" t="s">
        <v>295</v>
      </c>
    </row>
    <row r="38" spans="1:27" s="605" customFormat="1" ht="63.75">
      <c r="A38" s="591"/>
      <c r="B38" s="787">
        <v>72039</v>
      </c>
      <c r="C38" s="787">
        <v>3530</v>
      </c>
      <c r="D38" s="639" t="s">
        <v>894</v>
      </c>
      <c r="E38" s="639" t="s">
        <v>895</v>
      </c>
      <c r="F38" s="639" t="s">
        <v>896</v>
      </c>
      <c r="G38" s="639" t="s">
        <v>897</v>
      </c>
      <c r="H38" s="639" t="s">
        <v>898</v>
      </c>
      <c r="I38" s="639" t="s">
        <v>899</v>
      </c>
      <c r="J38" s="786">
        <v>36658</v>
      </c>
      <c r="K38" s="786">
        <v>37257</v>
      </c>
      <c r="L38" s="639" t="s">
        <v>879</v>
      </c>
      <c r="M38" s="639">
        <v>3185</v>
      </c>
      <c r="N38" s="639">
        <v>14332.5</v>
      </c>
      <c r="O38" s="639">
        <v>0</v>
      </c>
      <c r="P38" s="639">
        <v>0</v>
      </c>
      <c r="Q38" s="639">
        <v>0</v>
      </c>
      <c r="R38" s="639">
        <v>40950</v>
      </c>
      <c r="S38" s="639">
        <v>0</v>
      </c>
      <c r="T38" s="639">
        <v>0</v>
      </c>
      <c r="U38" s="639">
        <v>0</v>
      </c>
      <c r="V38" s="639">
        <v>0</v>
      </c>
      <c r="W38" s="639">
        <v>0</v>
      </c>
      <c r="X38" s="639">
        <v>1600</v>
      </c>
      <c r="Y38" s="639" t="s">
        <v>49</v>
      </c>
      <c r="Z38" s="640" t="s">
        <v>155</v>
      </c>
    </row>
    <row r="39" spans="1:27" s="570" customFormat="1">
      <c r="A39" s="592" t="s">
        <v>275</v>
      </c>
      <c r="B39" s="593"/>
      <c r="C39" s="593"/>
      <c r="D39" s="593"/>
      <c r="E39" s="593"/>
      <c r="F39" s="593"/>
      <c r="G39" s="593"/>
      <c r="H39" s="593"/>
      <c r="I39" s="593"/>
      <c r="J39" s="593"/>
      <c r="K39" s="593"/>
      <c r="L39" s="594"/>
      <c r="M39" s="594">
        <f>SUM(M38:M38)</f>
        <v>3185</v>
      </c>
      <c r="N39" s="594">
        <f>SUM(N38:N38)</f>
        <v>14332.5</v>
      </c>
      <c r="O39" s="594">
        <f>SUM(O38:O38)</f>
        <v>0</v>
      </c>
      <c r="P39" s="594">
        <f>SUM(P38:P38)</f>
        <v>0</v>
      </c>
      <c r="Q39" s="594">
        <f>SUM(Q38:Q38)</f>
        <v>0</v>
      </c>
      <c r="R39" s="594">
        <f>SUM(R38:R38)</f>
        <v>40950</v>
      </c>
      <c r="S39" s="594">
        <f>SUM(S38:S38)</f>
        <v>0</v>
      </c>
      <c r="T39" s="594">
        <f>SUM(T38:T38)</f>
        <v>0</v>
      </c>
      <c r="U39" s="594">
        <f>SUM(U38:U38)</f>
        <v>0</v>
      </c>
      <c r="V39" s="594">
        <f>SUM(V38:V38)</f>
        <v>0</v>
      </c>
      <c r="W39" s="594">
        <f>SUM(W38:W38)</f>
        <v>0</v>
      </c>
      <c r="X39" s="595"/>
      <c r="Y39" s="595"/>
      <c r="Z39" s="596"/>
    </row>
    <row r="40" spans="1:27" s="570" customFormat="1">
      <c r="A40" s="592" t="s">
        <v>282</v>
      </c>
      <c r="B40" s="593"/>
      <c r="C40" s="593"/>
      <c r="D40" s="593"/>
      <c r="E40" s="593"/>
      <c r="F40" s="593"/>
      <c r="G40" s="593"/>
      <c r="H40" s="593"/>
      <c r="I40" s="593"/>
      <c r="J40" s="593"/>
      <c r="K40" s="593"/>
      <c r="L40" s="594"/>
      <c r="M40" s="594">
        <f>SUMIF($Z$38:$Z$38,"industrie",M38:M38)</f>
        <v>0</v>
      </c>
      <c r="N40" s="594">
        <f>SUMIF($Z$38:$Z$38,"industrie",N38:N38)</f>
        <v>0</v>
      </c>
      <c r="O40" s="594">
        <f>SUMIF($Z$38:$Z$38,"industrie",O38:O38)</f>
        <v>0</v>
      </c>
      <c r="P40" s="594">
        <f>SUMIF($Z$38:$Z$38,"industrie",P38:P38)</f>
        <v>0</v>
      </c>
      <c r="Q40" s="594">
        <f>SUMIF($Z$38:$Z$38,"industrie",Q38:Q38)</f>
        <v>0</v>
      </c>
      <c r="R40" s="594">
        <f>SUMIF($Z$38:$Z$38,"industrie",R38:R38)</f>
        <v>0</v>
      </c>
      <c r="S40" s="594">
        <f>SUMIF($Z$38:$Z$38,"industrie",S38:S38)</f>
        <v>0</v>
      </c>
      <c r="T40" s="594">
        <f>SUMIF($Z$38:$Z$38,"industrie",T38:T38)</f>
        <v>0</v>
      </c>
      <c r="U40" s="594">
        <f>SUMIF($Z$38:$Z$38,"industrie",U38:U38)</f>
        <v>0</v>
      </c>
      <c r="V40" s="594">
        <f>SUMIF($Z$38:$Z$38,"industrie",V38:V38)</f>
        <v>0</v>
      </c>
      <c r="W40" s="594">
        <f>SUMIF($Z$38:$Z$38,"industrie",W38:W38)</f>
        <v>0</v>
      </c>
      <c r="X40" s="595"/>
      <c r="Y40" s="595"/>
      <c r="Z40" s="596"/>
    </row>
    <row r="41" spans="1:27" s="570" customFormat="1">
      <c r="A41" s="592" t="s">
        <v>283</v>
      </c>
      <c r="B41" s="593"/>
      <c r="C41" s="593"/>
      <c r="D41" s="593"/>
      <c r="E41" s="593"/>
      <c r="F41" s="593"/>
      <c r="G41" s="593"/>
      <c r="H41" s="593"/>
      <c r="I41" s="593"/>
      <c r="J41" s="593"/>
      <c r="K41" s="593"/>
      <c r="L41" s="594"/>
      <c r="M41" s="594">
        <f>SUMIF($Z$38:$Z$39,"tertiair",M38:M39)</f>
        <v>3185</v>
      </c>
      <c r="N41" s="594">
        <f>SUMIF($Z$38:$Z$39,"tertiair",N38:N39)</f>
        <v>14332.5</v>
      </c>
      <c r="O41" s="594">
        <f>SUMIF($Z$38:$Z$39,"tertiair",O38:O39)</f>
        <v>0</v>
      </c>
      <c r="P41" s="594">
        <f>SUMIF($Z$38:$Z$39,"tertiair",P38:P39)</f>
        <v>0</v>
      </c>
      <c r="Q41" s="594">
        <f>SUMIF($Z$38:$Z$39,"tertiair",Q38:Q39)</f>
        <v>0</v>
      </c>
      <c r="R41" s="594">
        <f>SUMIF($Z$38:$Z$39,"tertiair",R38:R39)</f>
        <v>40950</v>
      </c>
      <c r="S41" s="594">
        <f>SUMIF($Z$38:$Z$39,"tertiair",S38:S39)</f>
        <v>0</v>
      </c>
      <c r="T41" s="594">
        <f>SUMIF($Z$38:$Z$39,"tertiair",T38:T39)</f>
        <v>0</v>
      </c>
      <c r="U41" s="594">
        <f>SUMIF($Z$38:$Z$39,"tertiair",U38:U39)</f>
        <v>0</v>
      </c>
      <c r="V41" s="594">
        <f>SUMIF($Z$38:$Z$39,"tertiair",V38:V39)</f>
        <v>0</v>
      </c>
      <c r="W41" s="594">
        <f>SUMIF($Z$38:$Z$39,"tertiair",W38:W39)</f>
        <v>0</v>
      </c>
      <c r="X41" s="595"/>
      <c r="Y41" s="595"/>
      <c r="Z41" s="596"/>
    </row>
    <row r="42" spans="1:27" s="570" customFormat="1" ht="15.75" thickBot="1">
      <c r="A42" s="597" t="s">
        <v>284</v>
      </c>
      <c r="B42" s="598"/>
      <c r="C42" s="598"/>
      <c r="D42" s="598"/>
      <c r="E42" s="598"/>
      <c r="F42" s="598"/>
      <c r="G42" s="598"/>
      <c r="H42" s="598"/>
      <c r="I42" s="598"/>
      <c r="J42" s="598"/>
      <c r="K42" s="598"/>
      <c r="L42" s="599"/>
      <c r="M42" s="599">
        <f>SUMIF($Z$38:$Z$40,"landbouw",M38:M40)</f>
        <v>0</v>
      </c>
      <c r="N42" s="599">
        <f>SUMIF($Z$38:$Z$40,"landbouw",N38:N40)</f>
        <v>0</v>
      </c>
      <c r="O42" s="599">
        <f>SUMIF($Z$38:$Z$40,"landbouw",O38:O40)</f>
        <v>0</v>
      </c>
      <c r="P42" s="599">
        <f>SUMIF($Z$38:$Z$40,"landbouw",P38:P40)</f>
        <v>0</v>
      </c>
      <c r="Q42" s="599">
        <f>SUMIF($Z$38:$Z$40,"landbouw",Q38:Q40)</f>
        <v>0</v>
      </c>
      <c r="R42" s="599">
        <f>SUMIF($Z$38:$Z$40,"landbouw",R38:R40)</f>
        <v>0</v>
      </c>
      <c r="S42" s="599">
        <f>SUMIF($Z$38:$Z$40,"landbouw",S38:S40)</f>
        <v>0</v>
      </c>
      <c r="T42" s="599">
        <f>SUMIF($Z$38:$Z$40,"landbouw",T38:T40)</f>
        <v>0</v>
      </c>
      <c r="U42" s="599">
        <f>SUMIF($Z$38:$Z$40,"landbouw",U38:U40)</f>
        <v>0</v>
      </c>
      <c r="V42" s="599">
        <f>SUMIF($Z$38:$Z$40,"landbouw",V38:V40)</f>
        <v>0</v>
      </c>
      <c r="W42" s="599">
        <f>SUMIF($Z$38:$Z$40,"landbouw",W38:W40)</f>
        <v>0</v>
      </c>
      <c r="X42" s="600"/>
      <c r="Y42" s="600"/>
      <c r="Z42" s="601"/>
    </row>
    <row r="43" spans="1:27" s="606" customForma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row>
    <row r="44" spans="1:27" s="606" customFormat="1" ht="15.75" thickBot="1">
      <c r="A44" s="602"/>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row>
    <row r="45" spans="1:27">
      <c r="A45" s="607" t="s">
        <v>277</v>
      </c>
      <c r="B45" s="608"/>
      <c r="C45" s="608"/>
      <c r="D45" s="608"/>
      <c r="E45" s="608"/>
      <c r="F45" s="608"/>
      <c r="G45" s="608"/>
      <c r="H45" s="608"/>
      <c r="I45" s="609"/>
      <c r="J45" s="610"/>
      <c r="K45" s="610"/>
      <c r="L45" s="611"/>
      <c r="M45" s="611"/>
      <c r="N45" s="611"/>
      <c r="O45" s="611"/>
      <c r="P45" s="611"/>
    </row>
    <row r="46" spans="1:27">
      <c r="A46" s="613"/>
      <c r="B46" s="603"/>
      <c r="C46" s="603"/>
      <c r="D46" s="603"/>
      <c r="E46" s="603"/>
      <c r="F46" s="603"/>
      <c r="G46" s="603"/>
      <c r="H46" s="603"/>
      <c r="I46" s="614"/>
      <c r="J46" s="603"/>
      <c r="K46" s="603"/>
      <c r="L46" s="611"/>
      <c r="M46" s="611"/>
      <c r="N46" s="611"/>
      <c r="O46" s="611"/>
      <c r="P46" s="611"/>
    </row>
    <row r="47" spans="1:27">
      <c r="A47" s="615"/>
      <c r="B47" s="616" t="s">
        <v>278</v>
      </c>
      <c r="C47" s="616" t="s">
        <v>279</v>
      </c>
      <c r="D47" s="616"/>
      <c r="E47" s="616"/>
      <c r="F47" s="616"/>
      <c r="G47" s="616"/>
      <c r="H47" s="616"/>
      <c r="I47" s="617"/>
      <c r="J47" s="616"/>
      <c r="K47" s="616"/>
      <c r="L47" s="616"/>
      <c r="M47" s="616"/>
      <c r="N47" s="616"/>
      <c r="O47" s="616"/>
      <c r="P47" s="611"/>
    </row>
    <row r="48" spans="1:27">
      <c r="A48" s="613" t="s">
        <v>275</v>
      </c>
      <c r="B48" s="618">
        <f>IF(ISERROR(O32/(O32+N32)),0,O32/(O32+N32))</f>
        <v>0.58823558111169194</v>
      </c>
      <c r="C48" s="619">
        <f>IF(ISERROR(N32/(O32+N32)),0,N32/(N32+O32))</f>
        <v>0.41176441888830806</v>
      </c>
      <c r="D48" s="586"/>
      <c r="E48" s="586"/>
      <c r="F48" s="586"/>
      <c r="G48" s="586"/>
      <c r="H48" s="586"/>
      <c r="I48" s="620"/>
      <c r="J48" s="586"/>
      <c r="K48" s="586"/>
      <c r="L48" s="621"/>
      <c r="M48" s="621"/>
      <c r="N48" s="621"/>
      <c r="O48" s="621"/>
      <c r="P48" s="611"/>
    </row>
    <row r="49" spans="1:16">
      <c r="A49" s="613"/>
      <c r="B49" s="622"/>
      <c r="C49" s="622"/>
      <c r="D49" s="622"/>
      <c r="E49" s="622"/>
      <c r="F49" s="622"/>
      <c r="G49" s="622"/>
      <c r="H49" s="622"/>
      <c r="I49" s="623"/>
      <c r="J49" s="622"/>
      <c r="K49" s="622"/>
      <c r="L49" s="624"/>
      <c r="M49" s="624"/>
      <c r="N49" s="624"/>
      <c r="O49" s="624"/>
      <c r="P49" s="611"/>
    </row>
    <row r="50" spans="1:16" ht="30">
      <c r="A50" s="625"/>
      <c r="B50" s="626" t="s">
        <v>517</v>
      </c>
      <c r="C50" s="626" t="s">
        <v>102</v>
      </c>
      <c r="D50" s="626" t="s">
        <v>103</v>
      </c>
      <c r="E50" s="626" t="s">
        <v>104</v>
      </c>
      <c r="F50" s="626" t="s">
        <v>105</v>
      </c>
      <c r="G50" s="626" t="s">
        <v>106</v>
      </c>
      <c r="H50" s="626" t="s">
        <v>107</v>
      </c>
      <c r="I50" s="627" t="s">
        <v>108</v>
      </c>
      <c r="J50" s="616"/>
      <c r="K50" s="616"/>
      <c r="L50" s="624"/>
      <c r="M50" s="624"/>
      <c r="N50" s="624"/>
      <c r="O50" s="611"/>
      <c r="P50" s="611"/>
    </row>
    <row r="51" spans="1:16">
      <c r="A51" s="615" t="s">
        <v>280</v>
      </c>
      <c r="B51" s="628">
        <f t="shared" ref="B51:I51" si="2">$C$48*P32</f>
        <v>6927.1016901899284</v>
      </c>
      <c r="C51" s="628">
        <f t="shared" si="2"/>
        <v>15882.341871406168</v>
      </c>
      <c r="D51" s="628">
        <f t="shared" si="2"/>
        <v>0</v>
      </c>
      <c r="E51" s="628">
        <f t="shared" si="2"/>
        <v>0</v>
      </c>
      <c r="F51" s="628">
        <f t="shared" si="2"/>
        <v>0</v>
      </c>
      <c r="G51" s="628">
        <f t="shared" si="2"/>
        <v>0</v>
      </c>
      <c r="H51" s="628">
        <f t="shared" si="2"/>
        <v>0</v>
      </c>
      <c r="I51" s="629">
        <f t="shared" si="2"/>
        <v>0</v>
      </c>
      <c r="J51" s="586"/>
      <c r="K51" s="586"/>
      <c r="L51" s="624"/>
      <c r="M51" s="624"/>
      <c r="N51" s="624"/>
      <c r="O51" s="611"/>
      <c r="P51" s="611"/>
    </row>
    <row r="52" spans="1:16" ht="15.75" thickBot="1">
      <c r="A52" s="630" t="s">
        <v>281</v>
      </c>
      <c r="B52" s="631">
        <f t="shared" ref="B52:I52" si="3">$B$48*P32</f>
        <v>9895.8712827830441</v>
      </c>
      <c r="C52" s="631">
        <f t="shared" si="3"/>
        <v>22689.086700022403</v>
      </c>
      <c r="D52" s="631">
        <f t="shared" si="3"/>
        <v>0</v>
      </c>
      <c r="E52" s="631">
        <f t="shared" si="3"/>
        <v>0</v>
      </c>
      <c r="F52" s="631">
        <f t="shared" si="3"/>
        <v>0</v>
      </c>
      <c r="G52" s="631">
        <f t="shared" si="3"/>
        <v>0</v>
      </c>
      <c r="H52" s="631">
        <f t="shared" si="3"/>
        <v>0</v>
      </c>
      <c r="I52" s="632">
        <f t="shared" si="3"/>
        <v>0</v>
      </c>
      <c r="J52" s="586"/>
      <c r="K52" s="586"/>
      <c r="L52" s="624"/>
      <c r="M52" s="624"/>
      <c r="N52" s="624"/>
      <c r="O52" s="611"/>
      <c r="P52" s="611"/>
    </row>
    <row r="53" spans="1:16">
      <c r="J53" s="566"/>
      <c r="K53" s="566"/>
      <c r="L53" s="566"/>
      <c r="M53" s="566"/>
      <c r="N53" s="566"/>
    </row>
    <row r="54" spans="1:16">
      <c r="J54" s="566"/>
      <c r="K54" s="566"/>
      <c r="L54" s="566"/>
      <c r="M54" s="566"/>
      <c r="N54"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2021-06-29T14:22:17Z</dcterms:modified>
</cp:coreProperties>
</file>