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8" i="15"/>
  <c r="C20" i="15" s="1"/>
  <c r="D40" i="14" s="1"/>
  <c r="C10" i="17"/>
  <c r="C12" i="17" s="1"/>
  <c r="D54" i="14" s="1"/>
  <c r="D56"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<sst xmlns="http://schemas.openxmlformats.org/spreadsheetml/2006/main" count="2436" uniqueCount="879">
  <si>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</si>
  <si>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</si>
  <si>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</si>
  <si>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</si>
  <si>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</si>
  <si>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</si>
  <si>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</si>
  <si>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</si>
  <si>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</si>
  <si>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</si>
  <si>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</si>
  <si>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</si>
  <si>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</si>
  <si>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</si>
  <si>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</si>
  <si>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</si>
  <si>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</si>
  <si>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</si>
  <si>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</si>
  <si>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</si>
  <si>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</si>
  <si>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</si>
  <si>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</si>
  <si>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</si>
  <si>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</si>
  <si>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</si>
  <si>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</si>
  <si>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</si>
  <si>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</si>
  <si>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</si>
  <si>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</si>
  <si>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</si>
  <si>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</si>
  <si>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</si>
  <si>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</si>
  <si>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</si>
  <si>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</si>
  <si>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</si>
  <si>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</si>
  <si>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</si>
  <si>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</si>
  <si>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</si>
  <si>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</si>
  <si>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</si>
  <si>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</si>
  <si>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</si>
  <si>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</si>
  <si>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</si>
  <si>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</si>
  <si>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</si>
  <si>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</si>
  <si>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</si>
  <si>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</si>
  <si>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</si>
  <si>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</si>
  <si>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</si>
  <si>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</si>
  <si>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</si>
  <si>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</si>
  <si>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</si>
  <si>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</si>
  <si>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</si>
  <si>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</si>
  <si>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</si>
  <si>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</si>
  <si>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</si>
  <si>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</si>
  <si>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</si>
  <si>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</si>
  <si>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</si>
  <si>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</si>
  <si>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</si>
  <si>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</si>
  <si>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</si>
  <si>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</si>
  <si>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</si>
  <si>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</si>
  <si>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</si>
  <si>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</si>
  <si>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</si>
  <si>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</si>
  <si>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</si>
  <si>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</si>
  <si>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</si>
  <si>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</si>
  <si>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</si>
  <si>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</si>
  <si>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</si>
  <si>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</si>
  <si>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</si>
  <si>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</si>
  <si>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</si>
  <si>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</si>
  <si>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</si>
  <si>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</si>
  <si>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</si>
  <si>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</si>
  <si>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</si>
  <si>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</si>
  <si>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</si>
  <si>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</si>
  <si>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</si>
  <si>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</si>
  <si>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</si>
  <si>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</si>
  <si>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</si>
  <si>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</si>
  <si>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</si>
  <si>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</si>
  <si>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</si>
  <si>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</si>
  <si>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</si>
  <si>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</si>
  <si>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</si>
  <si>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</si>
  <si>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</si>
  <si>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</si>
  <si>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</si>
  <si>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</si>
  <si>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</si>
  <si>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</si>
  <si>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</si>
  <si>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</si>
  <si>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</si>
  <si>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</si>
  <si>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</si>
  <si>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</si>
  <si>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</si>
  <si>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</si>
  <si>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</si>
  <si>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</si>
  <si>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</si>
  <si>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</si>
  <si>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</si>
  <si>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</si>
  <si>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</si>
  <si>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</si>
  <si>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</si>
  <si>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</si>
  <si>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</si>
  <si>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</si>
  <si>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</si>
  <si>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</si>
  <si>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</si>
  <si>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</si>
  <si>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</si>
  <si>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</si>
  <si>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</si>
  <si>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</si>
  <si>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</si>
  <si>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</si>
  <si>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</si>
  <si>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</si>
  <si>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</si>
  <si>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</si>
  <si>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</si>
  <si>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</si>
  <si>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</si>
  <si>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</si>
  <si>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</si>
  <si>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</si>
  <si>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</si>
  <si>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</si>
  <si>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</si>
  <si>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</si>
  <si>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</si>
  <si>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</si>
  <si>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</si>
  <si>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</si>
  <si>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</si>
  <si>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</si>
  <si>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</si>
  <si>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</si>
  <si>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</si>
  <si>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</si>
  <si>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</si>
  <si>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</si>
  <si>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</si>
  <si>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</si>
  <si>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</si>
  <si>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</si>
  <si>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</si>
  <si>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</si>
  <si>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</si>
  <si>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</si>
  <si>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</si>
  <si>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</si>
  <si>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</si>
  <si>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</si>
  <si>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</si>
  <si>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</si>
  <si>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</si>
  <si>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</si>
  <si>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</si>
  <si>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</si>
  <si>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</si>
  <si>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</si>
  <si>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</si>
  <si>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</si>
  <si>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</si>
  <si>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</si>
  <si>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</si>
  <si>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</si>
  <si>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</si>
  <si>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</si>
  <si>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</si>
  <si>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</si>
  <si>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</si>
  <si>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</si>
  <si>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</si>
  <si>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</si>
  <si>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</si>
  <si>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</si>
  <si>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</si>
  <si>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</si>
  <si>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</si>
  <si>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</si>
  <si>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</si>
  <si>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</si>
  <si>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</si>
  <si>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</si>
  <si>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</si>
  <si>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</si>
  <si>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</si>
  <si>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</si>
  <si>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</si>
  <si>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</si>
  <si>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</si>
  <si>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</si>
  <si>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</si>
  <si>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</si>
  <si>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</si>
  <si>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</si>
  <si>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</si>
  <si>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</si>
  <si>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</si>
  <si>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</si>
  <si>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</si>
  <si>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</si>
  <si>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</si>
  <si>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</si>
  <si>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</si>
  <si>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</si>
  <si>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</si>
  <si>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</si>
  <si>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</si>
  <si>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</si>
  <si>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</si>
  <si>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</si>
  <si>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</si>
  <si>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</si>
  <si>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</si>
  <si>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</si>
  <si>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</si>
  <si>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</si>
  <si>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</si>
  <si>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</si>
  <si>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</si>
  <si>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</si>
  <si>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</si>
  <si>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</si>
  <si>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</si>
  <si>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</si>
  <si>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</si>
  <si>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</si>
  <si>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</si>
  <si>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</si>
  <si>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</si>
  <si>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</si>
  <si>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</si>
  <si>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</si>
  <si>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</si>
  <si>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</si>
  <si>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</si>
  <si>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</si>
  <si>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</si>
  <si>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</si>
  <si>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</si>
  <si>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</si>
  <si>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</si>
  <si>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</si>
  <si>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</si>
  <si>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</si>
  <si>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</si>
  <si>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</si>
  <si>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</si>
  <si>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</si>
  <si>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</si>
  <si>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</si>
  <si>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</si>
  <si>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</si>
  <si>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</si>
  <si>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</si>
  <si>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</si>
  <si>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</si>
  <si>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</si>
  <si>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</si>
  <si>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</si>
  <si>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</si>
  <si>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</si>
  <si>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</si>
  <si>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</si>
  <si>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</si>
  <si>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</si>
  <si>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</si>
  <si>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</si>
  <si>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</si>
  <si>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</si>
  <si>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</si>
  <si>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</si>
  <si>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</si>
  <si>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</si>
  <si>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</si>
  <si>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</si>
  <si>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</si>
  <si>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</si>
  <si>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</si>
  <si>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</si>
  <si>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</si>
  <si>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</si>
  <si>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</si>
  <si>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</si>
  <si>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</si>
  <si>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</si>
  <si>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</si>
  <si>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</si>
  <si>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</si>
  <si>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</si>
  <si>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</si>
  <si>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</si>
  <si>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</si>
  <si>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</si>
  <si>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</si>
  <si>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</si>
  <si>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</si>
  <si>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</si>
  <si>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</si>
  <si>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</si>
  <si>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</si>
  <si>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</si>
  <si>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</si>
  <si>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</si>
  <si>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</si>
  <si>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</si>
  <si>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</si>
  <si>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</si>
  <si>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</si>
  <si>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</si>
  <si>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</si>
  <si>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</si>
  <si>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</si>
  <si>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</si>
  <si>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</si>
  <si>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</si>
  <si>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</si>
  <si>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</si>
  <si>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</si>
  <si>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</si>
  <si>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</si>
  <si>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</si>
  <si>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</si>
  <si>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</si>
  <si>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</si>
  <si>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</si>
  <si>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</si>
  <si>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</si>
  <si>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</si>
  <si>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</si>
  <si>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</si>
  <si>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</si>
  <si>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</si>
  <si>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</si>
  <si>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</si>
  <si>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</si>
  <si>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</si>
  <si>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</si>
  <si>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</si>
  <si>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</si>
  <si>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</si>
  <si>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</si>
  <si>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</si>
  <si>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</si>
  <si>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</si>
  <si>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</si>
  <si>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</si>
  <si>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</si>
  <si>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</si>
  <si>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</si>
  <si>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</si>
  <si>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</si>
  <si>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</si>
  <si>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</si>
  <si>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</si>
  <si>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</si>
  <si>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</si>
  <si>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</si>
  <si>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</si>
  <si>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</si>
  <si>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</si>
  <si>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</si>
  <si>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</si>
  <si>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</si>
  <si>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</si>
  <si>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</si>
  <si>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</si>
  <si>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</si>
  <si>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</si>
  <si>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</si>
  <si>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</si>
  <si>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</si>
  <si>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</si>
  <si>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</si>
  <si>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</si>
  <si>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</si>
  <si>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</si>
  <si>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</si>
  <si>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</si>
  <si>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</si>
  <si>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</si>
  <si>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</si>
  <si>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</si>
  <si>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</si>
  <si>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</si>
  <si>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</si>
  <si>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</si>
  <si>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</si>
  <si>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</si>
  <si>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</si>
  <si>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</si>
  <si>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</si>
  <si>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</si>
  <si>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</si>
  <si>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</si>
  <si>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</si>
  <si>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</si>
  <si>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</si>
  <si>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</si>
  <si>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</si>
  <si>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</si>
  <si>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</si>
  <si>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</si>
  <si>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</si>
  <si>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</si>
  <si>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</si>
  <si>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</si>
  <si>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</si>
  <si>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</si>
  <si>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</si>
  <si>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</si>
  <si>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</si>
  <si>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</si>
  <si>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</si>
  <si>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</si>
  <si>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</si>
  <si>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</si>
  <si>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</si>
  <si>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</si>
  <si>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</si>
  <si>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</si>
  <si>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</si>
  <si>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</si>
  <si>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</si>
  <si>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</si>
  <si>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</si>
  <si>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</si>
  <si>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</si>
  <si>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</si>
  <si>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</si>
  <si>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</si>
  <si>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</si>
  <si>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</si>
  <si>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</si>
  <si>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</si>
  <si>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</si>
  <si>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</si>
  <si>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</si>
  <si>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</si>
  <si>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</si>
  <si>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</si>
  <si>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</si>
  <si>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</si>
  <si>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</si>
  <si>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</si>
  <si>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</si>
  <si>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</si>
  <si>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</si>
  <si>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</si>
  <si>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</si>
  <si>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</si>
  <si>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</si>
  <si>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</si>
  <si>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</si>
  <si>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</si>
  <si>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</si>
  <si>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</si>
  <si>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</si>
  <si>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</si>
  <si>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</si>
  <si>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</si>
  <si>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</si>
  <si>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</si>
  <si>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</si>
  <si>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</si>
  <si>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</si>
  <si>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</si>
  <si>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</si>
  <si>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</si>
  <si>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</si>
  <si>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</si>
  <si>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</si>
  <si>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</si>
  <si>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</si>
  <si>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</si>
  <si>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</si>
  <si>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</si>
  <si>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</si>
  <si>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</si>
  <si>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</si>
  <si>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</si>
  <si>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</si>
  <si>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</si>
  <si>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</si>
  <si>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</si>
  <si>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</si>
  <si>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</si>
  <si>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</si>
  <si>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</si>
  <si>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</si>
  <si>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</si>
  <si>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</si>
  <si>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</si>
  <si>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</si>
  <si>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</si>
  <si>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</si>
  <si>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</si>
  <si>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</si>
  <si>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</si>
  <si>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</si>
  <si>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</si>
  <si>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</si>
  <si>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</si>
  <si>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</si>
  <si>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</si>
  <si>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</si>
  <si>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</si>
  <si>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</si>
  <si>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</si>
  <si>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</si>
  <si>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</si>
  <si>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</si>
  <si>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</si>
  <si>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</si>
  <si>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</si>
  <si>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</si>
  <si>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</si>
  <si>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</si>
  <si>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</si>
  <si>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</si>
  <si>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</si>
  <si>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</si>
  <si>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</si>
  <si>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</si>
  <si>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</si>
  <si>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</si>
  <si>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</si>
  <si>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</si>
  <si>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</si>
  <si>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</si>
  <si>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</si>
  <si>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</si>
  <si>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</si>
  <si>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</si>
  <si>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</si>
  <si>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</si>
  <si>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</si>
  <si>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</si>
  <si>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</si>
  <si>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</si>
  <si>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</si>
  <si>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</si>
  <si>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</si>
  <si>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</si>
  <si>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</si>
  <si>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</si>
  <si>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</si>
  <si>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</si>
  <si>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</si>
  <si>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</si>
  <si>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</si>
  <si>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</si>
  <si>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</si>
  <si>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</si>
  <si>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</si>
  <si>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</si>
  <si>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</si>
  <si>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</si>
  <si>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</si>
  <si>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</si>
  <si>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</si>
  <si>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</si>
  <si>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</si>
  <si>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</si>
  <si>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</si>
  <si>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</si>
  <si>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</si>
  <si>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</si>
  <si>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</si>
  <si>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</si>
  <si>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</si>
  <si>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</si>
  <si>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</si>
  <si>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</si>
  <si>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</si>
  <si>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</si>
  <si>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</si>
  <si>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</si>
  <si>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</si>
  <si>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</si>
  <si>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</si>
  <si>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</si>
  <si>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</si>
  <si>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</si>
  <si>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</si>
  <si>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</si>
  <si>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</si>
  <si>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</si>
  <si>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</si>
  <si>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</si>
  <si>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</si>
  <si>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</si>
  <si>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</si>
  <si>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</si>
  <si>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</si>
  <si>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</si>
  <si>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</si>
  <si>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</si>
  <si>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</si>
  <si>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</si>
  <si>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</si>
  <si>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</si>
  <si>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</si>
  <si>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</si>
  <si>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</si>
  <si>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</si>
  <si>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</si>
  <si>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</si>
  <si>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</si>
  <si>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</si>
  <si>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</si>
  <si>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</si>
  <si>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</si>
  <si>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</si>
  <si>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</si>
  <si>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</si>
  <si>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</si>
  <si>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</si>
  <si>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</si>
  <si>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</si>
  <si>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</si>
  <si>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</si>
  <si>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</si>
  <si>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</si>
  <si>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</si>
  <si>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</si>
  <si>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</si>
  <si>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</si>
  <si>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</si>
  <si>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</si>
  <si>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</si>
  <si>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</si>
  <si>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</si>
  <si>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</si>
  <si>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</si>
  <si>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</si>
  <si>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</si>
  <si>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</si>
  <si>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</si>
  <si>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</si>
  <si>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</si>
  <si>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</si>
  <si>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</si>
  <si>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</si>
  <si>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</si>
  <si>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</si>
  <si>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</si>
  <si>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</si>
  <si>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</si>
  <si>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</si>
  <si>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</si>
  <si>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</si>
  <si>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</si>
  <si>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</si>
  <si>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</si>
  <si>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</si>
  <si>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</si>
  <si>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</si>
  <si>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</si>
  <si>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</si>
  <si>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</si>
  <si>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</si>
  <si>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</si>
  <si>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</si>
  <si>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</si>
  <si>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</si>
  <si>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</si>
  <si>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</si>
  <si>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</si>
  <si>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</si>
  <si>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</si>
  <si>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</si>
  <si>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</si>
  <si>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</si>
  <si>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</si>
  <si>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</si>
  <si>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</si>
  <si>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</si>
  <si>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</si>
  <si>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</si>
  <si>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</si>
  <si>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</si>
  <si>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</si>
  <si>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</si>
  <si>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</si>
  <si>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</si>
  <si>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</si>
  <si>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</si>
  <si>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</si>
  <si>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</si>
  <si>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</si>
  <si>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</si>
  <si>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</si>
  <si>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</si>
  <si>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</si>
  <si>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</si>
  <si>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</si>
  <si>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</si>
  <si>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</si>
  <si>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</si>
  <si>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</si>
  <si>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</si>
  <si>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</si>
  <si>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</si>
  <si>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</si>
  <si>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</si>
  <si>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</si>
  <si>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</si>
  <si>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</si>
  <si>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</si>
  <si>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</si>
  <si>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</si>
  <si>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</si>
  <si>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</si>
  <si>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</si>
  <si>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</si>
  <si>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</si>
  <si>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</si>
  <si>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</si>
  <si>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</si>
  <si>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</si>
  <si>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</si>
  <si>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</si>
  <si>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</si>
  <si>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</si>
  <si>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</si>
  <si>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</si>
  <si>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</si>
  <si>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</si>
  <si>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</si>
  <si>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</si>
  <si>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</si>
  <si>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</si>
  <si>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</si>
  <si>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</si>
  <si>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</si>
  <si>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</si>
  <si>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</si>
  <si>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</si>
  <si>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</si>
  <si>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</si>
  <si>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</si>
  <si>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</si>
  <si>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</si>
  <si>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</si>
  <si>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</si>
  <si>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</si>
  <si>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</si>
  <si>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</si>
  <si>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</si>
  <si>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</si>
  <si>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</si>
  <si>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</si>
  <si>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</si>
  <si>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</si>
  <si>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</si>
  <si>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</si>
  <si>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</si>
  <si>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</si>
  <si>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</si>
  <si>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</si>
  <si>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</si>
  <si>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</si>
  <si>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</si>
  <si>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</si>
  <si>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</si>
  <si>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</si>
  <si>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</si>
  <si>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</si>
  <si>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</si>
  <si>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</si>
  <si>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</si>
  <si>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</si>
  <si>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</si>
  <si>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</si>
  <si>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</si>
  <si>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</si>
  <si>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</si>
  <si>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</si>
  <si>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</si>
  <si>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</si>
  <si>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</si>
  <si>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</si>
  <si>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</si>
  <si>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</si>
  <si>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</si>
  <si>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</si>
  <si>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</si>
  <si>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</si>
  <si>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</si>
  <si>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</si>
  <si>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</si>
  <si>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</si>
  <si>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</si>
  <si>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</si>
  <si>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</si>
  <si>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</si>
  <si>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</si>
  <si>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</si>
  <si>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</si>
  <si>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</si>
  <si>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</si>
  <si>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</si>
  <si>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</si>
  <si>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</si>
  <si>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</si>
  <si>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</si>
  <si>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</si>
  <si>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</si>
  <si>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</si>
  <si>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</si>
  <si>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</si>
  <si>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</si>
  <si>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</si>
  <si>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</si>
  <si>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</si>
  <si>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</si>
  <si>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</si>
  <si>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</si>
  <si>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</si>
  <si>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</si>
  <si>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</si>
  <si>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</si>
  <si>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</si>
  <si>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</si>
  <si>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</si>
  <si>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</si>
  <si>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</si>
  <si>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</si>
  <si>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</si>
  <si>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</si>
  <si>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</si>
  <si>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72038</t>
  </si>
  <si>
    <t>HECHTEL-EKSEL</t>
  </si>
  <si>
    <t>referentietaak LNE (2017); Jaarverslag De Lijn</t>
  </si>
  <si>
    <t>waterkracht</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</si>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</sst>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102245.57008719882</c:v>
                </c:pt>
                <c:pt idx="1">
                  <c:v>15391.45032475054</c:v>
                </c:pt>
                <c:pt idx="2">
                  <c:v>892.47263800000007</c:v>
                </c:pt>
                <c:pt idx="3">
                  <c:v>5850.2900248559745</c:v>
                </c:pt>
                <c:pt idx="4">
                  <c:v>7438.5095194908417</c:v>
                </c:pt>
                <c:pt idx="5">
                  <c:v>115880.44953883838</c:v>
                </c:pt>
                <c:pt idx="6">
                  <c:v>2056.033271819183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102245.57008719882</c:v>
                </c:pt>
                <c:pt idx="1">
                  <c:v>15391.45032475054</c:v>
                </c:pt>
                <c:pt idx="2">
                  <c:v>892.47263800000007</c:v>
                </c:pt>
                <c:pt idx="3">
                  <c:v>5850.2900248559745</c:v>
                </c:pt>
                <c:pt idx="4">
                  <c:v>7438.5095194908417</c:v>
                </c:pt>
                <c:pt idx="5">
                  <c:v>115880.44953883838</c:v>
                </c:pt>
                <c:pt idx="6">
                  <c:v>2056.033271819183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20483.402963117758</c:v>
                </c:pt>
                <c:pt idx="1">
                  <c:v>2921.0735943758968</c:v>
                </c:pt>
                <c:pt idx="2">
                  <c:v>154.32933814094898</c:v>
                </c:pt>
                <c:pt idx="3">
                  <c:v>1401.6510633245371</c:v>
                </c:pt>
                <c:pt idx="4">
                  <c:v>1446.4334480811665</c:v>
                </c:pt>
                <c:pt idx="5">
                  <c:v>28736.512432530613</c:v>
                </c:pt>
                <c:pt idx="6">
                  <c:v>516.7174540557844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20483.402963117758</c:v>
                </c:pt>
                <c:pt idx="1">
                  <c:v>2921.0735943758968</c:v>
                </c:pt>
                <c:pt idx="2">
                  <c:v>154.32933814094898</c:v>
                </c:pt>
                <c:pt idx="3">
                  <c:v>1401.6510633245371</c:v>
                </c:pt>
                <c:pt idx="4">
                  <c:v>1446.4334480811665</c:v>
                </c:pt>
                <c:pt idx="5">
                  <c:v>28736.512432530613</c:v>
                </c:pt>
                <c:pt idx="6">
                  <c:v>516.7174540557844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72038</v>
      </c>
      <c r="B6" s="386"/>
      <c r="C6" s="387"/>
    </row>
    <row r="7" spans="1:7" s="384" customFormat="1" ht="15.75" customHeight="1">
      <c r="A7" s="388" t="str">
        <f>txtMunicipality</f>
        <v>HECHTEL-EKSEL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7835.4985189999998</v>
      </c>
      <c r="D10" s="683">
        <f ca="1">tertiair!C16</f>
        <v>128.57142857142858</v>
      </c>
      <c r="E10" s="683">
        <f ca="1">tertiair!D16</f>
        <v>6691.6321810131431</v>
      </c>
      <c r="F10" s="683">
        <f>tertiair!E16</f>
        <v>30.924691088295155</v>
      </c>
      <c r="G10" s="683">
        <f ca="1">tertiair!F16</f>
        <v>1240.3577257573775</v>
      </c>
      <c r="H10" s="683">
        <f>tertiair!G16</f>
        <v>0</v>
      </c>
      <c r="I10" s="683">
        <f>tertiair!H16</f>
        <v>0</v>
      </c>
      <c r="J10" s="683">
        <f>tertiair!I16</f>
        <v>0</v>
      </c>
      <c r="K10" s="683">
        <f>tertiair!J16</f>
        <v>7.6751901632425377E-3</v>
      </c>
      <c r="L10" s="683">
        <f>tertiair!K16</f>
        <v>0</v>
      </c>
      <c r="M10" s="683">
        <f ca="1">tertiair!L16</f>
        <v>0</v>
      </c>
      <c r="N10" s="683">
        <f>tertiair!M16</f>
        <v>0</v>
      </c>
      <c r="O10" s="683">
        <f ca="1">tertiair!N16</f>
        <v>299.49434305779693</v>
      </c>
      <c r="P10" s="683">
        <f>tertiair!O16</f>
        <v>4.8972607658411542</v>
      </c>
      <c r="Q10" s="684">
        <f>tertiair!P16</f>
        <v>52.539138306495019</v>
      </c>
      <c r="R10" s="686">
        <f ca="1">SUM(C10:Q10)</f>
        <v>16283.922962750541</v>
      </c>
      <c r="S10" s="67"/>
    </row>
    <row r="11" spans="1:19" s="445" customFormat="1">
      <c r="A11" s="804" t="s">
        <v>220</v>
      </c>
      <c r="B11" s="809"/>
      <c r="C11" s="683">
        <f>huishoudens!B8</f>
        <v>22233.000396113621</v>
      </c>
      <c r="D11" s="683">
        <f>huishoudens!C8</f>
        <v>0</v>
      </c>
      <c r="E11" s="683">
        <f>huishoudens!D8</f>
        <v>36908.577242649</v>
      </c>
      <c r="F11" s="683">
        <f>huishoudens!E8</f>
        <v>1500.4699440177721</v>
      </c>
      <c r="G11" s="683">
        <f>huishoudens!F8</f>
        <v>32870.202791360825</v>
      </c>
      <c r="H11" s="683">
        <f>huishoudens!G8</f>
        <v>0</v>
      </c>
      <c r="I11" s="683">
        <f>huishoudens!H8</f>
        <v>0</v>
      </c>
      <c r="J11" s="683">
        <f>huishoudens!I8</f>
        <v>0</v>
      </c>
      <c r="K11" s="683">
        <f>huishoudens!J8</f>
        <v>187.330880845579</v>
      </c>
      <c r="L11" s="683">
        <f>huishoudens!K8</f>
        <v>0</v>
      </c>
      <c r="M11" s="683">
        <f>huishoudens!L8</f>
        <v>0</v>
      </c>
      <c r="N11" s="683">
        <f>huishoudens!M8</f>
        <v>0</v>
      </c>
      <c r="O11" s="683">
        <f>huishoudens!N8</f>
        <v>6896.3185527930636</v>
      </c>
      <c r="P11" s="683">
        <f>huishoudens!O8</f>
        <v>543.60455211204669</v>
      </c>
      <c r="Q11" s="684">
        <f>huishoudens!P8</f>
        <v>1106.0657273069276</v>
      </c>
      <c r="R11" s="686">
        <f>SUM(C11:Q11)</f>
        <v>102245.57008719882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3483.896506</v>
      </c>
      <c r="D13" s="683">
        <f>industrie!C18</f>
        <v>0</v>
      </c>
      <c r="E13" s="683">
        <f>industrie!D18</f>
        <v>2784.1916270700003</v>
      </c>
      <c r="F13" s="683">
        <f>industrie!E18</f>
        <v>45.113689494503568</v>
      </c>
      <c r="G13" s="683">
        <f>industrie!F18</f>
        <v>1010.754778407443</v>
      </c>
      <c r="H13" s="683">
        <f>industrie!G18</f>
        <v>0</v>
      </c>
      <c r="I13" s="683">
        <f>industrie!H18</f>
        <v>0</v>
      </c>
      <c r="J13" s="683">
        <f>industrie!I18</f>
        <v>0</v>
      </c>
      <c r="K13" s="683">
        <f>industrie!J18</f>
        <v>4.1452826742439246</v>
      </c>
      <c r="L13" s="683">
        <f>industrie!K18</f>
        <v>0</v>
      </c>
      <c r="M13" s="683">
        <f>industrie!L18</f>
        <v>0</v>
      </c>
      <c r="N13" s="683">
        <f>industrie!M18</f>
        <v>0</v>
      </c>
      <c r="O13" s="683">
        <f>industrie!N18</f>
        <v>110.40763584465033</v>
      </c>
      <c r="P13" s="683">
        <f>industrie!O18</f>
        <v>0</v>
      </c>
      <c r="Q13" s="684">
        <f>industrie!P18</f>
        <v>0</v>
      </c>
      <c r="R13" s="686">
        <f>SUM(C13:Q13)</f>
        <v>7438.5095194908417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33552.395421113622</v>
      </c>
      <c r="D16" s="719">
        <f t="shared" ref="D16:R16" ca="1" si="0">SUM(D9:D15)</f>
        <v>128.57142857142858</v>
      </c>
      <c r="E16" s="719">
        <f t="shared" ca="1" si="0"/>
        <v>46384.401050732144</v>
      </c>
      <c r="F16" s="719">
        <f t="shared" si="0"/>
        <v>1576.5083246005709</v>
      </c>
      <c r="G16" s="719">
        <f t="shared" ca="1" si="0"/>
        <v>35121.315295525645</v>
      </c>
      <c r="H16" s="719">
        <f t="shared" si="0"/>
        <v>0</v>
      </c>
      <c r="I16" s="719">
        <f t="shared" si="0"/>
        <v>0</v>
      </c>
      <c r="J16" s="719">
        <f t="shared" si="0"/>
        <v>0</v>
      </c>
      <c r="K16" s="719">
        <f t="shared" si="0"/>
        <v>191.48383870998617</v>
      </c>
      <c r="L16" s="719">
        <f t="shared" si="0"/>
        <v>0</v>
      </c>
      <c r="M16" s="719">
        <f t="shared" ca="1" si="0"/>
        <v>0</v>
      </c>
      <c r="N16" s="719">
        <f t="shared" si="0"/>
        <v>0</v>
      </c>
      <c r="O16" s="719">
        <f t="shared" ca="1" si="0"/>
        <v>7306.2205316955105</v>
      </c>
      <c r="P16" s="719">
        <f t="shared" si="0"/>
        <v>548.5018128778878</v>
      </c>
      <c r="Q16" s="719">
        <f t="shared" si="0"/>
        <v>1158.6048656134226</v>
      </c>
      <c r="R16" s="719">
        <f t="shared" ca="1" si="0"/>
        <v>125968.0025694402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30.596848636612073</v>
      </c>
      <c r="D19" s="683">
        <f>transport!C54</f>
        <v>0</v>
      </c>
      <c r="E19" s="683">
        <f>transport!D54</f>
        <v>0</v>
      </c>
      <c r="F19" s="683">
        <f>transport!E54</f>
        <v>0</v>
      </c>
      <c r="G19" s="683">
        <f>transport!F54</f>
        <v>0</v>
      </c>
      <c r="H19" s="683">
        <f>transport!G54</f>
        <v>1915.4552254037571</v>
      </c>
      <c r="I19" s="683">
        <f>transport!H54</f>
        <v>0</v>
      </c>
      <c r="J19" s="683">
        <f>transport!I54</f>
        <v>0</v>
      </c>
      <c r="K19" s="683">
        <f>transport!J54</f>
        <v>0</v>
      </c>
      <c r="L19" s="683">
        <f>transport!K54</f>
        <v>0</v>
      </c>
      <c r="M19" s="683">
        <f>transport!L54</f>
        <v>0</v>
      </c>
      <c r="N19" s="683">
        <f>transport!M54</f>
        <v>109.98119777881359</v>
      </c>
      <c r="O19" s="683">
        <f>transport!N54</f>
        <v>0</v>
      </c>
      <c r="P19" s="683">
        <f>transport!O54</f>
        <v>0</v>
      </c>
      <c r="Q19" s="684">
        <f>transport!P54</f>
        <v>0</v>
      </c>
      <c r="R19" s="686">
        <f>SUM(C19:Q19)</f>
        <v>2056.033271819183</v>
      </c>
      <c r="S19" s="67"/>
    </row>
    <row r="20" spans="1:19" s="445" customFormat="1">
      <c r="A20" s="804" t="s">
        <v>302</v>
      </c>
      <c r="B20" s="809"/>
      <c r="C20" s="683">
        <f>transport!B14</f>
        <v>264.17010263057261</v>
      </c>
      <c r="D20" s="683">
        <f>transport!C14</f>
        <v>0</v>
      </c>
      <c r="E20" s="683">
        <f>transport!D14</f>
        <v>453.0817589670105</v>
      </c>
      <c r="F20" s="683">
        <f>transport!E14</f>
        <v>178.7527334631543</v>
      </c>
      <c r="G20" s="683">
        <f>transport!F14</f>
        <v>0</v>
      </c>
      <c r="H20" s="683">
        <f>transport!G14</f>
        <v>86261.55470840534</v>
      </c>
      <c r="I20" s="683">
        <f>transport!H14</f>
        <v>22196.372555995709</v>
      </c>
      <c r="J20" s="683">
        <f>transport!I14</f>
        <v>0</v>
      </c>
      <c r="K20" s="683">
        <f>transport!J14</f>
        <v>0</v>
      </c>
      <c r="L20" s="683">
        <f>transport!K14</f>
        <v>0</v>
      </c>
      <c r="M20" s="683">
        <f>transport!L14</f>
        <v>0</v>
      </c>
      <c r="N20" s="683">
        <f>transport!M14</f>
        <v>6526.5176793766077</v>
      </c>
      <c r="O20" s="683">
        <f>transport!N14</f>
        <v>0</v>
      </c>
      <c r="P20" s="683">
        <f>transport!O14</f>
        <v>0</v>
      </c>
      <c r="Q20" s="684">
        <f>transport!P14</f>
        <v>0</v>
      </c>
      <c r="R20" s="686">
        <f>SUM(C20:Q20)</f>
        <v>115880.44953883838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294.76695126718471</v>
      </c>
      <c r="D22" s="807">
        <f t="shared" ref="D22:R22" si="1">SUM(D18:D21)</f>
        <v>0</v>
      </c>
      <c r="E22" s="807">
        <f t="shared" si="1"/>
        <v>453.0817589670105</v>
      </c>
      <c r="F22" s="807">
        <f t="shared" si="1"/>
        <v>178.7527334631543</v>
      </c>
      <c r="G22" s="807">
        <f t="shared" si="1"/>
        <v>0</v>
      </c>
      <c r="H22" s="807">
        <f t="shared" si="1"/>
        <v>88177.009933809095</v>
      </c>
      <c r="I22" s="807">
        <f t="shared" si="1"/>
        <v>22196.372555995709</v>
      </c>
      <c r="J22" s="807">
        <f t="shared" si="1"/>
        <v>0</v>
      </c>
      <c r="K22" s="807">
        <f t="shared" si="1"/>
        <v>0</v>
      </c>
      <c r="L22" s="807">
        <f t="shared" si="1"/>
        <v>0</v>
      </c>
      <c r="M22" s="807">
        <f t="shared" si="1"/>
        <v>0</v>
      </c>
      <c r="N22" s="807">
        <f t="shared" si="1"/>
        <v>6636.4988771554217</v>
      </c>
      <c r="O22" s="807">
        <f t="shared" si="1"/>
        <v>0</v>
      </c>
      <c r="P22" s="807">
        <f t="shared" si="1"/>
        <v>0</v>
      </c>
      <c r="Q22" s="807">
        <f t="shared" si="1"/>
        <v>0</v>
      </c>
      <c r="R22" s="807">
        <f t="shared" si="1"/>
        <v>117936.48281065756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1017.81048</v>
      </c>
      <c r="D24" s="683">
        <f>+landbouw!C8</f>
        <v>0</v>
      </c>
      <c r="E24" s="683">
        <f>+landbouw!D8</f>
        <v>1322.6682702450003</v>
      </c>
      <c r="F24" s="683">
        <f>+landbouw!E8</f>
        <v>29.151814597877493</v>
      </c>
      <c r="G24" s="683">
        <f>+landbouw!F8</f>
        <v>3221.8622166327677</v>
      </c>
      <c r="H24" s="683">
        <f>+landbouw!G8</f>
        <v>0</v>
      </c>
      <c r="I24" s="683">
        <f>+landbouw!H8</f>
        <v>0</v>
      </c>
      <c r="J24" s="683">
        <f>+landbouw!I8</f>
        <v>0</v>
      </c>
      <c r="K24" s="683">
        <f>+landbouw!J8</f>
        <v>258.7972433803285</v>
      </c>
      <c r="L24" s="683">
        <f>+landbouw!K8</f>
        <v>0</v>
      </c>
      <c r="M24" s="683">
        <f>+landbouw!L8</f>
        <v>0</v>
      </c>
      <c r="N24" s="683">
        <f>+landbouw!M8</f>
        <v>0</v>
      </c>
      <c r="O24" s="683">
        <f>+landbouw!N8</f>
        <v>0</v>
      </c>
      <c r="P24" s="683">
        <f>+landbouw!O8</f>
        <v>0</v>
      </c>
      <c r="Q24" s="684">
        <f>+landbouw!P8</f>
        <v>0</v>
      </c>
      <c r="R24" s="686">
        <f>SUM(C24:Q24)</f>
        <v>5850.2900248559745</v>
      </c>
      <c r="S24" s="67"/>
    </row>
    <row r="25" spans="1:19" s="445" customFormat="1" ht="15" thickBot="1">
      <c r="A25" s="826" t="s">
        <v>696</v>
      </c>
      <c r="B25" s="939"/>
      <c r="C25" s="940">
        <f>IF(Onbekend_ele_kWh="---",0,Onbekend_ele_kWh)/1000+IF(REST_rest_ele_kWh="---",0,REST_rest_ele_kWh)/1000</f>
        <v>224.30743799999999</v>
      </c>
      <c r="D25" s="940"/>
      <c r="E25" s="940">
        <f>IF(onbekend_gas_kWh="---",0,onbekend_gas_kWh)/1000+IF(REST_rest_gas_kWh="---",0,REST_rest_gas_kWh)/1000</f>
        <v>434.84258399999999</v>
      </c>
      <c r="F25" s="940"/>
      <c r="G25" s="940"/>
      <c r="H25" s="940"/>
      <c r="I25" s="940"/>
      <c r="J25" s="940"/>
      <c r="K25" s="940"/>
      <c r="L25" s="940"/>
      <c r="M25" s="940"/>
      <c r="N25" s="940"/>
      <c r="O25" s="940"/>
      <c r="P25" s="940"/>
      <c r="Q25" s="941"/>
      <c r="R25" s="686">
        <f>SUM(C25:Q25)</f>
        <v>659.15002200000004</v>
      </c>
      <c r="S25" s="67"/>
    </row>
    <row r="26" spans="1:19" s="445" customFormat="1" ht="15.75" thickBot="1">
      <c r="A26" s="691" t="s">
        <v>697</v>
      </c>
      <c r="B26" s="812"/>
      <c r="C26" s="807">
        <f>SUM(C24:C25)</f>
        <v>1242.1179179999999</v>
      </c>
      <c r="D26" s="807">
        <f t="shared" ref="D26:R26" si="2">SUM(D24:D25)</f>
        <v>0</v>
      </c>
      <c r="E26" s="807">
        <f t="shared" si="2"/>
        <v>1757.5108542450002</v>
      </c>
      <c r="F26" s="807">
        <f t="shared" si="2"/>
        <v>29.151814597877493</v>
      </c>
      <c r="G26" s="807">
        <f t="shared" si="2"/>
        <v>3221.8622166327677</v>
      </c>
      <c r="H26" s="807">
        <f t="shared" si="2"/>
        <v>0</v>
      </c>
      <c r="I26" s="807">
        <f t="shared" si="2"/>
        <v>0</v>
      </c>
      <c r="J26" s="807">
        <f t="shared" si="2"/>
        <v>0</v>
      </c>
      <c r="K26" s="807">
        <f t="shared" si="2"/>
        <v>258.7972433803285</v>
      </c>
      <c r="L26" s="807">
        <f t="shared" si="2"/>
        <v>0</v>
      </c>
      <c r="M26" s="807">
        <f t="shared" si="2"/>
        <v>0</v>
      </c>
      <c r="N26" s="807">
        <f t="shared" si="2"/>
        <v>0</v>
      </c>
      <c r="O26" s="807">
        <f t="shared" si="2"/>
        <v>0</v>
      </c>
      <c r="P26" s="807">
        <f t="shared" si="2"/>
        <v>0</v>
      </c>
      <c r="Q26" s="807">
        <f t="shared" si="2"/>
        <v>0</v>
      </c>
      <c r="R26" s="807">
        <f t="shared" si="2"/>
        <v>6509.4400468559743</v>
      </c>
      <c r="S26" s="67"/>
    </row>
    <row r="27" spans="1:19" s="445" customFormat="1" ht="17.25" thickTop="1" thickBot="1">
      <c r="A27" s="692" t="s">
        <v>115</v>
      </c>
      <c r="B27" s="799"/>
      <c r="C27" s="693">
        <f ca="1">C22+C16+C26</f>
        <v>35089.280290380804</v>
      </c>
      <c r="D27" s="693">
        <f t="shared" ref="D27:R27" ca="1" si="3">D22+D16+D26</f>
        <v>128.57142857142858</v>
      </c>
      <c r="E27" s="693">
        <f t="shared" ca="1" si="3"/>
        <v>48594.993663944158</v>
      </c>
      <c r="F27" s="693">
        <f t="shared" si="3"/>
        <v>1784.4128726616027</v>
      </c>
      <c r="G27" s="693">
        <f t="shared" ca="1" si="3"/>
        <v>38343.177512158414</v>
      </c>
      <c r="H27" s="693">
        <f t="shared" si="3"/>
        <v>88177.009933809095</v>
      </c>
      <c r="I27" s="693">
        <f t="shared" si="3"/>
        <v>22196.372555995709</v>
      </c>
      <c r="J27" s="693">
        <f t="shared" si="3"/>
        <v>0</v>
      </c>
      <c r="K27" s="693">
        <f t="shared" si="3"/>
        <v>450.28108209031467</v>
      </c>
      <c r="L27" s="693">
        <f t="shared" si="3"/>
        <v>0</v>
      </c>
      <c r="M27" s="693">
        <f t="shared" ca="1" si="3"/>
        <v>0</v>
      </c>
      <c r="N27" s="693">
        <f t="shared" si="3"/>
        <v>6636.4988771554217</v>
      </c>
      <c r="O27" s="693">
        <f t="shared" ca="1" si="3"/>
        <v>7306.2205316955105</v>
      </c>
      <c r="P27" s="693">
        <f t="shared" si="3"/>
        <v>548.5018128778878</v>
      </c>
      <c r="Q27" s="693">
        <f t="shared" si="3"/>
        <v>1158.6048656134226</v>
      </c>
      <c r="R27" s="693">
        <f t="shared" ca="1" si="3"/>
        <v>250413.92542695373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1354.9404754318707</v>
      </c>
      <c r="D40" s="683">
        <f ca="1">tertiair!C20</f>
        <v>30.554621848739504</v>
      </c>
      <c r="E40" s="683">
        <f ca="1">tertiair!D20</f>
        <v>1351.7097005646549</v>
      </c>
      <c r="F40" s="683">
        <f>tertiair!E20</f>
        <v>7.0199048770430004</v>
      </c>
      <c r="G40" s="683">
        <f ca="1">tertiair!F20</f>
        <v>331.17551277721981</v>
      </c>
      <c r="H40" s="683">
        <f>tertiair!G20</f>
        <v>0</v>
      </c>
      <c r="I40" s="683">
        <f>tertiair!H20</f>
        <v>0</v>
      </c>
      <c r="J40" s="683">
        <f>tertiair!I20</f>
        <v>0</v>
      </c>
      <c r="K40" s="683">
        <f>tertiair!J20</f>
        <v>2.7170173177878581E-3</v>
      </c>
      <c r="L40" s="683">
        <f>tertiair!K20</f>
        <v>0</v>
      </c>
      <c r="M40" s="683">
        <f ca="1">tertiair!L20</f>
        <v>0</v>
      </c>
      <c r="N40" s="683">
        <f>tertiair!M20</f>
        <v>0</v>
      </c>
      <c r="O40" s="683">
        <f ca="1">tertiair!N20</f>
        <v>0</v>
      </c>
      <c r="P40" s="683">
        <f>tertiair!O20</f>
        <v>0</v>
      </c>
      <c r="Q40" s="766">
        <f>tertiair!P20</f>
        <v>0</v>
      </c>
      <c r="R40" s="845">
        <f t="shared" ca="1" si="4"/>
        <v>3075.4029325168458</v>
      </c>
    </row>
    <row r="41" spans="1:18">
      <c r="A41" s="817" t="s">
        <v>220</v>
      </c>
      <c r="B41" s="824"/>
      <c r="C41" s="683">
        <f ca="1">huishoudens!B12</f>
        <v>3844.6044056979499</v>
      </c>
      <c r="D41" s="683">
        <f ca="1">huishoudens!C12</f>
        <v>0</v>
      </c>
      <c r="E41" s="683">
        <f>huishoudens!D12</f>
        <v>7455.5326030150982</v>
      </c>
      <c r="F41" s="683">
        <f>huishoudens!E12</f>
        <v>340.60667729203431</v>
      </c>
      <c r="G41" s="683">
        <f>huishoudens!F12</f>
        <v>8776.3441452933403</v>
      </c>
      <c r="H41" s="683">
        <f>huishoudens!G12</f>
        <v>0</v>
      </c>
      <c r="I41" s="683">
        <f>huishoudens!H12</f>
        <v>0</v>
      </c>
      <c r="J41" s="683">
        <f>huishoudens!I12</f>
        <v>0</v>
      </c>
      <c r="K41" s="683">
        <f>huishoudens!J12</f>
        <v>66.315131819334965</v>
      </c>
      <c r="L41" s="683">
        <f>huishoudens!K12</f>
        <v>0</v>
      </c>
      <c r="M41" s="683">
        <f>huishoudens!L12</f>
        <v>0</v>
      </c>
      <c r="N41" s="683">
        <f>huishoudens!M12</f>
        <v>0</v>
      </c>
      <c r="O41" s="683">
        <f>huishoudens!N12</f>
        <v>0</v>
      </c>
      <c r="P41" s="683">
        <f>huishoudens!O12</f>
        <v>0</v>
      </c>
      <c r="Q41" s="766">
        <f>huishoudens!P12</f>
        <v>0</v>
      </c>
      <c r="R41" s="845">
        <f t="shared" ca="1" si="4"/>
        <v>20483.402963117758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602.44697599630467</v>
      </c>
      <c r="D43" s="683">
        <f ca="1">industrie!C22</f>
        <v>0</v>
      </c>
      <c r="E43" s="683">
        <f>industrie!D22</f>
        <v>562.40670866814014</v>
      </c>
      <c r="F43" s="683">
        <f>industrie!E22</f>
        <v>10.24080751525231</v>
      </c>
      <c r="G43" s="683">
        <f>industrie!F22</f>
        <v>269.87152583478729</v>
      </c>
      <c r="H43" s="683">
        <f>industrie!G22</f>
        <v>0</v>
      </c>
      <c r="I43" s="683">
        <f>industrie!H22</f>
        <v>0</v>
      </c>
      <c r="J43" s="683">
        <f>industrie!I22</f>
        <v>0</v>
      </c>
      <c r="K43" s="683">
        <f>industrie!J22</f>
        <v>1.4674300666823492</v>
      </c>
      <c r="L43" s="683">
        <f>industrie!K22</f>
        <v>0</v>
      </c>
      <c r="M43" s="683">
        <f>industrie!L22</f>
        <v>0</v>
      </c>
      <c r="N43" s="683">
        <f>industrie!M22</f>
        <v>0</v>
      </c>
      <c r="O43" s="683">
        <f>industrie!N22</f>
        <v>0</v>
      </c>
      <c r="P43" s="683">
        <f>industrie!O22</f>
        <v>0</v>
      </c>
      <c r="Q43" s="766">
        <f>industrie!P22</f>
        <v>0</v>
      </c>
      <c r="R43" s="844">
        <f t="shared" ca="1" si="4"/>
        <v>1446.4334480811665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5801.991857126126</v>
      </c>
      <c r="D46" s="719">
        <f t="shared" ref="D46:Q46" ca="1" si="5">SUM(D39:D45)</f>
        <v>30.554621848739504</v>
      </c>
      <c r="E46" s="719">
        <f t="shared" ca="1" si="5"/>
        <v>9369.6490122478936</v>
      </c>
      <c r="F46" s="719">
        <f t="shared" si="5"/>
        <v>357.86738968432962</v>
      </c>
      <c r="G46" s="719">
        <f t="shared" ca="1" si="5"/>
        <v>9377.3911839053471</v>
      </c>
      <c r="H46" s="719">
        <f t="shared" si="5"/>
        <v>0</v>
      </c>
      <c r="I46" s="719">
        <f t="shared" si="5"/>
        <v>0</v>
      </c>
      <c r="J46" s="719">
        <f t="shared" si="5"/>
        <v>0</v>
      </c>
      <c r="K46" s="719">
        <f t="shared" si="5"/>
        <v>67.785278903335112</v>
      </c>
      <c r="L46" s="719">
        <f t="shared" si="5"/>
        <v>0</v>
      </c>
      <c r="M46" s="719">
        <f t="shared" ca="1" si="5"/>
        <v>0</v>
      </c>
      <c r="N46" s="719">
        <f t="shared" si="5"/>
        <v>0</v>
      </c>
      <c r="O46" s="719">
        <f t="shared" ca="1" si="5"/>
        <v>0</v>
      </c>
      <c r="P46" s="719">
        <f t="shared" si="5"/>
        <v>0</v>
      </c>
      <c r="Q46" s="719">
        <f t="shared" si="5"/>
        <v>0</v>
      </c>
      <c r="R46" s="719">
        <f ca="1">SUM(R39:R45)</f>
        <v>25005.23934371577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5.2909088729811993</v>
      </c>
      <c r="D49" s="683">
        <f ca="1">transport!C58</f>
        <v>0</v>
      </c>
      <c r="E49" s="683">
        <f>transport!D58</f>
        <v>0</v>
      </c>
      <c r="F49" s="683">
        <f>transport!E58</f>
        <v>0</v>
      </c>
      <c r="G49" s="683">
        <f>transport!F58</f>
        <v>0</v>
      </c>
      <c r="H49" s="683">
        <f>transport!G58</f>
        <v>511.42654518280318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516.7174540557844</v>
      </c>
    </row>
    <row r="50" spans="1:18">
      <c r="A50" s="820" t="s">
        <v>302</v>
      </c>
      <c r="B50" s="830"/>
      <c r="C50" s="689">
        <f ca="1">transport!B18</f>
        <v>45.681173135980032</v>
      </c>
      <c r="D50" s="689">
        <f>transport!C18</f>
        <v>0</v>
      </c>
      <c r="E50" s="689">
        <f>transport!D18</f>
        <v>91.522515311336122</v>
      </c>
      <c r="F50" s="689">
        <f>transport!E18</f>
        <v>40.576870496136024</v>
      </c>
      <c r="G50" s="689">
        <f>transport!F18</f>
        <v>0</v>
      </c>
      <c r="H50" s="689">
        <f>transport!G18</f>
        <v>23031.835107144227</v>
      </c>
      <c r="I50" s="689">
        <f>transport!H18</f>
        <v>5526.8967664429319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28736.512432530613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50.97208200896123</v>
      </c>
      <c r="D52" s="719">
        <f t="shared" ref="D52:Q52" ca="1" si="6">SUM(D48:D51)</f>
        <v>0</v>
      </c>
      <c r="E52" s="719">
        <f t="shared" si="6"/>
        <v>91.522515311336122</v>
      </c>
      <c r="F52" s="719">
        <f t="shared" si="6"/>
        <v>40.576870496136024</v>
      </c>
      <c r="G52" s="719">
        <f t="shared" si="6"/>
        <v>0</v>
      </c>
      <c r="H52" s="719">
        <f t="shared" si="6"/>
        <v>23543.26165232703</v>
      </c>
      <c r="I52" s="719">
        <f t="shared" si="6"/>
        <v>5526.8967664429319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29253.2298865864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176.00317482374354</v>
      </c>
      <c r="D54" s="689">
        <f ca="1">+landbouw!C12</f>
        <v>0</v>
      </c>
      <c r="E54" s="689">
        <f>+landbouw!D12</f>
        <v>267.17899058949007</v>
      </c>
      <c r="F54" s="689">
        <f>+landbouw!E12</f>
        <v>6.6174619137181914</v>
      </c>
      <c r="G54" s="689">
        <f>+landbouw!F12</f>
        <v>860.23721184094904</v>
      </c>
      <c r="H54" s="689">
        <f>+landbouw!G12</f>
        <v>0</v>
      </c>
      <c r="I54" s="689">
        <f>+landbouw!H12</f>
        <v>0</v>
      </c>
      <c r="J54" s="689">
        <f>+landbouw!I12</f>
        <v>0</v>
      </c>
      <c r="K54" s="689">
        <f>+landbouw!J12</f>
        <v>91.614224156636283</v>
      </c>
      <c r="L54" s="689">
        <f>+landbouw!K12</f>
        <v>0</v>
      </c>
      <c r="M54" s="689">
        <f>+landbouw!L12</f>
        <v>0</v>
      </c>
      <c r="N54" s="689">
        <f>+landbouw!M12</f>
        <v>0</v>
      </c>
      <c r="O54" s="689">
        <f>+landbouw!N12</f>
        <v>0</v>
      </c>
      <c r="P54" s="689">
        <f>+landbouw!O12</f>
        <v>0</v>
      </c>
      <c r="Q54" s="690">
        <f>+landbouw!P12</f>
        <v>0</v>
      </c>
      <c r="R54" s="718">
        <f ca="1">SUM(C54:Q54)</f>
        <v>1401.6510633245371</v>
      </c>
    </row>
    <row r="55" spans="1:18" ht="15" thickBot="1">
      <c r="A55" s="820" t="s">
        <v>696</v>
      </c>
      <c r="B55" s="830"/>
      <c r="C55" s="689">
        <f ca="1">C25*'EF ele_warmte'!B12</f>
        <v>38.787988530615259</v>
      </c>
      <c r="D55" s="689"/>
      <c r="E55" s="689">
        <f>E25*EF_CO2_aardgas</f>
        <v>87.838201968000007</v>
      </c>
      <c r="F55" s="689"/>
      <c r="G55" s="689"/>
      <c r="H55" s="689"/>
      <c r="I55" s="689"/>
      <c r="J55" s="689"/>
      <c r="K55" s="689"/>
      <c r="L55" s="689"/>
      <c r="M55" s="689"/>
      <c r="N55" s="689"/>
      <c r="O55" s="689"/>
      <c r="P55" s="689"/>
      <c r="Q55" s="690"/>
      <c r="R55" s="718">
        <f ca="1">SUM(C55:Q55)</f>
        <v>126.62619049861527</v>
      </c>
    </row>
    <row r="56" spans="1:18" ht="15.75" thickBot="1">
      <c r="A56" s="818" t="s">
        <v>697</v>
      </c>
      <c r="B56" s="831"/>
      <c r="C56" s="719">
        <f ca="1">SUM(C54:C55)</f>
        <v>214.79116335435879</v>
      </c>
      <c r="D56" s="719">
        <f t="shared" ref="D56:Q56" ca="1" si="7">SUM(D54:D55)</f>
        <v>0</v>
      </c>
      <c r="E56" s="719">
        <f t="shared" si="7"/>
        <v>355.01719255749009</v>
      </c>
      <c r="F56" s="719">
        <f t="shared" si="7"/>
        <v>6.6174619137181914</v>
      </c>
      <c r="G56" s="719">
        <f t="shared" si="7"/>
        <v>860.23721184094904</v>
      </c>
      <c r="H56" s="719">
        <f t="shared" si="7"/>
        <v>0</v>
      </c>
      <c r="I56" s="719">
        <f t="shared" si="7"/>
        <v>0</v>
      </c>
      <c r="J56" s="719">
        <f t="shared" si="7"/>
        <v>0</v>
      </c>
      <c r="K56" s="719">
        <f t="shared" si="7"/>
        <v>91.614224156636283</v>
      </c>
      <c r="L56" s="719">
        <f t="shared" si="7"/>
        <v>0</v>
      </c>
      <c r="M56" s="719">
        <f t="shared" si="7"/>
        <v>0</v>
      </c>
      <c r="N56" s="719">
        <f t="shared" si="7"/>
        <v>0</v>
      </c>
      <c r="O56" s="719">
        <f t="shared" si="7"/>
        <v>0</v>
      </c>
      <c r="P56" s="719">
        <f t="shared" si="7"/>
        <v>0</v>
      </c>
      <c r="Q56" s="720">
        <f t="shared" si="7"/>
        <v>0</v>
      </c>
      <c r="R56" s="721">
        <f ca="1">SUM(R54:R55)</f>
        <v>1528.2772538231523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6067.7551024894465</v>
      </c>
      <c r="D61" s="727">
        <f t="shared" ref="D61:Q61" ca="1" si="8">D46+D52+D56</f>
        <v>30.554621848739504</v>
      </c>
      <c r="E61" s="727">
        <f t="shared" ca="1" si="8"/>
        <v>9816.188720116721</v>
      </c>
      <c r="F61" s="727">
        <f t="shared" si="8"/>
        <v>405.06172209418389</v>
      </c>
      <c r="G61" s="727">
        <f t="shared" ca="1" si="8"/>
        <v>10237.628395746297</v>
      </c>
      <c r="H61" s="727">
        <f t="shared" si="8"/>
        <v>23543.26165232703</v>
      </c>
      <c r="I61" s="727">
        <f t="shared" si="8"/>
        <v>5526.8967664429319</v>
      </c>
      <c r="J61" s="727">
        <f t="shared" si="8"/>
        <v>0</v>
      </c>
      <c r="K61" s="727">
        <f t="shared" si="8"/>
        <v>159.39950305997138</v>
      </c>
      <c r="L61" s="727">
        <f t="shared" si="8"/>
        <v>0</v>
      </c>
      <c r="M61" s="727">
        <f t="shared" ca="1" si="8"/>
        <v>0</v>
      </c>
      <c r="N61" s="727">
        <f t="shared" si="8"/>
        <v>0</v>
      </c>
      <c r="O61" s="727">
        <f t="shared" ca="1" si="8"/>
        <v>0</v>
      </c>
      <c r="P61" s="727">
        <f t="shared" si="8"/>
        <v>0</v>
      </c>
      <c r="Q61" s="727">
        <f t="shared" si="8"/>
        <v>0</v>
      </c>
      <c r="R61" s="727">
        <f ca="1">R46+R52+R56</f>
        <v>55786.746484125324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0.17292332736026023</v>
      </c>
      <c r="D63" s="773">
        <f t="shared" ca="1" si="9"/>
        <v>0.23764705882352946</v>
      </c>
      <c r="E63" s="965">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7640.1541944743458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90</v>
      </c>
      <c r="D76" s="948">
        <f>'lokale energieproductie'!C8</f>
        <v>105.88235294117648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21.388235294117649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7640.1541944743458</v>
      </c>
      <c r="C78" s="745">
        <f>SUM(C72:C77)</f>
        <v>90</v>
      </c>
      <c r="D78" s="746">
        <f t="shared" ref="D78:H78" si="10">SUM(D76:D77)</f>
        <v>105.88235294117648</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21.388235294117649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128.57142857142858</v>
      </c>
      <c r="D87" s="769">
        <f>'lokale energieproductie'!C17</f>
        <v>151.2605042016807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30.554621848739504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128.57142857142858</v>
      </c>
      <c r="D90" s="745">
        <f t="shared" ref="D90:H90" si="12">SUM(D87:D89)</f>
        <v>151.2605042016807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30.554621848739504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22233.000396113621</v>
      </c>
      <c r="C4" s="449">
        <f>huishoudens!C8</f>
        <v>0</v>
      </c>
      <c r="D4" s="449">
        <f>huishoudens!D8</f>
        <v>36908.577242649</v>
      </c>
      <c r="E4" s="449">
        <f>huishoudens!E8</f>
        <v>1500.4699440177721</v>
      </c>
      <c r="F4" s="449">
        <f>huishoudens!F8</f>
        <v>32870.202791360825</v>
      </c>
      <c r="G4" s="449">
        <f>huishoudens!G8</f>
        <v>0</v>
      </c>
      <c r="H4" s="449">
        <f>huishoudens!H8</f>
        <v>0</v>
      </c>
      <c r="I4" s="449">
        <f>huishoudens!I8</f>
        <v>0</v>
      </c>
      <c r="J4" s="449">
        <f>huishoudens!J8</f>
        <v>187.330880845579</v>
      </c>
      <c r="K4" s="449">
        <f>huishoudens!K8</f>
        <v>0</v>
      </c>
      <c r="L4" s="449">
        <f>huishoudens!L8</f>
        <v>0</v>
      </c>
      <c r="M4" s="449">
        <f>huishoudens!M8</f>
        <v>0</v>
      </c>
      <c r="N4" s="449">
        <f>huishoudens!N8</f>
        <v>6896.3185527930636</v>
      </c>
      <c r="O4" s="449">
        <f>huishoudens!O8</f>
        <v>543.60455211204669</v>
      </c>
      <c r="P4" s="450">
        <f>huishoudens!P8</f>
        <v>1106.0657273069276</v>
      </c>
      <c r="Q4" s="451">
        <f>SUM(B4:P4)</f>
        <v>102245.57008719882</v>
      </c>
    </row>
    <row r="5" spans="1:17">
      <c r="A5" s="448" t="s">
        <v>155</v>
      </c>
      <c r="B5" s="449">
        <f ca="1">tertiair!B16</f>
        <v>6943.0258809999996</v>
      </c>
      <c r="C5" s="449">
        <f ca="1">tertiair!C16</f>
        <v>128.57142857142858</v>
      </c>
      <c r="D5" s="449">
        <f ca="1">tertiair!D16</f>
        <v>6691.6321810131431</v>
      </c>
      <c r="E5" s="449">
        <f>tertiair!E16</f>
        <v>30.924691088295155</v>
      </c>
      <c r="F5" s="449">
        <f ca="1">tertiair!F16</f>
        <v>1240.3577257573775</v>
      </c>
      <c r="G5" s="449">
        <f>tertiair!G16</f>
        <v>0</v>
      </c>
      <c r="H5" s="449">
        <f>tertiair!H16</f>
        <v>0</v>
      </c>
      <c r="I5" s="449">
        <f>tertiair!I16</f>
        <v>0</v>
      </c>
      <c r="J5" s="449">
        <f>tertiair!J16</f>
        <v>7.6751901632425377E-3</v>
      </c>
      <c r="K5" s="449">
        <f>tertiair!K16</f>
        <v>0</v>
      </c>
      <c r="L5" s="449">
        <f ca="1">tertiair!L16</f>
        <v>0</v>
      </c>
      <c r="M5" s="449">
        <f>tertiair!M16</f>
        <v>0</v>
      </c>
      <c r="N5" s="449">
        <f ca="1">tertiair!N16</f>
        <v>299.49434305779693</v>
      </c>
      <c r="O5" s="449">
        <f>tertiair!O16</f>
        <v>4.8972607658411542</v>
      </c>
      <c r="P5" s="450">
        <f>tertiair!P16</f>
        <v>52.539138306495019</v>
      </c>
      <c r="Q5" s="448">
        <f t="shared" ref="Q5:Q14" ca="1" si="0">SUM(B5:P5)</f>
        <v>15391.45032475054</v>
      </c>
    </row>
    <row r="6" spans="1:17">
      <c r="A6" s="448" t="s">
        <v>193</v>
      </c>
      <c r="B6" s="449">
        <f>'openbare verlichting'!B8</f>
        <v>892.47263800000007</v>
      </c>
      <c r="C6" s="449"/>
      <c r="D6" s="449"/>
      <c r="E6" s="449"/>
      <c r="F6" s="449"/>
      <c r="G6" s="449"/>
      <c r="H6" s="449"/>
      <c r="I6" s="449"/>
      <c r="J6" s="449"/>
      <c r="K6" s="449"/>
      <c r="L6" s="449"/>
      <c r="M6" s="449"/>
      <c r="N6" s="449"/>
      <c r="O6" s="449"/>
      <c r="P6" s="450"/>
      <c r="Q6" s="448">
        <f t="shared" si="0"/>
        <v>892.47263800000007</v>
      </c>
    </row>
    <row r="7" spans="1:17">
      <c r="A7" s="448" t="s">
        <v>111</v>
      </c>
      <c r="B7" s="449">
        <f>landbouw!B8</f>
        <v>1017.81048</v>
      </c>
      <c r="C7" s="449">
        <f>landbouw!C8</f>
        <v>0</v>
      </c>
      <c r="D7" s="449">
        <f>landbouw!D8</f>
        <v>1322.6682702450003</v>
      </c>
      <c r="E7" s="449">
        <f>landbouw!E8</f>
        <v>29.151814597877493</v>
      </c>
      <c r="F7" s="449">
        <f>landbouw!F8</f>
        <v>3221.8622166327677</v>
      </c>
      <c r="G7" s="449">
        <f>landbouw!G8</f>
        <v>0</v>
      </c>
      <c r="H7" s="449">
        <f>landbouw!H8</f>
        <v>0</v>
      </c>
      <c r="I7" s="449">
        <f>landbouw!I8</f>
        <v>0</v>
      </c>
      <c r="J7" s="449">
        <f>landbouw!J8</f>
        <v>258.7972433803285</v>
      </c>
      <c r="K7" s="449">
        <f>landbouw!K8</f>
        <v>0</v>
      </c>
      <c r="L7" s="449">
        <f>landbouw!L8</f>
        <v>0</v>
      </c>
      <c r="M7" s="449">
        <f>landbouw!M8</f>
        <v>0</v>
      </c>
      <c r="N7" s="449">
        <f>landbouw!N8</f>
        <v>0</v>
      </c>
      <c r="O7" s="449">
        <f>landbouw!O8</f>
        <v>0</v>
      </c>
      <c r="P7" s="450">
        <f>landbouw!P8</f>
        <v>0</v>
      </c>
      <c r="Q7" s="448">
        <f t="shared" si="0"/>
        <v>5850.2900248559745</v>
      </c>
    </row>
    <row r="8" spans="1:17">
      <c r="A8" s="448" t="s">
        <v>617</v>
      </c>
      <c r="B8" s="449">
        <f>industrie!B18</f>
        <v>3483.896506</v>
      </c>
      <c r="C8" s="449">
        <f>industrie!C18</f>
        <v>0</v>
      </c>
      <c r="D8" s="449">
        <f>industrie!D18</f>
        <v>2784.1916270700003</v>
      </c>
      <c r="E8" s="449">
        <f>industrie!E18</f>
        <v>45.113689494503568</v>
      </c>
      <c r="F8" s="449">
        <f>industrie!F18</f>
        <v>1010.754778407443</v>
      </c>
      <c r="G8" s="449">
        <f>industrie!G18</f>
        <v>0</v>
      </c>
      <c r="H8" s="449">
        <f>industrie!H18</f>
        <v>0</v>
      </c>
      <c r="I8" s="449">
        <f>industrie!I18</f>
        <v>0</v>
      </c>
      <c r="J8" s="449">
        <f>industrie!J18</f>
        <v>4.1452826742439246</v>
      </c>
      <c r="K8" s="449">
        <f>industrie!K18</f>
        <v>0</v>
      </c>
      <c r="L8" s="449">
        <f>industrie!L18</f>
        <v>0</v>
      </c>
      <c r="M8" s="449">
        <f>industrie!M18</f>
        <v>0</v>
      </c>
      <c r="N8" s="449">
        <f>industrie!N18</f>
        <v>110.40763584465033</v>
      </c>
      <c r="O8" s="449">
        <f>industrie!O18</f>
        <v>0</v>
      </c>
      <c r="P8" s="450">
        <f>industrie!P18</f>
        <v>0</v>
      </c>
      <c r="Q8" s="448">
        <f t="shared" si="0"/>
        <v>7438.5095194908417</v>
      </c>
    </row>
    <row r="9" spans="1:17" s="454" customFormat="1">
      <c r="A9" s="452" t="s">
        <v>543</v>
      </c>
      <c r="B9" s="453">
        <f>transport!B14</f>
        <v>264.17010263057261</v>
      </c>
      <c r="C9" s="453">
        <f>transport!C14</f>
        <v>0</v>
      </c>
      <c r="D9" s="453">
        <f>transport!D14</f>
        <v>453.0817589670105</v>
      </c>
      <c r="E9" s="453">
        <f>transport!E14</f>
        <v>178.7527334631543</v>
      </c>
      <c r="F9" s="453">
        <f>transport!F14</f>
        <v>0</v>
      </c>
      <c r="G9" s="453">
        <f>transport!G14</f>
        <v>86261.55470840534</v>
      </c>
      <c r="H9" s="453">
        <f>transport!H14</f>
        <v>22196.372555995709</v>
      </c>
      <c r="I9" s="453">
        <f>transport!I14</f>
        <v>0</v>
      </c>
      <c r="J9" s="453">
        <f>transport!J14</f>
        <v>0</v>
      </c>
      <c r="K9" s="453">
        <f>transport!K14</f>
        <v>0</v>
      </c>
      <c r="L9" s="453">
        <f>transport!L14</f>
        <v>0</v>
      </c>
      <c r="M9" s="453">
        <f>transport!M14</f>
        <v>6526.5176793766077</v>
      </c>
      <c r="N9" s="453">
        <f>transport!N14</f>
        <v>0</v>
      </c>
      <c r="O9" s="453">
        <f>transport!O14</f>
        <v>0</v>
      </c>
      <c r="P9" s="453">
        <f>transport!P14</f>
        <v>0</v>
      </c>
      <c r="Q9" s="452">
        <f>SUM(B9:P9)</f>
        <v>115880.44953883838</v>
      </c>
    </row>
    <row r="10" spans="1:17">
      <c r="A10" s="448" t="s">
        <v>533</v>
      </c>
      <c r="B10" s="449">
        <f>transport!B54</f>
        <v>30.596848636612073</v>
      </c>
      <c r="C10" s="449">
        <f>transport!C54</f>
        <v>0</v>
      </c>
      <c r="D10" s="449">
        <f>transport!D54</f>
        <v>0</v>
      </c>
      <c r="E10" s="449">
        <f>transport!E54</f>
        <v>0</v>
      </c>
      <c r="F10" s="449">
        <f>transport!F54</f>
        <v>0</v>
      </c>
      <c r="G10" s="449">
        <f>transport!G54</f>
        <v>1915.4552254037571</v>
      </c>
      <c r="H10" s="449">
        <f>transport!H54</f>
        <v>0</v>
      </c>
      <c r="I10" s="449">
        <f>transport!I54</f>
        <v>0</v>
      </c>
      <c r="J10" s="449">
        <f>transport!J54</f>
        <v>0</v>
      </c>
      <c r="K10" s="449">
        <f>transport!K54</f>
        <v>0</v>
      </c>
      <c r="L10" s="449">
        <f>transport!L54</f>
        <v>0</v>
      </c>
      <c r="M10" s="449">
        <f>transport!M54</f>
        <v>109.98119777881359</v>
      </c>
      <c r="N10" s="449">
        <f>transport!N54</f>
        <v>0</v>
      </c>
      <c r="O10" s="449">
        <f>transport!O54</f>
        <v>0</v>
      </c>
      <c r="P10" s="450">
        <f>transport!P54</f>
        <v>0</v>
      </c>
      <c r="Q10" s="448">
        <f t="shared" si="0"/>
        <v>2056.033271819183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224.30743799999999</v>
      </c>
      <c r="C14" s="456"/>
      <c r="D14" s="456">
        <f>'SEAP template'!E25</f>
        <v>434.84258399999999</v>
      </c>
      <c r="E14" s="456"/>
      <c r="F14" s="456"/>
      <c r="G14" s="456"/>
      <c r="H14" s="456"/>
      <c r="I14" s="456"/>
      <c r="J14" s="456"/>
      <c r="K14" s="456"/>
      <c r="L14" s="456"/>
      <c r="M14" s="456"/>
      <c r="N14" s="456"/>
      <c r="O14" s="456"/>
      <c r="P14" s="457"/>
      <c r="Q14" s="448">
        <f t="shared" si="0"/>
        <v>659.15002200000004</v>
      </c>
    </row>
    <row r="15" spans="1:17" s="460" customFormat="1">
      <c r="A15" s="458" t="s">
        <v>537</v>
      </c>
      <c r="B15" s="459">
        <f ca="1">SUM(B4:B14)</f>
        <v>35089.280290380804</v>
      </c>
      <c r="C15" s="459">
        <f t="shared" ref="C15:Q15" ca="1" si="1">SUM(C4:C14)</f>
        <v>128.57142857142858</v>
      </c>
      <c r="D15" s="459">
        <f t="shared" ca="1" si="1"/>
        <v>48594.993663944151</v>
      </c>
      <c r="E15" s="459">
        <f t="shared" si="1"/>
        <v>1784.4128726616027</v>
      </c>
      <c r="F15" s="459">
        <f t="shared" ca="1" si="1"/>
        <v>38343.177512158414</v>
      </c>
      <c r="G15" s="459">
        <f t="shared" si="1"/>
        <v>88177.009933809095</v>
      </c>
      <c r="H15" s="459">
        <f t="shared" si="1"/>
        <v>22196.372555995709</v>
      </c>
      <c r="I15" s="459">
        <f t="shared" si="1"/>
        <v>0</v>
      </c>
      <c r="J15" s="459">
        <f t="shared" si="1"/>
        <v>450.28108209031467</v>
      </c>
      <c r="K15" s="459">
        <f t="shared" si="1"/>
        <v>0</v>
      </c>
      <c r="L15" s="459">
        <f t="shared" ca="1" si="1"/>
        <v>0</v>
      </c>
      <c r="M15" s="459">
        <f t="shared" si="1"/>
        <v>6636.4988771554217</v>
      </c>
      <c r="N15" s="459">
        <f t="shared" ca="1" si="1"/>
        <v>7306.2205316955105</v>
      </c>
      <c r="O15" s="459">
        <f t="shared" si="1"/>
        <v>548.5018128778878</v>
      </c>
      <c r="P15" s="459">
        <f t="shared" si="1"/>
        <v>1158.6048656134226</v>
      </c>
      <c r="Q15" s="459">
        <f t="shared" ca="1" si="1"/>
        <v>250413.92542695373</v>
      </c>
    </row>
    <row r="17" spans="1:17">
      <c r="A17" s="461" t="s">
        <v>538</v>
      </c>
      <c r="B17" s="778">
        <f ca="1">huishoudens!B10</f>
        <v>0.17292332736026017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3844.6044056979499</v>
      </c>
      <c r="C22" s="449">
        <f t="shared" ref="C22:C32" ca="1" si="3">C4*$C$17</f>
        <v>0</v>
      </c>
      <c r="D22" s="449">
        <f t="shared" ref="D22:D32" si="4">D4*$D$17</f>
        <v>7455.5326030150982</v>
      </c>
      <c r="E22" s="449">
        <f t="shared" ref="E22:E32" si="5">E4*$E$17</f>
        <v>340.60667729203431</v>
      </c>
      <c r="F22" s="449">
        <f t="shared" ref="F22:F32" si="6">F4*$F$17</f>
        <v>8776.3441452933403</v>
      </c>
      <c r="G22" s="449">
        <f t="shared" ref="G22:G32" si="7">G4*$G$17</f>
        <v>0</v>
      </c>
      <c r="H22" s="449">
        <f t="shared" ref="H22:H32" si="8">H4*$H$17</f>
        <v>0</v>
      </c>
      <c r="I22" s="449">
        <f t="shared" ref="I22:I32" si="9">I4*$I$17</f>
        <v>0</v>
      </c>
      <c r="J22" s="449">
        <f t="shared" ref="J22:J32" si="10">J4*$J$17</f>
        <v>66.315131819334965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20483.402963117758</v>
      </c>
    </row>
    <row r="23" spans="1:17">
      <c r="A23" s="448" t="s">
        <v>155</v>
      </c>
      <c r="B23" s="449">
        <f t="shared" ca="1" si="2"/>
        <v>1200.6111372909218</v>
      </c>
      <c r="C23" s="449">
        <f t="shared" ca="1" si="3"/>
        <v>30.554621848739504</v>
      </c>
      <c r="D23" s="449">
        <f t="shared" ca="1" si="4"/>
        <v>1351.7097005646549</v>
      </c>
      <c r="E23" s="449">
        <f t="shared" si="5"/>
        <v>7.0199048770430004</v>
      </c>
      <c r="F23" s="449">
        <f t="shared" ca="1" si="6"/>
        <v>331.17551277721981</v>
      </c>
      <c r="G23" s="449">
        <f t="shared" si="7"/>
        <v>0</v>
      </c>
      <c r="H23" s="449">
        <f t="shared" si="8"/>
        <v>0</v>
      </c>
      <c r="I23" s="449">
        <f t="shared" si="9"/>
        <v>0</v>
      </c>
      <c r="J23" s="449">
        <f t="shared" si="10"/>
        <v>2.7170173177878581E-3</v>
      </c>
      <c r="K23" s="449">
        <f t="shared" si="11"/>
        <v>0</v>
      </c>
      <c r="L23" s="449">
        <f t="shared" ca="1" si="12"/>
        <v>0</v>
      </c>
      <c r="M23" s="449">
        <f t="shared" si="13"/>
        <v>0</v>
      </c>
      <c r="N23" s="449">
        <f t="shared" ca="1" si="14"/>
        <v>0</v>
      </c>
      <c r="O23" s="449">
        <f t="shared" si="15"/>
        <v>0</v>
      </c>
      <c r="P23" s="450">
        <f t="shared" si="16"/>
        <v>0</v>
      </c>
      <c r="Q23" s="448">
        <f t="shared" ref="Q23:Q31" ca="1" si="17">SUM(B23:P23)</f>
        <v>2921.0735943758968</v>
      </c>
    </row>
    <row r="24" spans="1:17">
      <c r="A24" s="448" t="s">
        <v>193</v>
      </c>
      <c r="B24" s="449">
        <f t="shared" ca="1" si="2"/>
        <v>154.32933814094898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154.32933814094898</v>
      </c>
    </row>
    <row r="25" spans="1:17">
      <c r="A25" s="448" t="s">
        <v>111</v>
      </c>
      <c r="B25" s="449">
        <f t="shared" ca="1" si="2"/>
        <v>176.00317482374354</v>
      </c>
      <c r="C25" s="449">
        <f t="shared" ca="1" si="3"/>
        <v>0</v>
      </c>
      <c r="D25" s="449">
        <f t="shared" si="4"/>
        <v>267.17899058949007</v>
      </c>
      <c r="E25" s="449">
        <f t="shared" si="5"/>
        <v>6.6174619137181914</v>
      </c>
      <c r="F25" s="449">
        <f t="shared" si="6"/>
        <v>860.23721184094904</v>
      </c>
      <c r="G25" s="449">
        <f t="shared" si="7"/>
        <v>0</v>
      </c>
      <c r="H25" s="449">
        <f t="shared" si="8"/>
        <v>0</v>
      </c>
      <c r="I25" s="449">
        <f t="shared" si="9"/>
        <v>0</v>
      </c>
      <c r="J25" s="449">
        <f t="shared" si="10"/>
        <v>91.614224156636283</v>
      </c>
      <c r="K25" s="449">
        <f t="shared" si="11"/>
        <v>0</v>
      </c>
      <c r="L25" s="449">
        <f t="shared" si="12"/>
        <v>0</v>
      </c>
      <c r="M25" s="449">
        <f t="shared" si="13"/>
        <v>0</v>
      </c>
      <c r="N25" s="449">
        <f t="shared" si="14"/>
        <v>0</v>
      </c>
      <c r="O25" s="449">
        <f t="shared" si="15"/>
        <v>0</v>
      </c>
      <c r="P25" s="450">
        <f t="shared" si="16"/>
        <v>0</v>
      </c>
      <c r="Q25" s="448">
        <f t="shared" ca="1" si="17"/>
        <v>1401.6510633245371</v>
      </c>
    </row>
    <row r="26" spans="1:17">
      <c r="A26" s="448" t="s">
        <v>617</v>
      </c>
      <c r="B26" s="449">
        <f t="shared" ca="1" si="2"/>
        <v>602.44697599630467</v>
      </c>
      <c r="C26" s="449">
        <f t="shared" ca="1" si="3"/>
        <v>0</v>
      </c>
      <c r="D26" s="449">
        <f t="shared" si="4"/>
        <v>562.40670866814014</v>
      </c>
      <c r="E26" s="449">
        <f t="shared" si="5"/>
        <v>10.24080751525231</v>
      </c>
      <c r="F26" s="449">
        <f t="shared" si="6"/>
        <v>269.87152583478729</v>
      </c>
      <c r="G26" s="449">
        <f t="shared" si="7"/>
        <v>0</v>
      </c>
      <c r="H26" s="449">
        <f t="shared" si="8"/>
        <v>0</v>
      </c>
      <c r="I26" s="449">
        <f t="shared" si="9"/>
        <v>0</v>
      </c>
      <c r="J26" s="449">
        <f t="shared" si="10"/>
        <v>1.4674300666823492</v>
      </c>
      <c r="K26" s="449">
        <f t="shared" si="11"/>
        <v>0</v>
      </c>
      <c r="L26" s="449">
        <f t="shared" si="12"/>
        <v>0</v>
      </c>
      <c r="M26" s="449">
        <f t="shared" si="13"/>
        <v>0</v>
      </c>
      <c r="N26" s="449">
        <f t="shared" si="14"/>
        <v>0</v>
      </c>
      <c r="O26" s="449">
        <f t="shared" si="15"/>
        <v>0</v>
      </c>
      <c r="P26" s="450">
        <f t="shared" si="16"/>
        <v>0</v>
      </c>
      <c r="Q26" s="448">
        <f t="shared" ca="1" si="17"/>
        <v>1446.4334480811665</v>
      </c>
    </row>
    <row r="27" spans="1:17" s="454" customFormat="1">
      <c r="A27" s="452" t="s">
        <v>543</v>
      </c>
      <c r="B27" s="772">
        <f t="shared" ca="1" si="2"/>
        <v>45.681173135980032</v>
      </c>
      <c r="C27" s="453">
        <f t="shared" ca="1" si="3"/>
        <v>0</v>
      </c>
      <c r="D27" s="453">
        <f t="shared" si="4"/>
        <v>91.522515311336122</v>
      </c>
      <c r="E27" s="453">
        <f t="shared" si="5"/>
        <v>40.576870496136024</v>
      </c>
      <c r="F27" s="453">
        <f t="shared" si="6"/>
        <v>0</v>
      </c>
      <c r="G27" s="453">
        <f t="shared" si="7"/>
        <v>23031.835107144227</v>
      </c>
      <c r="H27" s="453">
        <f t="shared" si="8"/>
        <v>5526.8967664429319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28736.512432530613</v>
      </c>
    </row>
    <row r="28" spans="1:17" ht="16.5" customHeight="1">
      <c r="A28" s="448" t="s">
        <v>533</v>
      </c>
      <c r="B28" s="449">
        <f t="shared" ca="1" si="2"/>
        <v>5.2909088729811993</v>
      </c>
      <c r="C28" s="449">
        <f t="shared" ca="1" si="3"/>
        <v>0</v>
      </c>
      <c r="D28" s="449">
        <f t="shared" si="4"/>
        <v>0</v>
      </c>
      <c r="E28" s="449">
        <f t="shared" si="5"/>
        <v>0</v>
      </c>
      <c r="F28" s="449">
        <f t="shared" si="6"/>
        <v>0</v>
      </c>
      <c r="G28" s="449">
        <f t="shared" si="7"/>
        <v>511.42654518280318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516.7174540557844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38.787988530615259</v>
      </c>
      <c r="C32" s="449">
        <f t="shared" ca="1" si="3"/>
        <v>0</v>
      </c>
      <c r="D32" s="449">
        <f t="shared" si="4"/>
        <v>87.838201968000007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126.62619049861527</v>
      </c>
    </row>
    <row r="33" spans="1:17" s="460" customFormat="1">
      <c r="A33" s="458" t="s">
        <v>537</v>
      </c>
      <c r="B33" s="459">
        <f ca="1">SUM(B22:B32)</f>
        <v>6067.7551024894465</v>
      </c>
      <c r="C33" s="459">
        <f t="shared" ref="C33:Q33" ca="1" si="19">SUM(C22:C32)</f>
        <v>30.554621848739504</v>
      </c>
      <c r="D33" s="459">
        <f t="shared" ca="1" si="19"/>
        <v>9816.1887201167192</v>
      </c>
      <c r="E33" s="459">
        <f t="shared" si="19"/>
        <v>405.06172209418389</v>
      </c>
      <c r="F33" s="459">
        <f t="shared" ca="1" si="19"/>
        <v>10237.628395746297</v>
      </c>
      <c r="G33" s="459">
        <f t="shared" si="19"/>
        <v>23543.26165232703</v>
      </c>
      <c r="H33" s="459">
        <f t="shared" si="19"/>
        <v>5526.8967664429319</v>
      </c>
      <c r="I33" s="459">
        <f t="shared" si="19"/>
        <v>0</v>
      </c>
      <c r="J33" s="459">
        <f t="shared" si="19"/>
        <v>159.39950305997138</v>
      </c>
      <c r="K33" s="459">
        <f t="shared" si="19"/>
        <v>0</v>
      </c>
      <c r="L33" s="459">
        <f t="shared" ca="1" si="19"/>
        <v>0</v>
      </c>
      <c r="M33" s="459">
        <f t="shared" si="19"/>
        <v>0</v>
      </c>
      <c r="N33" s="459">
        <f t="shared" ca="1" si="19"/>
        <v>0</v>
      </c>
      <c r="O33" s="459">
        <f t="shared" si="19"/>
        <v>0</v>
      </c>
      <c r="P33" s="459">
        <f t="shared" si="19"/>
        <v>0</v>
      </c>
      <c r="Q33" s="459">
        <f t="shared" ca="1" si="19"/>
        <v>55786.746484125317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7640.1541944743458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90</v>
      </c>
      <c r="D8" s="1016">
        <f>'SEAP template'!D76</f>
        <v>105.88235294117648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21.388235294117649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7640.1541944743458</v>
      </c>
      <c r="C10" s="1018">
        <f>SUM(C4:C9)</f>
        <v>90</v>
      </c>
      <c r="D10" s="1018">
        <f t="shared" ref="D10:H10" si="0">SUM(D8:D9)</f>
        <v>105.88235294117648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21.388235294117649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0.17292332736026017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128.57142857142858</v>
      </c>
      <c r="D17" s="1017">
        <f>'SEAP template'!D87</f>
        <v>151.2605042016807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30.554621848739504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128.57142857142858</v>
      </c>
      <c r="D20" s="1018">
        <f t="shared" ref="D20:H20" si="2">SUM(D17:D19)</f>
        <v>151.2605042016807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30.554621848739504</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0.17292332736026017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0.17292332736026017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0.17292332736026017</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5049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1762.58</v>
      </c>
      <c r="C14" s="326"/>
      <c r="D14" s="326"/>
      <c r="E14" s="326"/>
      <c r="F14" s="326"/>
    </row>
    <row r="15" spans="1:6">
      <c r="A15" s="1312" t="s">
        <v>183</v>
      </c>
      <c r="B15" s="1313">
        <v>12</v>
      </c>
      <c r="C15" s="326"/>
      <c r="D15" s="326"/>
      <c r="E15" s="326"/>
      <c r="F15" s="326"/>
    </row>
    <row r="16" spans="1:6">
      <c r="A16" s="1312" t="s">
        <v>6</v>
      </c>
      <c r="B16" s="1313">
        <v>642</v>
      </c>
      <c r="C16" s="326"/>
      <c r="D16" s="326"/>
      <c r="E16" s="326"/>
      <c r="F16" s="326"/>
    </row>
    <row r="17" spans="1:6">
      <c r="A17" s="1312" t="s">
        <v>7</v>
      </c>
      <c r="B17" s="1313">
        <v>92</v>
      </c>
      <c r="C17" s="326"/>
      <c r="D17" s="326"/>
      <c r="E17" s="326"/>
      <c r="F17" s="326"/>
    </row>
    <row r="18" spans="1:6">
      <c r="A18" s="1312" t="s">
        <v>8</v>
      </c>
      <c r="B18" s="1313">
        <v>257</v>
      </c>
      <c r="C18" s="326"/>
      <c r="D18" s="326"/>
      <c r="E18" s="326"/>
      <c r="F18" s="326"/>
    </row>
    <row r="19" spans="1:6">
      <c r="A19" s="1312" t="s">
        <v>9</v>
      </c>
      <c r="B19" s="1313">
        <v>206</v>
      </c>
      <c r="C19" s="326"/>
      <c r="D19" s="326"/>
      <c r="E19" s="326"/>
      <c r="F19" s="326"/>
    </row>
    <row r="20" spans="1:6">
      <c r="A20" s="1312" t="s">
        <v>10</v>
      </c>
      <c r="B20" s="1313">
        <v>143</v>
      </c>
      <c r="C20" s="326"/>
      <c r="D20" s="326"/>
      <c r="E20" s="326"/>
      <c r="F20" s="326"/>
    </row>
    <row r="21" spans="1:6">
      <c r="A21" s="1312" t="s">
        <v>11</v>
      </c>
      <c r="B21" s="1313">
        <v>1084</v>
      </c>
      <c r="C21" s="326"/>
      <c r="D21" s="326"/>
      <c r="E21" s="326"/>
      <c r="F21" s="326"/>
    </row>
    <row r="22" spans="1:6">
      <c r="A22" s="1312" t="s">
        <v>12</v>
      </c>
      <c r="B22" s="1313">
        <v>2277</v>
      </c>
      <c r="C22" s="326"/>
      <c r="D22" s="326"/>
      <c r="E22" s="326"/>
      <c r="F22" s="326"/>
    </row>
    <row r="23" spans="1:6">
      <c r="A23" s="1312" t="s">
        <v>13</v>
      </c>
      <c r="B23" s="1313">
        <v>72</v>
      </c>
      <c r="C23" s="326"/>
      <c r="D23" s="326"/>
      <c r="E23" s="326"/>
      <c r="F23" s="326"/>
    </row>
    <row r="24" spans="1:6">
      <c r="A24" s="1312" t="s">
        <v>14</v>
      </c>
      <c r="B24" s="1313">
        <v>2</v>
      </c>
      <c r="C24" s="326"/>
      <c r="D24" s="326"/>
      <c r="E24" s="326"/>
      <c r="F24" s="326"/>
    </row>
    <row r="25" spans="1:6">
      <c r="A25" s="1312" t="s">
        <v>15</v>
      </c>
      <c r="B25" s="1313">
        <v>263</v>
      </c>
      <c r="C25" s="326"/>
      <c r="D25" s="326"/>
      <c r="E25" s="326"/>
      <c r="F25" s="326"/>
    </row>
    <row r="26" spans="1:6">
      <c r="A26" s="1312" t="s">
        <v>16</v>
      </c>
      <c r="B26" s="1313">
        <v>12</v>
      </c>
      <c r="C26" s="326"/>
      <c r="D26" s="326"/>
      <c r="E26" s="326"/>
      <c r="F26" s="326"/>
    </row>
    <row r="27" spans="1:6">
      <c r="A27" s="1312" t="s">
        <v>17</v>
      </c>
      <c r="B27" s="1313">
        <v>0</v>
      </c>
      <c r="C27" s="326"/>
      <c r="D27" s="326"/>
      <c r="E27" s="326"/>
      <c r="F27" s="326"/>
    </row>
    <row r="28" spans="1:6" s="43" customFormat="1">
      <c r="A28" s="1314" t="s">
        <v>18</v>
      </c>
      <c r="B28" s="1315">
        <v>57824</v>
      </c>
      <c r="C28" s="332"/>
      <c r="D28" s="332"/>
      <c r="E28" s="332"/>
      <c r="F28" s="332"/>
    </row>
    <row r="29" spans="1:6">
      <c r="A29" s="1314" t="s">
        <v>684</v>
      </c>
      <c r="B29" s="1315">
        <v>189</v>
      </c>
      <c r="C29" s="332"/>
      <c r="D29" s="332"/>
      <c r="E29" s="332"/>
      <c r="F29" s="332"/>
    </row>
    <row r="30" spans="1:6">
      <c r="A30" s="1307" t="s">
        <v>685</v>
      </c>
      <c r="B30" s="1316">
        <v>25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4</v>
      </c>
      <c r="F35" s="1313">
        <v>24752.079000000002</v>
      </c>
    </row>
    <row r="36" spans="1:6">
      <c r="A36" s="1312" t="s">
        <v>24</v>
      </c>
      <c r="B36" s="1312" t="s">
        <v>26</v>
      </c>
      <c r="C36" s="1313">
        <v>0</v>
      </c>
      <c r="D36" s="1313">
        <v>0</v>
      </c>
      <c r="E36" s="1313">
        <v>5</v>
      </c>
      <c r="F36" s="1313">
        <v>22733.367999999999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2716</v>
      </c>
      <c r="D39" s="1313">
        <v>40873285.983000003</v>
      </c>
      <c r="E39" s="1313">
        <v>5175</v>
      </c>
      <c r="F39" s="1313">
        <v>15858589.442</v>
      </c>
    </row>
    <row r="40" spans="1:6">
      <c r="A40" s="1312" t="s">
        <v>29</v>
      </c>
      <c r="B40" s="1312" t="s">
        <v>28</v>
      </c>
      <c r="C40" s="1313">
        <v>0</v>
      </c>
      <c r="D40" s="1313">
        <v>0</v>
      </c>
      <c r="E40" s="1313">
        <v>0</v>
      </c>
      <c r="F40" s="1313">
        <v>0</v>
      </c>
    </row>
    <row r="41" spans="1:6">
      <c r="A41" s="1312" t="s">
        <v>31</v>
      </c>
      <c r="B41" s="1312" t="s">
        <v>32</v>
      </c>
      <c r="C41" s="1313">
        <v>58</v>
      </c>
      <c r="D41" s="1313">
        <v>1099060.9410000001</v>
      </c>
      <c r="E41" s="1313">
        <v>133</v>
      </c>
      <c r="F41" s="1313">
        <v>1288316.2109999999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9</v>
      </c>
      <c r="D44" s="1313">
        <v>1778113.0349999999</v>
      </c>
      <c r="E44" s="1313">
        <v>24</v>
      </c>
      <c r="F44" s="1313">
        <v>1342402.0689999999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0</v>
      </c>
      <c r="D48" s="1313">
        <v>0</v>
      </c>
      <c r="E48" s="1313">
        <v>6</v>
      </c>
      <c r="F48" s="1313">
        <v>560950.66700000002</v>
      </c>
    </row>
    <row r="49" spans="1:6">
      <c r="A49" s="1312" t="s">
        <v>31</v>
      </c>
      <c r="B49" s="1312" t="s">
        <v>39</v>
      </c>
      <c r="C49" s="1313">
        <v>0</v>
      </c>
      <c r="D49" s="1313">
        <v>0</v>
      </c>
      <c r="E49" s="1313">
        <v>0</v>
      </c>
      <c r="F49" s="1313">
        <v>0</v>
      </c>
    </row>
    <row r="50" spans="1:6">
      <c r="A50" s="1312" t="s">
        <v>31</v>
      </c>
      <c r="B50" s="1312" t="s">
        <v>40</v>
      </c>
      <c r="C50" s="1313">
        <v>4</v>
      </c>
      <c r="D50" s="1313">
        <v>206094.71400000001</v>
      </c>
      <c r="E50" s="1313">
        <v>6</v>
      </c>
      <c r="F50" s="1313">
        <v>292227.55900000001</v>
      </c>
    </row>
    <row r="51" spans="1:6">
      <c r="A51" s="1312" t="s">
        <v>41</v>
      </c>
      <c r="B51" s="1312" t="s">
        <v>42</v>
      </c>
      <c r="C51" s="1313">
        <v>17</v>
      </c>
      <c r="D51" s="1313">
        <v>1464748.915</v>
      </c>
      <c r="E51" s="1313">
        <v>66</v>
      </c>
      <c r="F51" s="1313">
        <v>1017810.48</v>
      </c>
    </row>
    <row r="52" spans="1:6">
      <c r="A52" s="1312" t="s">
        <v>41</v>
      </c>
      <c r="B52" s="1312" t="s">
        <v>28</v>
      </c>
      <c r="C52" s="1313">
        <v>0</v>
      </c>
      <c r="D52" s="1313">
        <v>0</v>
      </c>
      <c r="E52" s="1313">
        <v>0</v>
      </c>
      <c r="F52" s="1313">
        <v>0</v>
      </c>
    </row>
    <row r="53" spans="1:6">
      <c r="A53" s="1312" t="s">
        <v>43</v>
      </c>
      <c r="B53" s="1312" t="s">
        <v>44</v>
      </c>
      <c r="C53" s="1313">
        <v>19</v>
      </c>
      <c r="D53" s="1313">
        <v>434842.58399999997</v>
      </c>
      <c r="E53" s="1313">
        <v>45</v>
      </c>
      <c r="F53" s="1313">
        <v>224307.43799999999</v>
      </c>
    </row>
    <row r="54" spans="1:6">
      <c r="A54" s="1312" t="s">
        <v>45</v>
      </c>
      <c r="B54" s="1312" t="s">
        <v>46</v>
      </c>
      <c r="C54" s="1313">
        <v>0</v>
      </c>
      <c r="D54" s="1313">
        <v>0</v>
      </c>
      <c r="E54" s="1313">
        <v>3</v>
      </c>
      <c r="F54" s="1313">
        <v>892472.63800000004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28</v>
      </c>
      <c r="D57" s="1313">
        <v>420858.45699999999</v>
      </c>
      <c r="E57" s="1313">
        <v>50</v>
      </c>
      <c r="F57" s="1313">
        <v>758855.00800000003</v>
      </c>
    </row>
    <row r="58" spans="1:6">
      <c r="A58" s="1312" t="s">
        <v>48</v>
      </c>
      <c r="B58" s="1312" t="s">
        <v>50</v>
      </c>
      <c r="C58" s="1313">
        <v>16</v>
      </c>
      <c r="D58" s="1313">
        <v>1212485.5970000001</v>
      </c>
      <c r="E58" s="1313">
        <v>25</v>
      </c>
      <c r="F58" s="1313">
        <v>692501.64099999995</v>
      </c>
    </row>
    <row r="59" spans="1:6">
      <c r="A59" s="1312" t="s">
        <v>48</v>
      </c>
      <c r="B59" s="1312" t="s">
        <v>51</v>
      </c>
      <c r="C59" s="1313">
        <v>40</v>
      </c>
      <c r="D59" s="1313">
        <v>1678631.852</v>
      </c>
      <c r="E59" s="1313">
        <v>108</v>
      </c>
      <c r="F59" s="1313">
        <v>2593741.193</v>
      </c>
    </row>
    <row r="60" spans="1:6">
      <c r="A60" s="1312" t="s">
        <v>48</v>
      </c>
      <c r="B60" s="1312" t="s">
        <v>52</v>
      </c>
      <c r="C60" s="1313">
        <v>27</v>
      </c>
      <c r="D60" s="1313">
        <v>1147061.108</v>
      </c>
      <c r="E60" s="1313">
        <v>53</v>
      </c>
      <c r="F60" s="1313">
        <v>1013995.441</v>
      </c>
    </row>
    <row r="61" spans="1:6">
      <c r="A61" s="1312" t="s">
        <v>48</v>
      </c>
      <c r="B61" s="1312" t="s">
        <v>53</v>
      </c>
      <c r="C61" s="1313">
        <v>73</v>
      </c>
      <c r="D61" s="1313">
        <v>1570083.0830000001</v>
      </c>
      <c r="E61" s="1313">
        <v>165</v>
      </c>
      <c r="F61" s="1313">
        <v>1482113.635</v>
      </c>
    </row>
    <row r="62" spans="1:6">
      <c r="A62" s="1312" t="s">
        <v>48</v>
      </c>
      <c r="B62" s="1312" t="s">
        <v>54</v>
      </c>
      <c r="C62" s="1313">
        <v>9</v>
      </c>
      <c r="D62" s="1313">
        <v>1666090.355</v>
      </c>
      <c r="E62" s="1313">
        <v>8</v>
      </c>
      <c r="F62" s="1313">
        <v>311818.96299999999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85231.292000000001</v>
      </c>
      <c r="E65" s="1313">
        <v>1</v>
      </c>
      <c r="F65" s="1313">
        <v>1155.9169999999999</v>
      </c>
    </row>
    <row r="66" spans="1:6">
      <c r="A66" s="1312" t="s">
        <v>55</v>
      </c>
      <c r="B66" s="1312" t="s">
        <v>57</v>
      </c>
      <c r="C66" s="1313">
        <v>0</v>
      </c>
      <c r="D66" s="1313">
        <v>0</v>
      </c>
      <c r="E66" s="1313">
        <v>14</v>
      </c>
      <c r="F66" s="1313">
        <v>159189.38399999999</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123255.92600000001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123513118</v>
      </c>
      <c r="E73" s="447"/>
      <c r="F73" s="326"/>
    </row>
    <row r="74" spans="1:6">
      <c r="A74" s="1312" t="s">
        <v>63</v>
      </c>
      <c r="B74" s="1312" t="s">
        <v>638</v>
      </c>
      <c r="C74" s="1326" t="s">
        <v>640</v>
      </c>
      <c r="D74" s="1327">
        <v>12208160.065405559</v>
      </c>
      <c r="E74" s="447"/>
      <c r="F74" s="326"/>
    </row>
    <row r="75" spans="1:6">
      <c r="A75" s="1312" t="s">
        <v>64</v>
      </c>
      <c r="B75" s="1312" t="s">
        <v>637</v>
      </c>
      <c r="C75" s="1326" t="s">
        <v>641</v>
      </c>
      <c r="D75" s="1327">
        <v>9362270</v>
      </c>
      <c r="E75" s="447"/>
      <c r="F75" s="326"/>
    </row>
    <row r="76" spans="1:6">
      <c r="A76" s="1312" t="s">
        <v>64</v>
      </c>
      <c r="B76" s="1312" t="s">
        <v>638</v>
      </c>
      <c r="C76" s="1326" t="s">
        <v>642</v>
      </c>
      <c r="D76" s="1327">
        <v>96762.06540555798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570697.86918888404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6374.4109541136204</v>
      </c>
      <c r="C91" s="326"/>
      <c r="D91" s="326"/>
      <c r="E91" s="326"/>
      <c r="F91" s="326"/>
    </row>
    <row r="92" spans="1:6">
      <c r="A92" s="1307" t="s">
        <v>68</v>
      </c>
      <c r="B92" s="1308">
        <v>1265.7432403607254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496</v>
      </c>
      <c r="C97" s="326"/>
      <c r="D97" s="326"/>
      <c r="E97" s="326"/>
      <c r="F97" s="326"/>
    </row>
    <row r="98" spans="1:6">
      <c r="A98" s="1312" t="s">
        <v>71</v>
      </c>
      <c r="B98" s="1313">
        <v>3</v>
      </c>
      <c r="C98" s="326"/>
      <c r="D98" s="326"/>
      <c r="E98" s="326"/>
      <c r="F98" s="326"/>
    </row>
    <row r="99" spans="1:6">
      <c r="A99" s="1312" t="s">
        <v>72</v>
      </c>
      <c r="B99" s="1313">
        <v>71</v>
      </c>
      <c r="C99" s="326"/>
      <c r="D99" s="326"/>
      <c r="E99" s="326"/>
      <c r="F99" s="326"/>
    </row>
    <row r="100" spans="1:6">
      <c r="A100" s="1312" t="s">
        <v>73</v>
      </c>
      <c r="B100" s="1313">
        <v>218</v>
      </c>
      <c r="C100" s="326"/>
      <c r="D100" s="326"/>
      <c r="E100" s="326"/>
      <c r="F100" s="326"/>
    </row>
    <row r="101" spans="1:6">
      <c r="A101" s="1312" t="s">
        <v>74</v>
      </c>
      <c r="B101" s="1313">
        <v>67</v>
      </c>
      <c r="C101" s="326"/>
      <c r="D101" s="326"/>
      <c r="E101" s="326"/>
      <c r="F101" s="326"/>
    </row>
    <row r="102" spans="1:6">
      <c r="A102" s="1312" t="s">
        <v>75</v>
      </c>
      <c r="B102" s="1313">
        <v>49</v>
      </c>
      <c r="C102" s="326"/>
      <c r="D102" s="326"/>
      <c r="E102" s="326"/>
      <c r="F102" s="326"/>
    </row>
    <row r="103" spans="1:6">
      <c r="A103" s="1312" t="s">
        <v>76</v>
      </c>
      <c r="B103" s="1313">
        <v>75</v>
      </c>
      <c r="C103" s="326"/>
      <c r="D103" s="326"/>
      <c r="E103" s="326"/>
      <c r="F103" s="326"/>
    </row>
    <row r="104" spans="1:6">
      <c r="A104" s="1312" t="s">
        <v>77</v>
      </c>
      <c r="B104" s="1313">
        <v>3050</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1</v>
      </c>
      <c r="C122" s="1313">
        <v>0</v>
      </c>
      <c r="D122" s="326"/>
      <c r="E122" s="326"/>
      <c r="F122" s="326"/>
    </row>
    <row r="123" spans="1:6">
      <c r="A123" s="1312" t="s">
        <v>87</v>
      </c>
      <c r="B123" s="1313">
        <v>50</v>
      </c>
      <c r="C123" s="1313">
        <v>48</v>
      </c>
      <c r="D123" s="326"/>
      <c r="E123" s="326"/>
      <c r="F123" s="326"/>
    </row>
    <row r="124" spans="1:6" s="43" customFormat="1">
      <c r="A124" s="1314" t="s">
        <v>88</v>
      </c>
      <c r="B124" s="1335">
        <v>3</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225</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52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35089.280290380804</v>
      </c>
      <c r="C3" s="43" t="s">
        <v>169</v>
      </c>
      <c r="D3" s="43"/>
      <c r="E3" s="154"/>
      <c r="F3" s="43"/>
      <c r="G3" s="43"/>
      <c r="H3" s="43"/>
      <c r="I3" s="43"/>
      <c r="J3" s="43"/>
      <c r="K3" s="96"/>
    </row>
    <row r="4" spans="1:11">
      <c r="A4" s="354" t="s">
        <v>170</v>
      </c>
      <c r="B4" s="49">
        <f>IF(ISERROR('SEAP template'!B78+'SEAP template'!C78),0,'SEAP template'!B78+'SEAP template'!C78)</f>
        <v>7730.1541944743458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21.388235294117649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0.17292332736026017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892.47263800000007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892.47263800000007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0.17292332736026017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154.32933814094898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15858.589442</v>
      </c>
      <c r="C5" s="17">
        <f>IF(ISERROR('Eigen informatie GS &amp; warmtenet'!B59),0,'Eigen informatie GS &amp; warmtenet'!B59)</f>
        <v>0</v>
      </c>
      <c r="D5" s="30">
        <f>(SUM(HH_hh_gas_kWh,HH_rest_gas_kWh)/1000)*0.903</f>
        <v>36908.577242649</v>
      </c>
      <c r="E5" s="17">
        <f>B32*B41</f>
        <v>1500.4699440177721</v>
      </c>
      <c r="F5" s="17">
        <f>B36*B45</f>
        <v>32870.202791360825</v>
      </c>
      <c r="G5" s="18"/>
      <c r="H5" s="17"/>
      <c r="I5" s="17"/>
      <c r="J5" s="17">
        <f>B35*B44+C35*C44</f>
        <v>187.330880845579</v>
      </c>
      <c r="K5" s="17"/>
      <c r="L5" s="17"/>
      <c r="M5" s="17"/>
      <c r="N5" s="17">
        <f>B34*B43+C34*C43</f>
        <v>6896.3185527930636</v>
      </c>
      <c r="O5" s="17">
        <f>B52*B53*B54</f>
        <v>543.60455211204669</v>
      </c>
      <c r="P5" s="17">
        <f>B60*B61*B62/1000-B60*B61*B62/1000/B63</f>
        <v>1106.0657273069276</v>
      </c>
    </row>
    <row r="6" spans="1:16">
      <c r="A6" s="16" t="s">
        <v>603</v>
      </c>
      <c r="B6" s="780">
        <f>kWh_PV_kleiner_dan_10kW</f>
        <v>6374.4109541136204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22233.000396113621</v>
      </c>
      <c r="C8" s="21">
        <f>C5</f>
        <v>0</v>
      </c>
      <c r="D8" s="21">
        <f>D5</f>
        <v>36908.577242649</v>
      </c>
      <c r="E8" s="21">
        <f>E5</f>
        <v>1500.4699440177721</v>
      </c>
      <c r="F8" s="21">
        <f>F5</f>
        <v>32870.202791360825</v>
      </c>
      <c r="G8" s="21"/>
      <c r="H8" s="21"/>
      <c r="I8" s="21"/>
      <c r="J8" s="21">
        <f>J5</f>
        <v>187.330880845579</v>
      </c>
      <c r="K8" s="21"/>
      <c r="L8" s="21">
        <f>L5</f>
        <v>0</v>
      </c>
      <c r="M8" s="21">
        <f>M5</f>
        <v>0</v>
      </c>
      <c r="N8" s="21">
        <f>N5</f>
        <v>6896.3185527930636</v>
      </c>
      <c r="O8" s="21">
        <f>O5</f>
        <v>543.60455211204669</v>
      </c>
      <c r="P8" s="21">
        <f>P5</f>
        <v>1106.0657273069276</v>
      </c>
    </row>
    <row r="9" spans="1:16">
      <c r="B9" s="19"/>
      <c r="C9" s="19"/>
      <c r="D9" s="254"/>
      <c r="E9" s="19"/>
      <c r="F9" s="19"/>
      <c r="G9" s="19"/>
      <c r="H9" s="19"/>
      <c r="I9" s="19"/>
      <c r="J9" s="19"/>
      <c r="K9" s="19"/>
      <c r="L9" s="19"/>
      <c r="M9" s="19"/>
      <c r="N9" s="19"/>
      <c r="O9" s="19"/>
      <c r="P9" s="19"/>
    </row>
    <row r="10" spans="1:16">
      <c r="A10" s="24" t="s">
        <v>213</v>
      </c>
      <c r="B10" s="25">
        <f ca="1">'EF ele_warmte'!B12</f>
        <v>0.17292332736026017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3844.6044056979499</v>
      </c>
      <c r="C12" s="23">
        <f ca="1">C10*C8</f>
        <v>0</v>
      </c>
      <c r="D12" s="23">
        <f>D8*D10</f>
        <v>7455.5326030150982</v>
      </c>
      <c r="E12" s="23">
        <f>E10*E8</f>
        <v>340.60667729203431</v>
      </c>
      <c r="F12" s="23">
        <f>F10*F8</f>
        <v>8776.3441452933403</v>
      </c>
      <c r="G12" s="23"/>
      <c r="H12" s="23"/>
      <c r="I12" s="23"/>
      <c r="J12" s="23">
        <f>J10*J8</f>
        <v>66.315131819334965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5049</v>
      </c>
      <c r="C26" s="36"/>
      <c r="D26" s="225"/>
    </row>
    <row r="27" spans="1:5" s="15" customFormat="1">
      <c r="A27" s="227" t="s">
        <v>866</v>
      </c>
      <c r="B27" s="37">
        <f>SUM(HH_hh_gas_aantal,HH_rest_gas_aantal)</f>
        <v>2716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2580.1999999999998</v>
      </c>
      <c r="C31" s="34" t="s">
        <v>110</v>
      </c>
      <c r="D31" s="171"/>
    </row>
    <row r="32" spans="1:5">
      <c r="A32" s="168" t="s">
        <v>72</v>
      </c>
      <c r="B32" s="33">
        <f>IF((B21*($B$26-($B$27-0.05*$B$27)-$B$60))&lt;0,0,(B21*($B$26-($B$27-0.05*$B$27)-$B$60)))</f>
        <v>37.525794672722839</v>
      </c>
      <c r="C32" s="34" t="s">
        <v>110</v>
      </c>
      <c r="D32" s="171"/>
    </row>
    <row r="33" spans="1:6">
      <c r="A33" s="168" t="s">
        <v>73</v>
      </c>
      <c r="B33" s="33">
        <f>IF((B22*($B$26-($B$27-0.05*$B$27)-$B$60))&lt;0,0,B22*($B$26-($B$27-0.05*$B$27)-$B$60))</f>
        <v>609.3445848329344</v>
      </c>
      <c r="C33" s="34" t="s">
        <v>110</v>
      </c>
      <c r="D33" s="171"/>
    </row>
    <row r="34" spans="1:6">
      <c r="A34" s="168" t="s">
        <v>74</v>
      </c>
      <c r="B34" s="33">
        <f>IF((B24*($B$26-($B$27-0.05*$B$27)-$B$60))&lt;0,0,B24*($B$26-($B$27-0.05*$B$27)-$B$60))</f>
        <v>116.8195114445021</v>
      </c>
      <c r="C34" s="33">
        <f>B26*C24</f>
        <v>1034.5700900832414</v>
      </c>
      <c r="D34" s="230"/>
    </row>
    <row r="35" spans="1:6">
      <c r="A35" s="168" t="s">
        <v>76</v>
      </c>
      <c r="B35" s="33">
        <f>IF((B19*($B$26-($B$27-0.05*$B$27)-$B$60))&lt;0,0,B19*($B$26-($B$27-0.05*$B$27)-$B$60))</f>
        <v>16.312373480289367</v>
      </c>
      <c r="C35" s="33">
        <f>B35/2</f>
        <v>8.1561867401446833</v>
      </c>
      <c r="D35" s="230"/>
    </row>
    <row r="36" spans="1:6">
      <c r="A36" s="168" t="s">
        <v>77</v>
      </c>
      <c r="B36" s="33">
        <f>IF((B18*($B$26-($B$27-0.05*$B$27)-$B$60))&lt;0,0,B18*($B$26-($B$27-0.05*$B$27)-$B$60))</f>
        <v>1583.7977355695509</v>
      </c>
      <c r="C36" s="34" t="s">
        <v>110</v>
      </c>
      <c r="D36" s="171"/>
    </row>
    <row r="37" spans="1:6">
      <c r="A37" s="168" t="s">
        <v>78</v>
      </c>
      <c r="B37" s="33">
        <f>B60</f>
        <v>105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6853.0258809999996</v>
      </c>
      <c r="C5" s="17">
        <f>IF(ISERROR('Eigen informatie GS &amp; warmtenet'!B60),0,'Eigen informatie GS &amp; warmtenet'!B60)</f>
        <v>0</v>
      </c>
      <c r="D5" s="30">
        <f>SUM(D6:D12)</f>
        <v>6948.7750381559999</v>
      </c>
      <c r="E5" s="17">
        <f>SUM(E6:E12)</f>
        <v>30.924691088295155</v>
      </c>
      <c r="F5" s="17">
        <f>SUM(F6:F12)</f>
        <v>1240.3577257573775</v>
      </c>
      <c r="G5" s="18"/>
      <c r="H5" s="17"/>
      <c r="I5" s="17"/>
      <c r="J5" s="17">
        <f>SUM(J6:J12)</f>
        <v>7.6751901632425377E-3</v>
      </c>
      <c r="K5" s="17"/>
      <c r="L5" s="17"/>
      <c r="M5" s="17"/>
      <c r="N5" s="17">
        <f>SUM(N6:N12)</f>
        <v>299.49434305779693</v>
      </c>
      <c r="O5" s="17">
        <f>B38*B39*B40</f>
        <v>4.8972607658411542</v>
      </c>
      <c r="P5" s="17">
        <f>B46*B47*B48/1000-B46*B47*B48/1000/B49</f>
        <v>52.539138306495019</v>
      </c>
      <c r="R5" s="32"/>
    </row>
    <row r="6" spans="1:18">
      <c r="A6" s="32" t="s">
        <v>53</v>
      </c>
      <c r="B6" s="37">
        <f>B26</f>
        <v>1482.1136349999999</v>
      </c>
      <c r="C6" s="33"/>
      <c r="D6" s="37">
        <f>IF(ISERROR(TER_kantoor_gas_kWh/1000),0,TER_kantoor_gas_kWh/1000)*0.903</f>
        <v>1417.7850239490001</v>
      </c>
      <c r="E6" s="33">
        <f>$C$26*'E Balans VL '!I12/100/3.6*1000000</f>
        <v>0.35314399439877009</v>
      </c>
      <c r="F6" s="33">
        <f>$C$26*('E Balans VL '!L12+'E Balans VL '!N12)/100/3.6*1000000</f>
        <v>128.73608820567864</v>
      </c>
      <c r="G6" s="34"/>
      <c r="H6" s="33"/>
      <c r="I6" s="33"/>
      <c r="J6" s="33">
        <f>$C$26*('E Balans VL '!D12+'E Balans VL '!E12)/100/3.6*1000000</f>
        <v>0</v>
      </c>
      <c r="K6" s="33"/>
      <c r="L6" s="33"/>
      <c r="M6" s="33"/>
      <c r="N6" s="33">
        <f>$C$26*'E Balans VL '!Y12/100/3.6*1000000</f>
        <v>1.9810522211700528</v>
      </c>
      <c r="O6" s="33"/>
      <c r="P6" s="33"/>
      <c r="R6" s="32"/>
    </row>
    <row r="7" spans="1:18">
      <c r="A7" s="32" t="s">
        <v>52</v>
      </c>
      <c r="B7" s="37">
        <f t="shared" ref="B7:B12" si="0">B27</f>
        <v>1013.995441</v>
      </c>
      <c r="C7" s="33"/>
      <c r="D7" s="37">
        <f>IF(ISERROR(TER_horeca_gas_kWh/1000),0,TER_horeca_gas_kWh/1000)*0.903</f>
        <v>1035.7961805240002</v>
      </c>
      <c r="E7" s="33">
        <f>$C$27*'E Balans VL '!I9/100/3.6*1000000</f>
        <v>0</v>
      </c>
      <c r="F7" s="33">
        <f>$C$27*('E Balans VL '!L9+'E Balans VL '!N9)/100/3.6*1000000</f>
        <v>82.622277745355333</v>
      </c>
      <c r="G7" s="34"/>
      <c r="H7" s="33"/>
      <c r="I7" s="33"/>
      <c r="J7" s="33">
        <f>$C$27*('E Balans VL '!D9+'E Balans VL '!E9)/100/3.6*1000000</f>
        <v>0</v>
      </c>
      <c r="K7" s="33"/>
      <c r="L7" s="33"/>
      <c r="M7" s="33"/>
      <c r="N7" s="33">
        <f>$C$27*'E Balans VL '!Y9/100/3.6*1000000</f>
        <v>0.28085785924819301</v>
      </c>
      <c r="O7" s="33"/>
      <c r="P7" s="33"/>
      <c r="R7" s="32"/>
    </row>
    <row r="8" spans="1:18">
      <c r="A8" s="6" t="s">
        <v>51</v>
      </c>
      <c r="B8" s="37">
        <f t="shared" si="0"/>
        <v>2593.7411929999998</v>
      </c>
      <c r="C8" s="33"/>
      <c r="D8" s="37">
        <f>IF(ISERROR(TER_handel_gas_kWh/1000),0,TER_handel_gas_kWh/1000)*0.903</f>
        <v>1515.8045623560001</v>
      </c>
      <c r="E8" s="33">
        <f>$C$28*'E Balans VL '!I13/100/3.6*1000000</f>
        <v>20.733367465405593</v>
      </c>
      <c r="F8" s="33">
        <f>$C$28*('E Balans VL '!L13+'E Balans VL '!N13)/100/3.6*1000000</f>
        <v>257.67206388856368</v>
      </c>
      <c r="G8" s="34"/>
      <c r="H8" s="33"/>
      <c r="I8" s="33"/>
      <c r="J8" s="33">
        <f>$C$28*('E Balans VL '!D13+'E Balans VL '!E13)/100/3.6*1000000</f>
        <v>0</v>
      </c>
      <c r="K8" s="33"/>
      <c r="L8" s="33"/>
      <c r="M8" s="33"/>
      <c r="N8" s="33">
        <f>$C$28*'E Balans VL '!Y13/100/3.6*1000000</f>
        <v>0.96891672533802897</v>
      </c>
      <c r="O8" s="33"/>
      <c r="P8" s="33"/>
      <c r="R8" s="32"/>
    </row>
    <row r="9" spans="1:18">
      <c r="A9" s="32" t="s">
        <v>50</v>
      </c>
      <c r="B9" s="37">
        <f t="shared" si="0"/>
        <v>692.50164099999995</v>
      </c>
      <c r="C9" s="33"/>
      <c r="D9" s="37">
        <f>IF(ISERROR(TER_gezond_gas_kWh/1000),0,TER_gezond_gas_kWh/1000)*0.903</f>
        <v>1094.8744940910001</v>
      </c>
      <c r="E9" s="33">
        <f>$C$29*'E Balans VL '!I10/100/3.6*1000000</f>
        <v>0</v>
      </c>
      <c r="F9" s="33">
        <f>$C$29*('E Balans VL '!L10+'E Balans VL '!N10)/100/3.6*1000000</f>
        <v>63.132809373823896</v>
      </c>
      <c r="G9" s="34"/>
      <c r="H9" s="33"/>
      <c r="I9" s="33"/>
      <c r="J9" s="33">
        <f>$C$29*('E Balans VL '!D10+'E Balans VL '!E10)/100/3.6*1000000</f>
        <v>0</v>
      </c>
      <c r="K9" s="33"/>
      <c r="L9" s="33"/>
      <c r="M9" s="33"/>
      <c r="N9" s="33">
        <f>$C$29*'E Balans VL '!Y10/100/3.6*1000000</f>
        <v>5.0615664034091115</v>
      </c>
      <c r="O9" s="33"/>
      <c r="P9" s="33"/>
      <c r="R9" s="32"/>
    </row>
    <row r="10" spans="1:18">
      <c r="A10" s="32" t="s">
        <v>49</v>
      </c>
      <c r="B10" s="37">
        <f t="shared" si="0"/>
        <v>758.855008</v>
      </c>
      <c r="C10" s="33"/>
      <c r="D10" s="37">
        <f>IF(ISERROR(TER_ander_gas_kWh/1000),0,TER_ander_gas_kWh/1000)*0.903</f>
        <v>380.03518667100002</v>
      </c>
      <c r="E10" s="33">
        <f>$C$30*'E Balans VL '!I14/100/3.6*1000000</f>
        <v>9.8381796284907939</v>
      </c>
      <c r="F10" s="33">
        <f>$C$30*('E Balans VL '!L14+'E Balans VL '!N14)/100/3.6*1000000</f>
        <v>695.97658760212039</v>
      </c>
      <c r="G10" s="34"/>
      <c r="H10" s="33"/>
      <c r="I10" s="33"/>
      <c r="J10" s="33">
        <f>$C$30*('E Balans VL '!D14+'E Balans VL '!E14)/100/3.6*1000000</f>
        <v>7.6751901632425377E-3</v>
      </c>
      <c r="K10" s="33"/>
      <c r="L10" s="33"/>
      <c r="M10" s="33"/>
      <c r="N10" s="33">
        <f>$C$30*'E Balans VL '!Y14/100/3.6*1000000</f>
        <v>290.21995489215203</v>
      </c>
      <c r="O10" s="33"/>
      <c r="P10" s="33"/>
      <c r="R10" s="32"/>
    </row>
    <row r="11" spans="1:18">
      <c r="A11" s="32" t="s">
        <v>54</v>
      </c>
      <c r="B11" s="37">
        <f t="shared" si="0"/>
        <v>311.818963</v>
      </c>
      <c r="C11" s="33"/>
      <c r="D11" s="37">
        <f>IF(ISERROR(TER_onderwijs_gas_kWh/1000),0,TER_onderwijs_gas_kWh/1000)*0.903</f>
        <v>1504.4795905650001</v>
      </c>
      <c r="E11" s="33">
        <f>$C$31*'E Balans VL '!I11/100/3.6*1000000</f>
        <v>0</v>
      </c>
      <c r="F11" s="33">
        <f>$C$31*('E Balans VL '!L11+'E Balans VL '!N11)/100/3.6*1000000</f>
        <v>12.217898941835609</v>
      </c>
      <c r="G11" s="34"/>
      <c r="H11" s="33"/>
      <c r="I11" s="33"/>
      <c r="J11" s="33">
        <f>$C$31*('E Balans VL '!D11+'E Balans VL '!E11)/100/3.6*1000000</f>
        <v>0</v>
      </c>
      <c r="K11" s="33"/>
      <c r="L11" s="33"/>
      <c r="M11" s="33"/>
      <c r="N11" s="33">
        <f>$C$31*'E Balans VL '!Y11/100/3.6*1000000</f>
        <v>0.98199495647951207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90</v>
      </c>
      <c r="C13" s="243">
        <f ca="1">'lokale energieproductie'!O38+'lokale energieproductie'!O31</f>
        <v>128.57142857142858</v>
      </c>
      <c r="D13" s="304">
        <f ca="1">('lokale energieproductie'!P31+'lokale energieproductie'!P38)*(-1)</f>
        <v>-257.14285714285717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6943.0258809999996</v>
      </c>
      <c r="C16" s="21">
        <f t="shared" ca="1" si="1"/>
        <v>128.57142857142858</v>
      </c>
      <c r="D16" s="21">
        <f t="shared" ca="1" si="1"/>
        <v>6691.6321810131431</v>
      </c>
      <c r="E16" s="21">
        <f t="shared" si="1"/>
        <v>30.924691088295155</v>
      </c>
      <c r="F16" s="21">
        <f t="shared" ca="1" si="1"/>
        <v>1240.3577257573775</v>
      </c>
      <c r="G16" s="21">
        <f t="shared" si="1"/>
        <v>0</v>
      </c>
      <c r="H16" s="21">
        <f t="shared" si="1"/>
        <v>0</v>
      </c>
      <c r="I16" s="21">
        <f t="shared" si="1"/>
        <v>0</v>
      </c>
      <c r="J16" s="21">
        <f t="shared" si="1"/>
        <v>7.6751901632425377E-3</v>
      </c>
      <c r="K16" s="21">
        <f t="shared" si="1"/>
        <v>0</v>
      </c>
      <c r="L16" s="21">
        <f t="shared" ca="1" si="1"/>
        <v>0</v>
      </c>
      <c r="M16" s="21">
        <f t="shared" si="1"/>
        <v>0</v>
      </c>
      <c r="N16" s="21">
        <f t="shared" ca="1" si="1"/>
        <v>299.49434305779693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0.17292332736026017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1200.6111372909218</v>
      </c>
      <c r="C20" s="23">
        <f t="shared" ref="C20:P20" ca="1" si="2">C16*C18</f>
        <v>30.554621848739504</v>
      </c>
      <c r="D20" s="23">
        <f t="shared" ca="1" si="2"/>
        <v>1351.7097005646549</v>
      </c>
      <c r="E20" s="23">
        <f t="shared" si="2"/>
        <v>7.0199048770430004</v>
      </c>
      <c r="F20" s="23">
        <f t="shared" ca="1" si="2"/>
        <v>331.17551277721981</v>
      </c>
      <c r="G20" s="23">
        <f t="shared" si="2"/>
        <v>0</v>
      </c>
      <c r="H20" s="23">
        <f t="shared" si="2"/>
        <v>0</v>
      </c>
      <c r="I20" s="23">
        <f t="shared" si="2"/>
        <v>0</v>
      </c>
      <c r="J20" s="23">
        <f t="shared" si="2"/>
        <v>2.7170173177878581E-3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1482.1136349999999</v>
      </c>
      <c r="C26" s="39">
        <f>IF(ISERROR(B26*3.6/1000000/'E Balans VL '!Z12*100),0,B26*3.6/1000000/'E Balans VL '!Z12*100)</f>
        <v>4.2521700713688763E-2</v>
      </c>
      <c r="D26" s="233" t="s">
        <v>841</v>
      </c>
      <c r="F26" s="6"/>
    </row>
    <row r="27" spans="1:18" ht="30">
      <c r="A27" s="228" t="s">
        <v>52</v>
      </c>
      <c r="B27" s="33">
        <f>IF(ISERROR(TER_horeca_ele_kWh/1000),0,TER_horeca_ele_kWh/1000)</f>
        <v>1013.995441</v>
      </c>
      <c r="C27" s="39">
        <f>IF(ISERROR(B27*3.6/1000000/'E Balans VL '!Z9*100),0,B27*3.6/1000000/'E Balans VL '!Z9*100)</f>
        <v>7.4285664998103837E-2</v>
      </c>
      <c r="D27" s="233" t="s">
        <v>841</v>
      </c>
      <c r="F27" s="6"/>
    </row>
    <row r="28" spans="1:18" ht="30">
      <c r="A28" s="168" t="s">
        <v>51</v>
      </c>
      <c r="B28" s="33">
        <f>IF(ISERROR(TER_handel_ele_kWh/1000),0,TER_handel_ele_kWh/1000)</f>
        <v>2593.7411929999998</v>
      </c>
      <c r="C28" s="39">
        <f>IF(ISERROR(B28*3.6/1000000/'E Balans VL '!Z13*100),0,B28*3.6/1000000/'E Balans VL '!Z13*100)</f>
        <v>8.0148790558176267E-2</v>
      </c>
      <c r="D28" s="233" t="s">
        <v>841</v>
      </c>
      <c r="F28" s="6"/>
    </row>
    <row r="29" spans="1:18" ht="30">
      <c r="A29" s="228" t="s">
        <v>50</v>
      </c>
      <c r="B29" s="33">
        <f>IF(ISERROR(TER_gezond_ele_kWh/1000),0,TER_gezond_ele_kWh/1000)</f>
        <v>692.50164099999995</v>
      </c>
      <c r="C29" s="39">
        <f>IF(ISERROR(B29*3.6/1000000/'E Balans VL '!Z10*100),0,B29*3.6/1000000/'E Balans VL '!Z10*100)</f>
        <v>6.7869418979427068E-2</v>
      </c>
      <c r="D29" s="233" t="s">
        <v>841</v>
      </c>
      <c r="F29" s="6"/>
    </row>
    <row r="30" spans="1:18" ht="30">
      <c r="A30" s="228" t="s">
        <v>49</v>
      </c>
      <c r="B30" s="33">
        <f>IF(ISERROR(TER_ander_ele_kWh/1000),0,TER_ander_ele_kWh/1000)</f>
        <v>758.855008</v>
      </c>
      <c r="C30" s="39">
        <f>IF(ISERROR(B30*3.6/1000000/'E Balans VL '!Z14*100),0,B30*3.6/1000000/'E Balans VL '!Z14*100)</f>
        <v>3.1434225924542807E-2</v>
      </c>
      <c r="D30" s="233" t="s">
        <v>841</v>
      </c>
      <c r="F30" s="6"/>
    </row>
    <row r="31" spans="1:18" ht="30">
      <c r="A31" s="228" t="s">
        <v>54</v>
      </c>
      <c r="B31" s="33">
        <f>IF(ISERROR(TER_onderwijs_ele_kWh/1000),0,TER_onderwijs_ele_kWh/1000)</f>
        <v>311.818963</v>
      </c>
      <c r="C31" s="39">
        <f>IF(ISERROR(B31*3.6/1000000/'E Balans VL '!Z11*100),0,B31*3.6/1000000/'E Balans VL '!Z11*100)</f>
        <v>9.5812487216432485E-2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3483.896506</v>
      </c>
      <c r="C5" s="17">
        <f>IF(ISERROR('Eigen informatie GS &amp; warmtenet'!B61),0,'Eigen informatie GS &amp; warmtenet'!B61)</f>
        <v>0</v>
      </c>
      <c r="D5" s="30">
        <f>SUM(D6:D15)</f>
        <v>2784.1916270700003</v>
      </c>
      <c r="E5" s="17">
        <f>SUM(E6:E15)</f>
        <v>45.113689494503568</v>
      </c>
      <c r="F5" s="17">
        <f>SUM(F6:F15)</f>
        <v>1010.754778407443</v>
      </c>
      <c r="G5" s="18"/>
      <c r="H5" s="17"/>
      <c r="I5" s="17"/>
      <c r="J5" s="17">
        <f>SUM(J6:J15)</f>
        <v>4.1452826742439246</v>
      </c>
      <c r="K5" s="17"/>
      <c r="L5" s="17"/>
      <c r="M5" s="17"/>
      <c r="N5" s="17">
        <f>SUM(N6:N15)</f>
        <v>110.40763584465033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1342.402069</v>
      </c>
      <c r="C8" s="33"/>
      <c r="D8" s="37">
        <f>IF( ISERROR(IND_metaal_Gas_kWH/1000),0,IND_metaal_Gas_kWH/1000)*0.903</f>
        <v>1605.636070605</v>
      </c>
      <c r="E8" s="33">
        <f>C30*'E Balans VL '!I18/100/3.6*1000000</f>
        <v>7.3176430357521181</v>
      </c>
      <c r="F8" s="33">
        <f>C30*'E Balans VL '!L18/100/3.6*1000000+C30*'E Balans VL '!N18/100/3.6*1000000</f>
        <v>86.450795779896566</v>
      </c>
      <c r="G8" s="34"/>
      <c r="H8" s="33"/>
      <c r="I8" s="33"/>
      <c r="J8" s="40">
        <f>C30*'E Balans VL '!D18/100/3.6*1000000+C30*'E Balans VL '!E18/100/3.6*1000000</f>
        <v>1.0995910385782888</v>
      </c>
      <c r="K8" s="33"/>
      <c r="L8" s="33"/>
      <c r="M8" s="33"/>
      <c r="N8" s="33">
        <f>C30*'E Balans VL '!Y18/100/3.6*1000000</f>
        <v>29.00170964562264</v>
      </c>
      <c r="O8" s="33"/>
      <c r="P8" s="33"/>
      <c r="R8" s="32"/>
    </row>
    <row r="9" spans="1:18">
      <c r="A9" s="6" t="s">
        <v>32</v>
      </c>
      <c r="B9" s="37">
        <f t="shared" si="0"/>
        <v>1288.3162109999998</v>
      </c>
      <c r="C9" s="33"/>
      <c r="D9" s="37">
        <f>IF( ISERROR(IND_andere_gas_kWh/1000),0,IND_andere_gas_kWh/1000)*0.903</f>
        <v>992.45202972300024</v>
      </c>
      <c r="E9" s="33">
        <f>C31*'E Balans VL '!I19/100/3.6*1000000</f>
        <v>4.1589041300745695</v>
      </c>
      <c r="F9" s="33">
        <f>C31*'E Balans VL '!L19/100/3.6*1000000+C31*'E Balans VL '!N19/100/3.6*1000000</f>
        <v>833.0353753939828</v>
      </c>
      <c r="G9" s="34"/>
      <c r="H9" s="33"/>
      <c r="I9" s="33"/>
      <c r="J9" s="40">
        <f>C31*'E Balans VL '!D19/100/3.6*1000000+C31*'E Balans VL '!E19/100/3.6*1000000</f>
        <v>0</v>
      </c>
      <c r="K9" s="33"/>
      <c r="L9" s="33"/>
      <c r="M9" s="33"/>
      <c r="N9" s="33">
        <f>C31*'E Balans VL '!Y19/100/3.6*1000000</f>
        <v>52.059369950776905</v>
      </c>
      <c r="O9" s="33"/>
      <c r="P9" s="33"/>
      <c r="R9" s="32"/>
    </row>
    <row r="10" spans="1:18">
      <c r="A10" s="6" t="s">
        <v>40</v>
      </c>
      <c r="B10" s="37">
        <f t="shared" si="0"/>
        <v>292.22755899999999</v>
      </c>
      <c r="C10" s="33"/>
      <c r="D10" s="37">
        <f>IF( ISERROR(IND_voed_gas_kWh/1000),0,IND_voed_gas_kWh/1000)*0.903</f>
        <v>186.10352674200001</v>
      </c>
      <c r="E10" s="33">
        <f>C32*'E Balans VL '!I20/100/3.6*1000000</f>
        <v>0.61258058091202328</v>
      </c>
      <c r="F10" s="33">
        <f>C32*'E Balans VL '!L20/100/3.6*1000000+C32*'E Balans VL '!N20/100/3.6*1000000</f>
        <v>5.6936027518655887</v>
      </c>
      <c r="G10" s="34"/>
      <c r="H10" s="33"/>
      <c r="I10" s="33"/>
      <c r="J10" s="40">
        <f>C32*'E Balans VL '!D20/100/3.6*1000000+C32*'E Balans VL '!E20/100/3.6*1000000</f>
        <v>0</v>
      </c>
      <c r="K10" s="33"/>
      <c r="L10" s="33"/>
      <c r="M10" s="33"/>
      <c r="N10" s="33">
        <f>C32*'E Balans VL '!Y20/100/3.6*1000000</f>
        <v>11.624002123489083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560.95066700000007</v>
      </c>
      <c r="C15" s="33"/>
      <c r="D15" s="37">
        <f>IF( ISERROR(IND_rest_gas_kWh/1000),0,IND_rest_gas_kWh/1000)*0.903</f>
        <v>0</v>
      </c>
      <c r="E15" s="33">
        <f>C37*'E Balans VL '!I15/100/3.6*1000000</f>
        <v>33.024561747764857</v>
      </c>
      <c r="F15" s="33">
        <f>C37*'E Balans VL '!L15/100/3.6*1000000+C37*'E Balans VL '!N15/100/3.6*1000000</f>
        <v>85.575004481698116</v>
      </c>
      <c r="G15" s="34"/>
      <c r="H15" s="33"/>
      <c r="I15" s="33"/>
      <c r="J15" s="40">
        <f>C37*'E Balans VL '!D15/100/3.6*1000000+C37*'E Balans VL '!E15/100/3.6*1000000</f>
        <v>3.0456916356656358</v>
      </c>
      <c r="K15" s="33"/>
      <c r="L15" s="33"/>
      <c r="M15" s="33"/>
      <c r="N15" s="33">
        <f>C37*'E Balans VL '!Y15/100/3.6*1000000</f>
        <v>17.722554124761711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3483.896506</v>
      </c>
      <c r="C18" s="21">
        <f>C5+C16</f>
        <v>0</v>
      </c>
      <c r="D18" s="21">
        <f>MAX((D5+D16),0)</f>
        <v>2784.1916270700003</v>
      </c>
      <c r="E18" s="21">
        <f>MAX((E5+E16),0)</f>
        <v>45.113689494503568</v>
      </c>
      <c r="F18" s="21">
        <f>MAX((F5+F16),0)</f>
        <v>1010.754778407443</v>
      </c>
      <c r="G18" s="21"/>
      <c r="H18" s="21"/>
      <c r="I18" s="21"/>
      <c r="J18" s="21">
        <f>MAX((J5+J16),0)</f>
        <v>4.1452826742439246</v>
      </c>
      <c r="K18" s="21"/>
      <c r="L18" s="21">
        <f>MAX((L5+L16),0)</f>
        <v>0</v>
      </c>
      <c r="M18" s="21"/>
      <c r="N18" s="21">
        <f>MAX((N5+N16),0)</f>
        <v>110.40763584465033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0.17292332736026017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602.44697599630467</v>
      </c>
      <c r="C22" s="23">
        <f ca="1">C18*C20</f>
        <v>0</v>
      </c>
      <c r="D22" s="23">
        <f>D18*D20</f>
        <v>562.40670866814014</v>
      </c>
      <c r="E22" s="23">
        <f>E18*E20</f>
        <v>10.24080751525231</v>
      </c>
      <c r="F22" s="23">
        <f>F18*F20</f>
        <v>269.87152583478729</v>
      </c>
      <c r="G22" s="23"/>
      <c r="H22" s="23"/>
      <c r="I22" s="23"/>
      <c r="J22" s="23">
        <f>J18*J20</f>
        <v>1.4674300666823492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1342.402069</v>
      </c>
      <c r="C30" s="39">
        <f>IF(ISERROR(B30*3.6/1000000/'E Balans VL '!Z18*100),0,B30*3.6/1000000/'E Balans VL '!Z18*100)</f>
        <v>8.0835771674124007E-2</v>
      </c>
      <c r="D30" s="233" t="s">
        <v>841</v>
      </c>
    </row>
    <row r="31" spans="1:18" ht="30">
      <c r="A31" s="6" t="s">
        <v>32</v>
      </c>
      <c r="B31" s="37">
        <f>IF( ISERROR(IND_ander_ele_kWh/1000),0,IND_ander_ele_kWh/1000)</f>
        <v>1288.3162109999998</v>
      </c>
      <c r="C31" s="39">
        <f>IF(ISERROR(B31*3.6/1000000/'E Balans VL '!Z19*100),0,B31*3.6/1000000/'E Balans VL '!Z19*100)</f>
        <v>5.2488669557632504E-2</v>
      </c>
      <c r="D31" s="233" t="s">
        <v>841</v>
      </c>
    </row>
    <row r="32" spans="1:18" ht="30">
      <c r="A32" s="168" t="s">
        <v>40</v>
      </c>
      <c r="B32" s="37">
        <f>IF( ISERROR(IND_voed_ele_kWh/1000),0,IND_voed_ele_kWh/1000)</f>
        <v>292.22755899999999</v>
      </c>
      <c r="C32" s="39">
        <f>IF(ISERROR(B32*3.6/1000000/'E Balans VL '!Z20*100),0,B32*3.6/1000000/'E Balans VL '!Z20*100)</f>
        <v>8.449474742262264E-3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560.95066700000007</v>
      </c>
      <c r="C37" s="39">
        <f>IF(ISERROR(B37*3.6/1000000/'E Balans VL '!Z15*100),0,B37*3.6/1000000/'E Balans VL '!Z15*100)</f>
        <v>4.6058298522055757E-3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1017.81048</v>
      </c>
      <c r="C5" s="17">
        <f>'Eigen informatie GS &amp; warmtenet'!B62</f>
        <v>0</v>
      </c>
      <c r="D5" s="30">
        <f>IF(ISERROR(SUM(LB_lb_gas_kWh,LB_rest_gas_kWh)/1000),0,SUM(LB_lb_gas_kWh,LB_rest_gas_kWh)/1000)*0.903</f>
        <v>1322.6682702450003</v>
      </c>
      <c r="E5" s="17">
        <f>B17*'E Balans VL '!I25/3.6*1000000/100</f>
        <v>29.151814597877493</v>
      </c>
      <c r="F5" s="17">
        <f>B17*('E Balans VL '!L25/3.6*1000000+'E Balans VL '!N25/3.6*1000000)/100</f>
        <v>3221.8622166327677</v>
      </c>
      <c r="G5" s="18"/>
      <c r="H5" s="17"/>
      <c r="I5" s="17"/>
      <c r="J5" s="17">
        <f>('E Balans VL '!D25+'E Balans VL '!E25)/3.6*1000000*landbouw!B17/100</f>
        <v>258.7972433803285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1017.81048</v>
      </c>
      <c r="C8" s="21">
        <f>C5+C6</f>
        <v>0</v>
      </c>
      <c r="D8" s="21">
        <f>MAX((D5+D6),0)</f>
        <v>1322.6682702450003</v>
      </c>
      <c r="E8" s="21">
        <f>MAX((E5+E6),0)</f>
        <v>29.151814597877493</v>
      </c>
      <c r="F8" s="21">
        <f>MAX((F5+F6),0)</f>
        <v>3221.8622166327677</v>
      </c>
      <c r="G8" s="21"/>
      <c r="H8" s="21"/>
      <c r="I8" s="21"/>
      <c r="J8" s="21">
        <f>MAX((J5+J6),0)</f>
        <v>258.7972433803285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0.17292332736026017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176.00317482374354</v>
      </c>
      <c r="C12" s="23">
        <f ca="1">C8*C10</f>
        <v>0</v>
      </c>
      <c r="D12" s="23">
        <f>D8*D10</f>
        <v>267.17899058949007</v>
      </c>
      <c r="E12" s="23">
        <f>E8*E10</f>
        <v>6.6174619137181914</v>
      </c>
      <c r="F12" s="23">
        <f>F8*F10</f>
        <v>860.23721184094904</v>
      </c>
      <c r="G12" s="23"/>
      <c r="H12" s="23"/>
      <c r="I12" s="23"/>
      <c r="J12" s="23">
        <f>J8*J10</f>
        <v>91.614224156636283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0.14094366194060531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126.13664300903693</v>
      </c>
      <c r="C26" s="243">
        <f>B26*'GWP N2O_CH4'!B5</f>
        <v>2648.8695031897755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41.642267917063791</v>
      </c>
      <c r="C27" s="243">
        <f>B27*'GWP N2O_CH4'!B5</f>
        <v>874.48762625833956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1.4291217528977203</v>
      </c>
      <c r="C28" s="243">
        <f>B28*'GWP N2O_CH4'!B4</f>
        <v>443.0277433982933</v>
      </c>
      <c r="D28" s="50"/>
    </row>
    <row r="29" spans="1:4">
      <c r="A29" s="41" t="s">
        <v>272</v>
      </c>
      <c r="B29" s="243">
        <f>B34*'ha_N2O bodem landbouw'!B4</f>
        <v>11.49502233949776</v>
      </c>
      <c r="C29" s="243">
        <f>B29*'GWP N2O_CH4'!B4</f>
        <v>3563.4569252443057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2.6114633459270033E-3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9.5101236947006142E-4</v>
      </c>
      <c r="C5" s="434" t="s">
        <v>210</v>
      </c>
      <c r="D5" s="419">
        <f>SUM(D6:D11)</f>
        <v>1.6310943322812377E-3</v>
      </c>
      <c r="E5" s="419">
        <f>SUM(E6:E11)</f>
        <v>6.4350984046735544E-4</v>
      </c>
      <c r="F5" s="432" t="s">
        <v>210</v>
      </c>
      <c r="G5" s="419">
        <f>SUM(G6:G11)</f>
        <v>0.31054159695025924</v>
      </c>
      <c r="H5" s="419">
        <f>SUM(H6:H11)</f>
        <v>7.990694120158455E-2</v>
      </c>
      <c r="I5" s="434" t="s">
        <v>210</v>
      </c>
      <c r="J5" s="434" t="s">
        <v>210</v>
      </c>
      <c r="K5" s="434" t="s">
        <v>210</v>
      </c>
      <c r="L5" s="434" t="s">
        <v>210</v>
      </c>
      <c r="M5" s="419">
        <f>SUM(M6:M11)</f>
        <v>2.3495463645755787E-2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8.6609935445191666E-4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1.444035560252585E-3</v>
      </c>
      <c r="E6" s="886">
        <f>vkm_GW_PW*SUMIFS(TableVerdeelsleutelVkm[LPG],TableVerdeelsleutelVkm[Voertuigtype],"Lichte voertuigen")*SUMIFS(TableECFTransport[EnergieConsumptieFactor (PJ per km)],TableECFTransport[Index],CONCATENATE($A6,"_LPG_LPG"))</f>
        <v>5.7250136756544E-4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0.17205104243980593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7.0818031292452677E-2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1.4899301431014688E-2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2.9702243737771131E-6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0.11774156634082482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8.6876233443578723E-7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6.7605216213235909E-3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8.1919248600064091E-5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1.8705877202865282E-4</v>
      </c>
      <c r="E8" s="422">
        <f>vkm_NGW_PW*SUMIFS(TableVerdeelsleutelVkm[LPG],TableVerdeelsleutelVkm[Voertuigtype],"Lichte voertuigen")*SUMIFS(TableECFTransport[EnergieConsumptieFactor (PJ per km)],TableECFTransport[Index],CONCATENATE($A8,"_LPG_LPG"))</f>
        <v>7.1008472901915417E-5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1.9547218209103837E-2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9.0880328354326287E-3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1.7666370340640775E-3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2.3542044303549673E-8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1.2017699605246551E-3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8.3113648051072675E-9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6.9003559353431835E-5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264.17010263057261</v>
      </c>
      <c r="C14" s="21"/>
      <c r="D14" s="21">
        <f t="shared" ref="D14:M14" si="0">((D5)*10^9/3600)+D12</f>
        <v>453.0817589670105</v>
      </c>
      <c r="E14" s="21">
        <f t="shared" si="0"/>
        <v>178.7527334631543</v>
      </c>
      <c r="F14" s="21"/>
      <c r="G14" s="21">
        <f t="shared" si="0"/>
        <v>86261.55470840534</v>
      </c>
      <c r="H14" s="21">
        <f t="shared" si="0"/>
        <v>22196.372555995709</v>
      </c>
      <c r="I14" s="21"/>
      <c r="J14" s="21"/>
      <c r="K14" s="21"/>
      <c r="L14" s="21"/>
      <c r="M14" s="21">
        <f t="shared" si="0"/>
        <v>6526.5176793766077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0.17292332736026017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45.681173135980032</v>
      </c>
      <c r="C18" s="23"/>
      <c r="D18" s="23">
        <f t="shared" ref="D18:M18" si="1">D14*D16</f>
        <v>91.522515311336122</v>
      </c>
      <c r="E18" s="23">
        <f t="shared" si="1"/>
        <v>40.576870496136024</v>
      </c>
      <c r="F18" s="23"/>
      <c r="G18" s="23">
        <f t="shared" si="1"/>
        <v>23031.835107144227</v>
      </c>
      <c r="H18" s="23">
        <f t="shared" si="1"/>
        <v>5526.8967664429319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1.1014865509180347E-4</v>
      </c>
      <c r="C50" s="315">
        <f t="shared" ref="C50:P50" si="2">SUM(C51:C52)</f>
        <v>0</v>
      </c>
      <c r="D50" s="315">
        <f t="shared" si="2"/>
        <v>0</v>
      </c>
      <c r="E50" s="315">
        <f t="shared" si="2"/>
        <v>0</v>
      </c>
      <c r="F50" s="315">
        <f t="shared" si="2"/>
        <v>0</v>
      </c>
      <c r="G50" s="315">
        <f t="shared" si="2"/>
        <v>6.8956388114535258E-3</v>
      </c>
      <c r="H50" s="315">
        <f t="shared" si="2"/>
        <v>0</v>
      </c>
      <c r="I50" s="315">
        <f t="shared" si="2"/>
        <v>0</v>
      </c>
      <c r="J50" s="315">
        <f t="shared" si="2"/>
        <v>0</v>
      </c>
      <c r="K50" s="315">
        <f t="shared" si="2"/>
        <v>0</v>
      </c>
      <c r="L50" s="315">
        <f t="shared" si="2"/>
        <v>0</v>
      </c>
      <c r="M50" s="315">
        <f t="shared" si="2"/>
        <v>3.9593231200372894E-4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1.1014865509180347E-4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6.8956388114535258E-3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3.9593231200372894E-4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30.596848636612073</v>
      </c>
      <c r="C54" s="21">
        <f t="shared" ref="C54:P54" si="3">(C50)*10^9/3600</f>
        <v>0</v>
      </c>
      <c r="D54" s="21">
        <f t="shared" si="3"/>
        <v>0</v>
      </c>
      <c r="E54" s="21">
        <f t="shared" si="3"/>
        <v>0</v>
      </c>
      <c r="F54" s="21">
        <f t="shared" si="3"/>
        <v>0</v>
      </c>
      <c r="G54" s="21">
        <f t="shared" si="3"/>
        <v>1915.4552254037571</v>
      </c>
      <c r="H54" s="21">
        <f t="shared" si="3"/>
        <v>0</v>
      </c>
      <c r="I54" s="21">
        <f t="shared" si="3"/>
        <v>0</v>
      </c>
      <c r="J54" s="21">
        <f t="shared" si="3"/>
        <v>0</v>
      </c>
      <c r="K54" s="21">
        <f t="shared" si="3"/>
        <v>0</v>
      </c>
      <c r="L54" s="21">
        <f t="shared" si="3"/>
        <v>0</v>
      </c>
      <c r="M54" s="21">
        <f t="shared" si="3"/>
        <v>109.98119777881359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0.17292332736026017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5.2909088729811993</v>
      </c>
      <c r="C58" s="23">
        <f t="shared" ref="C58:P58" ca="1" si="4">C54*C56</f>
        <v>0</v>
      </c>
      <c r="D58" s="23">
        <f t="shared" si="4"/>
        <v>0</v>
      </c>
      <c r="E58" s="23">
        <f t="shared" si="4"/>
        <v>0</v>
      </c>
      <c r="F58" s="23">
        <f t="shared" si="4"/>
        <v>0</v>
      </c>
      <c r="G58" s="23">
        <f t="shared" si="4"/>
        <v>511.42654518280318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7640.1541944743458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90</v>
      </c>
      <c r="C8" s="545">
        <f>B48</f>
        <v>105.88235294117648</v>
      </c>
      <c r="D8" s="546"/>
      <c r="E8" s="546">
        <f>E48</f>
        <v>0</v>
      </c>
      <c r="F8" s="547"/>
      <c r="G8" s="548"/>
      <c r="H8" s="546">
        <f>I48</f>
        <v>0</v>
      </c>
      <c r="I8" s="546">
        <f>G48+F48</f>
        <v>0</v>
      </c>
      <c r="J8" s="546">
        <f>H48+D48+C48</f>
        <v>0</v>
      </c>
      <c r="K8" s="546"/>
      <c r="L8" s="546"/>
      <c r="M8" s="546"/>
      <c r="N8" s="549"/>
      <c r="O8" s="550">
        <f>C8*$C$12+D8*$D$12+E8*$E$12+F8*$F$12+G8*$G$12+H8*$H$12+I8*$I$12+J8*$J$12</f>
        <v>21.388235294117649</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7730.1541944743458</v>
      </c>
      <c r="C10" s="560">
        <f t="shared" ref="C10:L10" si="0">SUM(C8:C9)</f>
        <v>105.88235294117648</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21.388235294117649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128.57142857142858</v>
      </c>
      <c r="C17" s="576">
        <f>B49</f>
        <v>151.2605042016807</v>
      </c>
      <c r="D17" s="577"/>
      <c r="E17" s="577">
        <f>E49</f>
        <v>0</v>
      </c>
      <c r="F17" s="578"/>
      <c r="G17" s="579"/>
      <c r="H17" s="576">
        <f>I49</f>
        <v>0</v>
      </c>
      <c r="I17" s="577">
        <f>G49+F49</f>
        <v>0</v>
      </c>
      <c r="J17" s="577">
        <f>H49+D49+C49</f>
        <v>0</v>
      </c>
      <c r="K17" s="577"/>
      <c r="L17" s="577"/>
      <c r="M17" s="577"/>
      <c r="N17" s="962"/>
      <c r="O17" s="580">
        <f>C17*$C$22+E17*$E$22+H17*$H$22+I17*$I$22+J17*$J$22+D17*$D$22+F17*$F$22+G17*$G$22+K17*$K$22+L17*$L$22</f>
        <v>30.554621848739504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128.57142857142858</v>
      </c>
      <c r="C20" s="559">
        <f>SUM(C17:C19)</f>
        <v>151.2605042016807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30.554621848739504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72038</v>
      </c>
      <c r="C28" s="787">
        <v>3940</v>
      </c>
      <c r="D28" s="637"/>
      <c r="E28" s="636"/>
      <c r="F28" s="636" t="s">
        <v>874</v>
      </c>
      <c r="G28" s="636" t="s">
        <v>875</v>
      </c>
      <c r="H28" s="636" t="s">
        <v>876</v>
      </c>
      <c r="I28" s="636" t="s">
        <v>877</v>
      </c>
      <c r="J28" s="786">
        <v>41957</v>
      </c>
      <c r="K28" s="786">
        <v>42212</v>
      </c>
      <c r="L28" s="636" t="s">
        <v>878</v>
      </c>
      <c r="M28" s="636">
        <v>20</v>
      </c>
      <c r="N28" s="636">
        <v>90</v>
      </c>
      <c r="O28" s="636">
        <v>128.57142857142858</v>
      </c>
      <c r="P28" s="636">
        <v>257.14285714285717</v>
      </c>
      <c r="Q28" s="636">
        <v>0</v>
      </c>
      <c r="R28" s="636">
        <v>0</v>
      </c>
      <c r="S28" s="636">
        <v>0</v>
      </c>
      <c r="T28" s="636">
        <v>0</v>
      </c>
      <c r="U28" s="636">
        <v>0</v>
      </c>
      <c r="V28" s="636">
        <v>0</v>
      </c>
      <c r="W28" s="636">
        <v>0</v>
      </c>
      <c r="X28" s="636">
        <v>1500</v>
      </c>
      <c r="Y28" s="636" t="s">
        <v>50</v>
      </c>
      <c r="Z28" s="638" t="s">
        <v>155</v>
      </c>
    </row>
    <row r="29" spans="1:26" s="570" customFormat="1">
      <c r="A29" s="592" t="s">
        <v>275</v>
      </c>
      <c r="B29" s="593"/>
      <c r="C29" s="593"/>
      <c r="D29" s="593"/>
      <c r="E29" s="593"/>
      <c r="F29" s="593"/>
      <c r="G29" s="593"/>
      <c r="H29" s="593"/>
      <c r="I29" s="593"/>
      <c r="J29" s="593"/>
      <c r="K29" s="593"/>
      <c r="L29" s="594"/>
      <c r="M29" s="594">
        <f>SUM(M28:M28)</f>
        <v>20</v>
      </c>
      <c r="N29" s="594">
        <f>SUM(N28:N28)</f>
        <v>90</v>
      </c>
      <c r="O29" s="594">
        <f>SUM(O28:O28)</f>
        <v>128.57142857142858</v>
      </c>
      <c r="P29" s="594">
        <f>SUM(P28:P28)</f>
        <v>257.14285714285717</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20</v>
      </c>
      <c r="N31" s="594">
        <f ca="1">SUMIF($Z$28:AD28,"tertiair",N28:N28)</f>
        <v>90</v>
      </c>
      <c r="O31" s="594">
        <f ca="1">SUMIF($Z$28:AE28,"tertiair",O28:O28)</f>
        <v>128.57142857142858</v>
      </c>
      <c r="P31" s="594">
        <f ca="1">SUMIF($Z$28:AF28,"tertiair",P28:P28)</f>
        <v>257.14285714285717</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105.88235294117648</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151.2605042016807</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2021-06-29T14:22:14Z</dcterms:modified>
</cp:coreProperties>
</file>