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F6" i="17" s="1"/>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8" i="17" s="1"/>
  <c r="D12" i="17" s="1"/>
  <c r="E54" i="14" s="1"/>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56" i="22"/>
  <c r="C58" i="22" s="1"/>
  <c r="D49" i="14" s="1"/>
  <c r="D52" i="14" s="1"/>
  <c r="C10" i="17"/>
  <c r="C12" i="17" s="1"/>
  <c r="D54" i="14" s="1"/>
  <c r="D56" i="14" s="1"/>
  <c r="C22" i="59"/>
  <c r="C17" i="19"/>
  <c r="C19" i="19" s="1"/>
  <c r="D39" i="14" s="1"/>
  <c r="C20" i="16"/>
  <c r="C22" i="16" s="1"/>
  <c r="D43" i="14" s="1"/>
  <c r="C17" i="4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<sst xmlns="http://schemas.openxmlformats.org/spreadsheetml/2006/main" count="2472" uniqueCount="891">
  <si>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</si>
  <si>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</si>
  <si>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</si>
  <si>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</si>
  <si>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</si>
  <si>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</si>
  <si>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</si>
  <si>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</si>
  <si>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</si>
  <si>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</si>
  <si>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</si>
  <si>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</si>
  <si>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</si>
  <si>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</si>
  <si>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</si>
  <si>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</si>
  <si>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</si>
  <si>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</si>
  <si>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</si>
  <si>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</si>
  <si>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</si>
  <si>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</si>
  <si>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</si>
  <si>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</si>
  <si>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</si>
  <si>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</si>
  <si>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</si>
  <si>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</si>
  <si>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</si>
  <si>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</si>
  <si>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</si>
  <si>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</si>
  <si>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</si>
  <si>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</si>
  <si>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</si>
  <si>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</si>
  <si>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</si>
  <si>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</si>
  <si>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</si>
  <si>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</si>
  <si>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</si>
  <si>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</si>
  <si>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</si>
  <si>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</si>
  <si>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</si>
  <si>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</si>
  <si>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</si>
  <si>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</si>
  <si>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</si>
  <si>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</si>
  <si>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</si>
  <si>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</si>
  <si>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</si>
  <si>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</si>
  <si>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</si>
  <si>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</si>
  <si>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</si>
  <si>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</si>
  <si>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</si>
  <si>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</si>
  <si>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</si>
  <si>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</si>
  <si>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</si>
  <si>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</si>
  <si>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</si>
  <si>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</si>
  <si>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</si>
  <si>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</si>
  <si>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</si>
  <si>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</si>
  <si>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</si>
  <si>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</si>
  <si>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</si>
  <si>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</si>
  <si>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</si>
  <si>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</si>
  <si>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</si>
  <si>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</si>
  <si>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</si>
  <si>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</si>
  <si>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</si>
  <si>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</si>
  <si>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</si>
  <si>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</si>
  <si>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</si>
  <si>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</si>
  <si>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</si>
  <si>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</si>
  <si>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</si>
  <si>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</si>
  <si>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</si>
  <si>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</si>
  <si>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</si>
  <si>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</si>
  <si>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</si>
  <si>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</si>
  <si>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</si>
  <si>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</si>
  <si>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</si>
  <si>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</si>
  <si>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</si>
  <si>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</si>
  <si>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</si>
  <si>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</si>
  <si>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</si>
  <si>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</si>
  <si>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</si>
  <si>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</si>
  <si>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</si>
  <si>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</si>
  <si>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</si>
  <si>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</si>
  <si>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</si>
  <si>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</si>
  <si>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</si>
  <si>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</si>
  <si>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</si>
  <si>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</si>
  <si>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</si>
  <si>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</si>
  <si>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</si>
  <si>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</si>
  <si>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</si>
  <si>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</si>
  <si>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</si>
  <si>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</si>
  <si>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</si>
  <si>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</si>
  <si>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</si>
  <si>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</si>
  <si>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</si>
  <si>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</si>
  <si>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</si>
  <si>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</si>
  <si>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</si>
  <si>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</si>
  <si>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</si>
  <si>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</si>
  <si>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</si>
  <si>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</si>
  <si>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</si>
  <si>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</si>
  <si>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</si>
  <si>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</si>
  <si>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</si>
  <si>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</si>
  <si>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</si>
  <si>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</si>
  <si>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</si>
  <si>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</si>
  <si>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</si>
  <si>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</si>
  <si>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</si>
  <si>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</si>
  <si>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</si>
  <si>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</si>
  <si>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</si>
  <si>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</si>
  <si>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</si>
  <si>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</si>
  <si>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</si>
  <si>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</si>
  <si>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</si>
  <si>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</si>
  <si>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</si>
  <si>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</si>
  <si>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</si>
  <si>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</si>
  <si>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</si>
  <si>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</si>
  <si>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</si>
  <si>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</si>
  <si>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</si>
  <si>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</si>
  <si>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</si>
  <si>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</si>
  <si>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</si>
  <si>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</si>
  <si>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</si>
  <si>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</si>
  <si>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</si>
  <si>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</si>
  <si>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</si>
  <si>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</si>
  <si>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</si>
  <si>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</si>
  <si>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</si>
  <si>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</si>
  <si>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</si>
  <si>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</si>
  <si>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</si>
  <si>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</si>
  <si>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</si>
  <si>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</si>
  <si>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</si>
  <si>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</si>
  <si>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</si>
  <si>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</si>
  <si>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</si>
  <si>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</si>
  <si>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</si>
  <si>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</si>
  <si>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</si>
  <si>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</si>
  <si>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</si>
  <si>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</si>
  <si>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</si>
  <si>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</si>
  <si>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</si>
  <si>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</si>
  <si>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</si>
  <si>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</si>
  <si>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</si>
  <si>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</si>
  <si>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</si>
  <si>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</si>
  <si>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</si>
  <si>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</si>
  <si>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</si>
  <si>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</si>
  <si>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</si>
  <si>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</si>
  <si>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</si>
  <si>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</si>
  <si>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</si>
  <si>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</si>
  <si>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</si>
  <si>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</si>
  <si>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</si>
  <si>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</si>
  <si>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</si>
  <si>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</si>
  <si>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</si>
  <si>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</si>
  <si>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</si>
  <si>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</si>
  <si>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</si>
  <si>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</si>
  <si>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</si>
  <si>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</si>
  <si>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</si>
  <si>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</si>
  <si>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</si>
  <si>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</si>
  <si>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</si>
  <si>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</si>
  <si>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</si>
  <si>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</si>
  <si>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</si>
  <si>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</si>
  <si>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</si>
  <si>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</si>
  <si>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</si>
  <si>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</si>
  <si>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</si>
  <si>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</si>
  <si>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</si>
  <si>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</si>
  <si>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</si>
  <si>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</si>
  <si>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</si>
  <si>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</si>
  <si>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</si>
  <si>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</si>
  <si>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</si>
  <si>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</si>
  <si>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</si>
  <si>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</si>
  <si>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</si>
  <si>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</si>
  <si>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</si>
  <si>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</si>
  <si>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</si>
  <si>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</si>
  <si>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</si>
  <si>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</si>
  <si>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</si>
  <si>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</si>
  <si>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</si>
  <si>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</si>
  <si>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</si>
  <si>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</si>
  <si>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</si>
  <si>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</si>
  <si>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</si>
  <si>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</si>
  <si>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</si>
  <si>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</si>
  <si>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</si>
  <si>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</si>
  <si>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</si>
  <si>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</si>
  <si>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</si>
  <si>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</si>
  <si>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</si>
  <si>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</si>
  <si>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</si>
  <si>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</si>
  <si>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</si>
  <si>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</si>
  <si>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</si>
  <si>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</si>
  <si>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</si>
  <si>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</si>
  <si>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</si>
  <si>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</si>
  <si>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</si>
  <si>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</si>
  <si>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</si>
  <si>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</si>
  <si>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</si>
  <si>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</si>
  <si>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</si>
  <si>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</si>
  <si>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</si>
  <si>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</si>
  <si>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</si>
  <si>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</si>
  <si>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</si>
  <si>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</si>
  <si>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</si>
  <si>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</si>
  <si>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</si>
  <si>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</si>
  <si>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</si>
  <si>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</si>
  <si>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</si>
  <si>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</si>
  <si>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</si>
  <si>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</si>
  <si>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</si>
  <si>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</si>
  <si>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</si>
  <si>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</si>
  <si>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</si>
  <si>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</si>
  <si>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</si>
  <si>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</si>
  <si>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</si>
  <si>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</si>
  <si>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</si>
  <si>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</si>
  <si>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</si>
  <si>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</si>
  <si>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</si>
  <si>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</si>
  <si>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</si>
  <si>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</si>
  <si>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</si>
  <si>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</si>
  <si>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</si>
  <si>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</si>
  <si>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</si>
  <si>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</si>
  <si>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</si>
  <si>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</si>
  <si>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</si>
  <si>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</si>
  <si>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</si>
  <si>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</si>
  <si>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</si>
  <si>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</si>
  <si>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</si>
  <si>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</si>
  <si>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</si>
  <si>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</si>
  <si>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</si>
  <si>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</si>
  <si>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</si>
  <si>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</si>
  <si>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</si>
  <si>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</si>
  <si>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</si>
  <si>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</si>
  <si>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</si>
  <si>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</si>
  <si>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</si>
  <si>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</si>
  <si>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</si>
  <si>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</si>
  <si>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</si>
  <si>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</si>
  <si>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</si>
  <si>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</si>
  <si>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</si>
  <si>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</si>
  <si>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</si>
  <si>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</si>
  <si>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</si>
  <si>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</si>
  <si>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</si>
  <si>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</si>
  <si>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</si>
  <si>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</si>
  <si>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</si>
  <si>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</si>
  <si>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</si>
  <si>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</si>
  <si>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</si>
  <si>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</si>
  <si>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</si>
  <si>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</si>
  <si>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</si>
  <si>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</si>
  <si>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</si>
  <si>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</si>
  <si>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</si>
  <si>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</si>
  <si>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</si>
  <si>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</si>
  <si>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</si>
  <si>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</si>
  <si>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</si>
  <si>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</si>
  <si>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</si>
  <si>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</si>
  <si>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</si>
  <si>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</si>
  <si>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</si>
  <si>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</si>
  <si>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</si>
  <si>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</si>
  <si>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</si>
  <si>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</si>
  <si>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</si>
  <si>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</si>
  <si>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</si>
  <si>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</si>
  <si>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</si>
  <si>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</si>
  <si>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</si>
  <si>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</si>
  <si>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</si>
  <si>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</si>
  <si>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</si>
  <si>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</si>
  <si>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</si>
  <si>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</si>
  <si>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</si>
  <si>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</si>
  <si>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</si>
  <si>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</si>
  <si>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</si>
  <si>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</si>
  <si>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</si>
  <si>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</si>
  <si>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</si>
  <si>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</si>
  <si>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</si>
  <si>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</si>
  <si>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</si>
  <si>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</si>
  <si>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</si>
  <si>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</si>
  <si>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</si>
  <si>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</si>
  <si>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</si>
  <si>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</si>
  <si>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</si>
  <si>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</si>
  <si>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</si>
  <si>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</si>
  <si>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</si>
  <si>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</si>
  <si>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</si>
  <si>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</si>
  <si>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</si>
  <si>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</si>
  <si>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</si>
  <si>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</si>
  <si>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</si>
  <si>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</si>
  <si>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</si>
  <si>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</si>
  <si>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</si>
  <si>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</si>
  <si>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</si>
  <si>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</si>
  <si>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</si>
  <si>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</si>
  <si>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</si>
  <si>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</si>
  <si>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</si>
  <si>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</si>
  <si>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</si>
  <si>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</si>
  <si>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</si>
  <si>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</si>
  <si>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</si>
  <si>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</si>
  <si>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</si>
  <si>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</si>
  <si>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</si>
  <si>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</si>
  <si>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</si>
  <si>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</si>
  <si>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</si>
  <si>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</si>
  <si>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</si>
  <si>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</si>
  <si>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</si>
  <si>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</si>
  <si>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</si>
  <si>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</si>
  <si>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</si>
  <si>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</si>
  <si>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</si>
  <si>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</si>
  <si>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</si>
  <si>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</si>
  <si>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</si>
  <si>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</si>
  <si>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</si>
  <si>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</si>
  <si>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</si>
  <si>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</si>
  <si>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</si>
  <si>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</si>
  <si>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</si>
  <si>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</si>
  <si>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</si>
  <si>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</si>
  <si>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</si>
  <si>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</si>
  <si>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</si>
  <si>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</si>
  <si>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</si>
  <si>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</si>
  <si>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</si>
  <si>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</si>
  <si>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</si>
  <si>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</si>
  <si>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</si>
  <si>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</si>
  <si>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</si>
  <si>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</si>
  <si>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</si>
  <si>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</si>
  <si>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</si>
  <si>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</si>
  <si>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</si>
  <si>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</si>
  <si>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</si>
  <si>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</si>
  <si>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</si>
  <si>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</si>
  <si>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</si>
  <si>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</si>
  <si>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</si>
  <si>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</si>
  <si>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</si>
  <si>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</si>
  <si>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</si>
  <si>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</si>
  <si>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</si>
  <si>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</si>
  <si>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</si>
  <si>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</si>
  <si>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</si>
  <si>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</si>
  <si>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</si>
  <si>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</si>
  <si>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</si>
  <si>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</si>
  <si>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</si>
  <si>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</si>
  <si>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</si>
  <si>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</si>
  <si>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</si>
  <si>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</si>
  <si>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</si>
  <si>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</si>
  <si>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</si>
  <si>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</si>
  <si>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</si>
  <si>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</si>
  <si>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</si>
  <si>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</si>
  <si>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</si>
  <si>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</si>
  <si>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</si>
  <si>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</si>
  <si>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</si>
  <si>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</si>
  <si>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</si>
  <si>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</si>
  <si>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</si>
  <si>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</si>
  <si>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</si>
  <si>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</si>
  <si>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</si>
  <si>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</si>
  <si>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</si>
  <si>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</si>
  <si>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</si>
  <si>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</si>
  <si>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</si>
  <si>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</si>
  <si>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</si>
  <si>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</si>
  <si>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</si>
  <si>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</si>
  <si>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</si>
  <si>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</si>
  <si>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</si>
  <si>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</si>
  <si>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</si>
  <si>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</si>
  <si>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</si>
  <si>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</si>
  <si>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</si>
  <si>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</si>
  <si>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</si>
  <si>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</si>
  <si>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</si>
  <si>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</si>
  <si>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</si>
  <si>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</si>
  <si>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</si>
  <si>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</si>
  <si>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</si>
  <si>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</si>
  <si>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</si>
  <si>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</si>
  <si>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</si>
  <si>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</si>
  <si>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</si>
  <si>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</si>
  <si>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</si>
  <si>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</si>
  <si>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</si>
  <si>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</si>
  <si>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</si>
  <si>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</si>
  <si>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</si>
  <si>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</si>
  <si>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</si>
  <si>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</si>
  <si>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</si>
  <si>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</si>
  <si>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</si>
  <si>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</si>
  <si>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</si>
  <si>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</si>
  <si>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</si>
  <si>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</si>
  <si>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</si>
  <si>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</si>
  <si>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</si>
  <si>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</si>
  <si>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</si>
  <si>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</si>
  <si>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</si>
  <si>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</si>
  <si>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</si>
  <si>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</si>
  <si>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</si>
  <si>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</si>
  <si>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</si>
  <si>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</si>
  <si>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</si>
  <si>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</si>
  <si>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</si>
  <si>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</si>
  <si>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</si>
  <si>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</si>
  <si>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</si>
  <si>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</si>
  <si>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</si>
  <si>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</si>
  <si>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</si>
  <si>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</si>
  <si>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</si>
  <si>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</si>
  <si>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</si>
  <si>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</si>
  <si>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</si>
  <si>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</si>
  <si>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</si>
  <si>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</si>
  <si>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</si>
  <si>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</si>
  <si>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</si>
  <si>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</si>
  <si>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</si>
  <si>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</si>
  <si>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</si>
  <si>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</si>
  <si>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</si>
  <si>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</si>
  <si>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</si>
  <si>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</si>
  <si>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</si>
  <si>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</si>
  <si>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</si>
  <si>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</si>
  <si>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</si>
  <si>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</si>
  <si>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</si>
  <si>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</si>
  <si>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</si>
  <si>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</si>
  <si>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</si>
  <si>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</si>
  <si>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</si>
  <si>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</si>
  <si>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</si>
  <si>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</si>
  <si>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</si>
  <si>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</si>
  <si>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</si>
  <si>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</si>
  <si>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</si>
  <si>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</si>
  <si>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</si>
  <si>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</si>
  <si>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</si>
  <si>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</si>
  <si>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</si>
  <si>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</si>
  <si>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</si>
  <si>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</si>
  <si>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</si>
  <si>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</si>
  <si>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</si>
  <si>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</si>
  <si>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</si>
  <si>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</si>
  <si>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</si>
  <si>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</si>
  <si>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</si>
  <si>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</si>
  <si>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</si>
  <si>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</si>
  <si>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</si>
  <si>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</si>
  <si>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</si>
  <si>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</si>
  <si>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</si>
  <si>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</si>
  <si>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</si>
  <si>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</si>
  <si>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</si>
  <si>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</si>
  <si>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</si>
  <si>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</si>
  <si>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</si>
  <si>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</si>
  <si>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</si>
  <si>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</si>
  <si>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</si>
  <si>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</si>
  <si>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</si>
  <si>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</si>
  <si>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</si>
  <si>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</si>
  <si>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</si>
  <si>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</si>
  <si>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</si>
  <si>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</si>
  <si>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</si>
  <si>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</si>
  <si>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</si>
  <si>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</si>
  <si>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</si>
  <si>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</si>
  <si>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</si>
  <si>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</si>
  <si>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</si>
  <si>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</si>
  <si>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</si>
  <si>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</si>
  <si>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</si>
  <si>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</si>
  <si>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</si>
  <si>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</si>
  <si>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</si>
  <si>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</si>
  <si>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</si>
  <si>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</si>
  <si>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</si>
  <si>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</si>
  <si>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</si>
  <si>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</si>
  <si>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</si>
  <si>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</si>
  <si>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</si>
  <si>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</si>
  <si>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</si>
  <si>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</si>
  <si>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</si>
  <si>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</si>
  <si>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</si>
  <si>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</si>
  <si>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</si>
  <si>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</si>
  <si>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</si>
  <si>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</si>
  <si>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</si>
  <si>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</si>
  <si>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</si>
  <si>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</si>
  <si>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</si>
  <si>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</si>
  <si>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</si>
  <si>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</si>
  <si>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</si>
  <si>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</si>
  <si>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</si>
  <si>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</si>
  <si>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</si>
  <si>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</si>
  <si>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</si>
  <si>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</si>
  <si>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</si>
  <si>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</si>
  <si>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</si>
  <si>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</si>
  <si>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</si>
  <si>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</si>
  <si>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</si>
  <si>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</si>
  <si>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</si>
  <si>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</si>
  <si>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</si>
  <si>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</si>
  <si>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</si>
  <si>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</si>
  <si>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</si>
  <si>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</si>
  <si>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</si>
  <si>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</si>
  <si>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</si>
  <si>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</si>
  <si>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</si>
  <si>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</si>
  <si>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</si>
  <si>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</si>
  <si>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</si>
  <si>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</si>
  <si>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</si>
  <si>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</si>
  <si>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</si>
  <si>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</si>
  <si>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</si>
  <si>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</si>
  <si>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</si>
  <si>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</si>
  <si>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</si>
  <si>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</si>
  <si>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</si>
  <si>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</si>
  <si>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</si>
  <si>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</si>
  <si>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</si>
  <si>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</si>
  <si>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</si>
  <si>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</si>
  <si>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</si>
  <si>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</si>
  <si>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</si>
  <si>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</si>
  <si>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</si>
  <si>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</si>
  <si>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</si>
  <si>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</si>
  <si>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</si>
  <si>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</si>
  <si>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</si>
  <si>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</si>
  <si>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72004</t>
  </si>
  <si>
    <t>BREE</t>
  </si>
  <si>
    <t>referentietaak LNE (2017); Jaarverslag De Lijn</t>
  </si>
  <si>
    <t>waterkracht</t>
  </si>
  <si>
    <t>Stefan Wyers</t>
  </si>
  <si>
    <t>Hulsbosstraat 9 , 3960 Bree</t>
  </si>
  <si>
    <t>WKK-0485 Stefan Wyers</t>
  </si>
  <si>
    <t>interne verbrandingsmotor</t>
  </si>
  <si>
    <t>WKK interne verbrandinsgmotor (gas)</t>
  </si>
  <si>
    <t>Inter-Energa</t>
  </si>
  <si>
    <t>Biogas Bree bvba</t>
  </si>
  <si>
    <t>Houterstraat 1A , 3960 Bree</t>
  </si>
  <si>
    <t>WKK-0517 Biogas Bree</t>
  </si>
  <si>
    <t>Houterstraat 1 A, 3960 Bree</t>
  </si>
  <si>
    <t>De Kempenheuvel nv</t>
  </si>
  <si>
    <t>Heuvelstraat 8 , 3960 Bree</t>
  </si>
  <si>
    <t>WKK-0613 De Kempenheuvel</t>
  </si>
  <si>
    <t>Breemans LV</t>
  </si>
  <si>
    <t>Solterweg 67 , 3960 Bree</t>
  </si>
  <si>
    <t>WKK-0624 Breemans</t>
  </si>
  <si>
    <t>WKK-0746 Biogas Bree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</si>
</sst>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130766.32782973633</c:v>
                </c:pt>
                <c:pt idx="1">
                  <c:v>52082.579437921762</c:v>
                </c:pt>
                <c:pt idx="2">
                  <c:v>1260.1891799999999</c:v>
                </c:pt>
                <c:pt idx="3">
                  <c:v>57923.22764976589</c:v>
                </c:pt>
                <c:pt idx="4">
                  <c:v>153437.04125806989</c:v>
                </c:pt>
                <c:pt idx="5">
                  <c:v>98829.499402553323</c:v>
                </c:pt>
                <c:pt idx="6">
                  <c:v>2066.9109716861876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130766.32782973633</c:v>
                </c:pt>
                <c:pt idx="1">
                  <c:v>52082.579437921762</c:v>
                </c:pt>
                <c:pt idx="2">
                  <c:v>1260.1891799999999</c:v>
                </c:pt>
                <c:pt idx="3">
                  <c:v>57923.22764976589</c:v>
                </c:pt>
                <c:pt idx="4">
                  <c:v>153437.04125806989</c:v>
                </c:pt>
                <c:pt idx="5">
                  <c:v>98829.499402553323</c:v>
                </c:pt>
                <c:pt idx="6">
                  <c:v>2066.9109716861876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25657.394039933843</c:v>
                </c:pt>
                <c:pt idx="1">
                  <c:v>9358.3422565880301</c:v>
                </c:pt>
                <c:pt idx="2">
                  <c:v>195.23086382901366</c:v>
                </c:pt>
                <c:pt idx="3">
                  <c:v>8295.7078780685915</c:v>
                </c:pt>
                <c:pt idx="4">
                  <c:v>29357.576270004516</c:v>
                </c:pt>
                <c:pt idx="5">
                  <c:v>24473.695200025904</c:v>
                </c:pt>
                <c:pt idx="6">
                  <c:v>518.89751015438753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25657.394039933843</c:v>
                </c:pt>
                <c:pt idx="1">
                  <c:v>9358.3422565880301</c:v>
                </c:pt>
                <c:pt idx="2">
                  <c:v>195.23086382901366</c:v>
                </c:pt>
                <c:pt idx="3">
                  <c:v>8295.7078780685915</c:v>
                </c:pt>
                <c:pt idx="4">
                  <c:v>29357.576270004516</c:v>
                </c:pt>
                <c:pt idx="5">
                  <c:v>24473.695200025904</c:v>
                </c:pt>
                <c:pt idx="6">
                  <c:v>518.89751015438753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72004</v>
      </c>
      <c r="B6" s="386"/>
      <c r="C6" s="387"/>
    </row>
    <row r="7" spans="1:7" s="384" customFormat="1" ht="15.75" customHeight="1">
      <c r="A7" s="388" t="str">
        <f>txtMunicipality</f>
        <v>BREE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24779.908471000002</v>
      </c>
      <c r="D10" s="683">
        <f ca="1">tertiair!C16</f>
        <v>96.428571428571431</v>
      </c>
      <c r="E10" s="683">
        <f ca="1">tertiair!D16</f>
        <v>20681.893404765859</v>
      </c>
      <c r="F10" s="683">
        <f>tertiair!E16</f>
        <v>146.4087085310706</v>
      </c>
      <c r="G10" s="683">
        <f ca="1">tertiair!F16</f>
        <v>5631.2200584631682</v>
      </c>
      <c r="H10" s="683">
        <f>tertiair!G16</f>
        <v>0</v>
      </c>
      <c r="I10" s="683">
        <f>tertiair!H16</f>
        <v>0</v>
      </c>
      <c r="J10" s="683">
        <f>tertiair!I16</f>
        <v>0</v>
      </c>
      <c r="K10" s="683">
        <f>tertiair!J16</f>
        <v>4.2310718332391091E-2</v>
      </c>
      <c r="L10" s="683">
        <f>tertiair!K16</f>
        <v>0</v>
      </c>
      <c r="M10" s="683">
        <f ca="1">tertiair!L16</f>
        <v>0</v>
      </c>
      <c r="N10" s="683">
        <f>tertiair!M16</f>
        <v>0</v>
      </c>
      <c r="O10" s="683">
        <f ca="1">tertiair!N16</f>
        <v>1619.5040818059251</v>
      </c>
      <c r="P10" s="683">
        <f>tertiair!O16</f>
        <v>19.589043063364617</v>
      </c>
      <c r="Q10" s="684">
        <f>tertiair!P16</f>
        <v>367.77396814546512</v>
      </c>
      <c r="R10" s="686">
        <f ca="1">SUM(C10:Q10)</f>
        <v>53342.768617921764</v>
      </c>
      <c r="S10" s="67"/>
    </row>
    <row r="11" spans="1:19" s="445" customFormat="1">
      <c r="A11" s="804" t="s">
        <v>220</v>
      </c>
      <c r="B11" s="809"/>
      <c r="C11" s="683">
        <f>huishoudens!B8</f>
        <v>27999.503788367951</v>
      </c>
      <c r="D11" s="683">
        <f>huishoudens!C8</f>
        <v>0</v>
      </c>
      <c r="E11" s="683">
        <f>huishoudens!D8</f>
        <v>48897.470217266913</v>
      </c>
      <c r="F11" s="683">
        <f>huishoudens!E8</f>
        <v>1869.5888510515038</v>
      </c>
      <c r="G11" s="683">
        <f>huishoudens!F8</f>
        <v>40956.344987475692</v>
      </c>
      <c r="H11" s="683">
        <f>huishoudens!G8</f>
        <v>0</v>
      </c>
      <c r="I11" s="683">
        <f>huishoudens!H8</f>
        <v>0</v>
      </c>
      <c r="J11" s="683">
        <f>huishoudens!I8</f>
        <v>0</v>
      </c>
      <c r="K11" s="683">
        <f>huishoudens!J8</f>
        <v>233.41468963299931</v>
      </c>
      <c r="L11" s="683">
        <f>huishoudens!K8</f>
        <v>0</v>
      </c>
      <c r="M11" s="683">
        <f>huishoudens!L8</f>
        <v>0</v>
      </c>
      <c r="N11" s="683">
        <f>huishoudens!M8</f>
        <v>0</v>
      </c>
      <c r="O11" s="683">
        <f>huishoudens!N8</f>
        <v>9272.2406524680409</v>
      </c>
      <c r="P11" s="683">
        <f>huishoudens!O8</f>
        <v>547.57246855082076</v>
      </c>
      <c r="Q11" s="684">
        <f>huishoudens!P8</f>
        <v>990.19217492239204</v>
      </c>
      <c r="R11" s="686">
        <f>SUM(C11:Q11)</f>
        <v>130766.32782973633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31748.728035</v>
      </c>
      <c r="D13" s="683">
        <f>industrie!C18</f>
        <v>0</v>
      </c>
      <c r="E13" s="683">
        <f>industrie!D18</f>
        <v>117144.290316459</v>
      </c>
      <c r="F13" s="683">
        <f>industrie!E18</f>
        <v>211.18299605361835</v>
      </c>
      <c r="G13" s="683">
        <f>industrie!F18</f>
        <v>2660.2506842333778</v>
      </c>
      <c r="H13" s="683">
        <f>industrie!G18</f>
        <v>0</v>
      </c>
      <c r="I13" s="683">
        <f>industrie!H18</f>
        <v>0</v>
      </c>
      <c r="J13" s="683">
        <f>industrie!I18</f>
        <v>0</v>
      </c>
      <c r="K13" s="683">
        <f>industrie!J18</f>
        <v>49.807481173591661</v>
      </c>
      <c r="L13" s="683">
        <f>industrie!K18</f>
        <v>0</v>
      </c>
      <c r="M13" s="683">
        <f>industrie!L18</f>
        <v>0</v>
      </c>
      <c r="N13" s="683">
        <f>industrie!M18</f>
        <v>0</v>
      </c>
      <c r="O13" s="683">
        <f>industrie!N18</f>
        <v>1622.7817451502874</v>
      </c>
      <c r="P13" s="683">
        <f>industrie!O18</f>
        <v>0</v>
      </c>
      <c r="Q13" s="684">
        <f>industrie!P18</f>
        <v>0</v>
      </c>
      <c r="R13" s="686">
        <f>SUM(C13:Q13)</f>
        <v>153437.04125806989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84528.140294367942</v>
      </c>
      <c r="D16" s="719">
        <f t="shared" ref="D16:R16" ca="1" si="0">SUM(D9:D15)</f>
        <v>96.428571428571431</v>
      </c>
      <c r="E16" s="719">
        <f t="shared" ca="1" si="0"/>
        <v>186723.65393849177</v>
      </c>
      <c r="F16" s="719">
        <f t="shared" si="0"/>
        <v>2227.1805556361928</v>
      </c>
      <c r="G16" s="719">
        <f t="shared" ca="1" si="0"/>
        <v>49247.815730172231</v>
      </c>
      <c r="H16" s="719">
        <f t="shared" si="0"/>
        <v>0</v>
      </c>
      <c r="I16" s="719">
        <f t="shared" si="0"/>
        <v>0</v>
      </c>
      <c r="J16" s="719">
        <f t="shared" si="0"/>
        <v>0</v>
      </c>
      <c r="K16" s="719">
        <f t="shared" si="0"/>
        <v>283.26448152492338</v>
      </c>
      <c r="L16" s="719">
        <f t="shared" si="0"/>
        <v>0</v>
      </c>
      <c r="M16" s="719">
        <f t="shared" ca="1" si="0"/>
        <v>0</v>
      </c>
      <c r="N16" s="719">
        <f t="shared" si="0"/>
        <v>0</v>
      </c>
      <c r="O16" s="719">
        <f t="shared" ca="1" si="0"/>
        <v>12514.526479424252</v>
      </c>
      <c r="P16" s="719">
        <f t="shared" si="0"/>
        <v>567.16151161418543</v>
      </c>
      <c r="Q16" s="719">
        <f t="shared" si="0"/>
        <v>1357.966143067857</v>
      </c>
      <c r="R16" s="719">
        <f t="shared" ca="1" si="0"/>
        <v>337546.13770572795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30.758725071642111</v>
      </c>
      <c r="D19" s="683">
        <f>transport!C54</f>
        <v>0</v>
      </c>
      <c r="E19" s="683">
        <f>transport!D54</f>
        <v>0</v>
      </c>
      <c r="F19" s="683">
        <f>transport!E54</f>
        <v>0</v>
      </c>
      <c r="G19" s="683">
        <f>transport!F54</f>
        <v>0</v>
      </c>
      <c r="H19" s="683">
        <f>transport!G54</f>
        <v>1925.5891796233757</v>
      </c>
      <c r="I19" s="683">
        <f>transport!H54</f>
        <v>0</v>
      </c>
      <c r="J19" s="683">
        <f>transport!I54</f>
        <v>0</v>
      </c>
      <c r="K19" s="683">
        <f>transport!J54</f>
        <v>0</v>
      </c>
      <c r="L19" s="683">
        <f>transport!K54</f>
        <v>0</v>
      </c>
      <c r="M19" s="683">
        <f>transport!L54</f>
        <v>0</v>
      </c>
      <c r="N19" s="683">
        <f>transport!M54</f>
        <v>110.56306699116983</v>
      </c>
      <c r="O19" s="683">
        <f>transport!N54</f>
        <v>0</v>
      </c>
      <c r="P19" s="683">
        <f>transport!O54</f>
        <v>0</v>
      </c>
      <c r="Q19" s="684">
        <f>transport!P54</f>
        <v>0</v>
      </c>
      <c r="R19" s="686">
        <f>SUM(C19:Q19)</f>
        <v>2066.9109716861876</v>
      </c>
      <c r="S19" s="67"/>
    </row>
    <row r="20" spans="1:19" s="445" customFormat="1">
      <c r="A20" s="804" t="s">
        <v>302</v>
      </c>
      <c r="B20" s="809"/>
      <c r="C20" s="683">
        <f>transport!B14</f>
        <v>231.9818486328976</v>
      </c>
      <c r="D20" s="683">
        <f>transport!C14</f>
        <v>0</v>
      </c>
      <c r="E20" s="683">
        <f>transport!D14</f>
        <v>413.75329798714029</v>
      </c>
      <c r="F20" s="683">
        <f>transport!E14</f>
        <v>162.28817890936057</v>
      </c>
      <c r="G20" s="683">
        <f>transport!F14</f>
        <v>0</v>
      </c>
      <c r="H20" s="683">
        <f>transport!G14</f>
        <v>72197.060488459421</v>
      </c>
      <c r="I20" s="683">
        <f>transport!H14</f>
        <v>20243.869096768707</v>
      </c>
      <c r="J20" s="683">
        <f>transport!I14</f>
        <v>0</v>
      </c>
      <c r="K20" s="683">
        <f>transport!J14</f>
        <v>0</v>
      </c>
      <c r="L20" s="683">
        <f>transport!K14</f>
        <v>0</v>
      </c>
      <c r="M20" s="683">
        <f>transport!L14</f>
        <v>0</v>
      </c>
      <c r="N20" s="683">
        <f>transport!M14</f>
        <v>5580.5464917957925</v>
      </c>
      <c r="O20" s="683">
        <f>transport!N14</f>
        <v>0</v>
      </c>
      <c r="P20" s="683">
        <f>transport!O14</f>
        <v>0</v>
      </c>
      <c r="Q20" s="684">
        <f>transport!P14</f>
        <v>0</v>
      </c>
      <c r="R20" s="686">
        <f>SUM(C20:Q20)</f>
        <v>98829.499402553323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262.74057370453971</v>
      </c>
      <c r="D22" s="807">
        <f t="shared" ref="D22:R22" si="1">SUM(D18:D21)</f>
        <v>0</v>
      </c>
      <c r="E22" s="807">
        <f t="shared" si="1"/>
        <v>413.75329798714029</v>
      </c>
      <c r="F22" s="807">
        <f t="shared" si="1"/>
        <v>162.28817890936057</v>
      </c>
      <c r="G22" s="807">
        <f t="shared" si="1"/>
        <v>0</v>
      </c>
      <c r="H22" s="807">
        <f t="shared" si="1"/>
        <v>74122.649668082799</v>
      </c>
      <c r="I22" s="807">
        <f t="shared" si="1"/>
        <v>20243.869096768707</v>
      </c>
      <c r="J22" s="807">
        <f t="shared" si="1"/>
        <v>0</v>
      </c>
      <c r="K22" s="807">
        <f t="shared" si="1"/>
        <v>0</v>
      </c>
      <c r="L22" s="807">
        <f t="shared" si="1"/>
        <v>0</v>
      </c>
      <c r="M22" s="807">
        <f t="shared" si="1"/>
        <v>0</v>
      </c>
      <c r="N22" s="807">
        <f t="shared" si="1"/>
        <v>5691.1095587869622</v>
      </c>
      <c r="O22" s="807">
        <f t="shared" si="1"/>
        <v>0</v>
      </c>
      <c r="P22" s="807">
        <f t="shared" si="1"/>
        <v>0</v>
      </c>
      <c r="Q22" s="807">
        <f t="shared" si="1"/>
        <v>0</v>
      </c>
      <c r="R22" s="807">
        <f t="shared" si="1"/>
        <v>100896.41037423951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6221.8206390000005</v>
      </c>
      <c r="D24" s="683">
        <f>+landbouw!C8</f>
        <v>23068.285714285714</v>
      </c>
      <c r="E24" s="683">
        <f>+landbouw!D8</f>
        <v>7177.8340337970003</v>
      </c>
      <c r="F24" s="683">
        <f>+landbouw!E8</f>
        <v>178.20347234917026</v>
      </c>
      <c r="G24" s="683">
        <f>+landbouw!F8</f>
        <v>19695.070181886953</v>
      </c>
      <c r="H24" s="683">
        <f>+landbouw!G8</f>
        <v>0</v>
      </c>
      <c r="I24" s="683">
        <f>+landbouw!H8</f>
        <v>0</v>
      </c>
      <c r="J24" s="683">
        <f>+landbouw!I8</f>
        <v>0</v>
      </c>
      <c r="K24" s="683">
        <f>+landbouw!J8</f>
        <v>1582.0136084470601</v>
      </c>
      <c r="L24" s="683">
        <f>+landbouw!K8</f>
        <v>0</v>
      </c>
      <c r="M24" s="683">
        <f>+landbouw!L8</f>
        <v>0</v>
      </c>
      <c r="N24" s="683">
        <f>+landbouw!M8</f>
        <v>0</v>
      </c>
      <c r="O24" s="683">
        <f>+landbouw!N8</f>
        <v>0</v>
      </c>
      <c r="P24" s="683">
        <f>+landbouw!O8</f>
        <v>0</v>
      </c>
      <c r="Q24" s="684">
        <f>+landbouw!P8</f>
        <v>0</v>
      </c>
      <c r="R24" s="686">
        <f>SUM(C24:Q24)</f>
        <v>57923.22764976589</v>
      </c>
      <c r="S24" s="67"/>
    </row>
    <row r="25" spans="1:19" s="445" customFormat="1" ht="15" thickBot="1">
      <c r="A25" s="826" t="s">
        <v>696</v>
      </c>
      <c r="B25" s="939"/>
      <c r="C25" s="940">
        <f>IF(Onbekend_ele_kWh="---",0,Onbekend_ele_kWh)/1000+IF(REST_rest_ele_kWh="---",0,REST_rest_ele_kWh)/1000</f>
        <v>4034.125454</v>
      </c>
      <c r="D25" s="940"/>
      <c r="E25" s="940">
        <f>IF(onbekend_gas_kWh="---",0,onbekend_gas_kWh)/1000+IF(REST_rest_gas_kWh="---",0,REST_rest_gas_kWh)/1000</f>
        <v>2187.1077480000004</v>
      </c>
      <c r="F25" s="940"/>
      <c r="G25" s="940"/>
      <c r="H25" s="940"/>
      <c r="I25" s="940"/>
      <c r="J25" s="940"/>
      <c r="K25" s="940"/>
      <c r="L25" s="940"/>
      <c r="M25" s="940"/>
      <c r="N25" s="940"/>
      <c r="O25" s="940"/>
      <c r="P25" s="940"/>
      <c r="Q25" s="941"/>
      <c r="R25" s="686">
        <f>SUM(C25:Q25)</f>
        <v>6221.2332020000003</v>
      </c>
      <c r="S25" s="67"/>
    </row>
    <row r="26" spans="1:19" s="445" customFormat="1" ht="15.75" thickBot="1">
      <c r="A26" s="691" t="s">
        <v>697</v>
      </c>
      <c r="B26" s="812"/>
      <c r="C26" s="807">
        <f>SUM(C24:C25)</f>
        <v>10255.946093</v>
      </c>
      <c r="D26" s="807">
        <f t="shared" ref="D26:R26" si="2">SUM(D24:D25)</f>
        <v>23068.285714285714</v>
      </c>
      <c r="E26" s="807">
        <f t="shared" si="2"/>
        <v>9364.9417817970007</v>
      </c>
      <c r="F26" s="807">
        <f t="shared" si="2"/>
        <v>178.20347234917026</v>
      </c>
      <c r="G26" s="807">
        <f t="shared" si="2"/>
        <v>19695.070181886953</v>
      </c>
      <c r="H26" s="807">
        <f t="shared" si="2"/>
        <v>0</v>
      </c>
      <c r="I26" s="807">
        <f t="shared" si="2"/>
        <v>0</v>
      </c>
      <c r="J26" s="807">
        <f t="shared" si="2"/>
        <v>0</v>
      </c>
      <c r="K26" s="807">
        <f t="shared" si="2"/>
        <v>1582.0136084470601</v>
      </c>
      <c r="L26" s="807">
        <f t="shared" si="2"/>
        <v>0</v>
      </c>
      <c r="M26" s="807">
        <f t="shared" si="2"/>
        <v>0</v>
      </c>
      <c r="N26" s="807">
        <f t="shared" si="2"/>
        <v>0</v>
      </c>
      <c r="O26" s="807">
        <f t="shared" si="2"/>
        <v>0</v>
      </c>
      <c r="P26" s="807">
        <f t="shared" si="2"/>
        <v>0</v>
      </c>
      <c r="Q26" s="807">
        <f t="shared" si="2"/>
        <v>0</v>
      </c>
      <c r="R26" s="807">
        <f t="shared" si="2"/>
        <v>64144.460851765893</v>
      </c>
      <c r="S26" s="67"/>
    </row>
    <row r="27" spans="1:19" s="445" customFormat="1" ht="17.25" thickTop="1" thickBot="1">
      <c r="A27" s="692" t="s">
        <v>115</v>
      </c>
      <c r="B27" s="799"/>
      <c r="C27" s="693">
        <f ca="1">C22+C16+C26</f>
        <v>95046.826961072482</v>
      </c>
      <c r="D27" s="693">
        <f t="shared" ref="D27:R27" ca="1" si="3">D22+D16+D26</f>
        <v>23164.714285714286</v>
      </c>
      <c r="E27" s="693">
        <f t="shared" ca="1" si="3"/>
        <v>196502.34901827591</v>
      </c>
      <c r="F27" s="693">
        <f t="shared" si="3"/>
        <v>2567.6722068947233</v>
      </c>
      <c r="G27" s="693">
        <f t="shared" ca="1" si="3"/>
        <v>68942.885912059181</v>
      </c>
      <c r="H27" s="693">
        <f t="shared" si="3"/>
        <v>74122.649668082799</v>
      </c>
      <c r="I27" s="693">
        <f t="shared" si="3"/>
        <v>20243.869096768707</v>
      </c>
      <c r="J27" s="693">
        <f t="shared" si="3"/>
        <v>0</v>
      </c>
      <c r="K27" s="693">
        <f t="shared" si="3"/>
        <v>1865.2780899719835</v>
      </c>
      <c r="L27" s="693">
        <f t="shared" si="3"/>
        <v>0</v>
      </c>
      <c r="M27" s="693">
        <f t="shared" ca="1" si="3"/>
        <v>0</v>
      </c>
      <c r="N27" s="693">
        <f t="shared" si="3"/>
        <v>5691.1095587869622</v>
      </c>
      <c r="O27" s="693">
        <f t="shared" ca="1" si="3"/>
        <v>12514.526479424252</v>
      </c>
      <c r="P27" s="693">
        <f t="shared" si="3"/>
        <v>567.16151161418543</v>
      </c>
      <c r="Q27" s="693">
        <f t="shared" si="3"/>
        <v>1357.966143067857</v>
      </c>
      <c r="R27" s="693">
        <f t="shared" ca="1" si="3"/>
        <v>502587.00893173332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3838.9497491140369</v>
      </c>
      <c r="D40" s="683">
        <f ca="1">tertiair!C20</f>
        <v>9.5393099794171987E-2</v>
      </c>
      <c r="E40" s="683">
        <f ca="1">tertiair!D20</f>
        <v>4177.7424677627041</v>
      </c>
      <c r="F40" s="683">
        <f>tertiair!E20</f>
        <v>33.234776836553024</v>
      </c>
      <c r="G40" s="683">
        <f ca="1">tertiair!F20</f>
        <v>1503.535755609666</v>
      </c>
      <c r="H40" s="683">
        <f>tertiair!G20</f>
        <v>0</v>
      </c>
      <c r="I40" s="683">
        <f>tertiair!H20</f>
        <v>0</v>
      </c>
      <c r="J40" s="683">
        <f>tertiair!I20</f>
        <v>0</v>
      </c>
      <c r="K40" s="683">
        <f>tertiair!J20</f>
        <v>1.4977994289666445E-2</v>
      </c>
      <c r="L40" s="683">
        <f>tertiair!K20</f>
        <v>0</v>
      </c>
      <c r="M40" s="683">
        <f ca="1">tertiair!L20</f>
        <v>0</v>
      </c>
      <c r="N40" s="683">
        <f>tertiair!M20</f>
        <v>0</v>
      </c>
      <c r="O40" s="683">
        <f ca="1">tertiair!N20</f>
        <v>0</v>
      </c>
      <c r="P40" s="683">
        <f>tertiair!O20</f>
        <v>0</v>
      </c>
      <c r="Q40" s="766">
        <f>tertiair!P20</f>
        <v>0</v>
      </c>
      <c r="R40" s="845">
        <f t="shared" ca="1" si="4"/>
        <v>9553.5731204170443</v>
      </c>
    </row>
    <row r="41" spans="1:18">
      <c r="A41" s="817" t="s">
        <v>220</v>
      </c>
      <c r="B41" s="824"/>
      <c r="C41" s="683">
        <f ca="1">huishoudens!B12</f>
        <v>4337.7354750711447</v>
      </c>
      <c r="D41" s="683">
        <f ca="1">huishoudens!C12</f>
        <v>0</v>
      </c>
      <c r="E41" s="683">
        <f>huishoudens!D12</f>
        <v>9877.2889838879164</v>
      </c>
      <c r="F41" s="683">
        <f>huishoudens!E12</f>
        <v>424.39666918869136</v>
      </c>
      <c r="G41" s="683">
        <f>huishoudens!F12</f>
        <v>10935.34411165601</v>
      </c>
      <c r="H41" s="683">
        <f>huishoudens!G12</f>
        <v>0</v>
      </c>
      <c r="I41" s="683">
        <f>huishoudens!H12</f>
        <v>0</v>
      </c>
      <c r="J41" s="683">
        <f>huishoudens!I12</f>
        <v>0</v>
      </c>
      <c r="K41" s="683">
        <f>huishoudens!J12</f>
        <v>82.628800130081757</v>
      </c>
      <c r="L41" s="683">
        <f>huishoudens!K12</f>
        <v>0</v>
      </c>
      <c r="M41" s="683">
        <f>huishoudens!L12</f>
        <v>0</v>
      </c>
      <c r="N41" s="683">
        <f>huishoudens!M12</f>
        <v>0</v>
      </c>
      <c r="O41" s="683">
        <f>huishoudens!N12</f>
        <v>0</v>
      </c>
      <c r="P41" s="683">
        <f>huishoudens!O12</f>
        <v>0</v>
      </c>
      <c r="Q41" s="766">
        <f>huishoudens!P12</f>
        <v>0</v>
      </c>
      <c r="R41" s="845">
        <f t="shared" ca="1" si="4"/>
        <v>25657.394039933843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4918.5723049498602</v>
      </c>
      <c r="D43" s="683">
        <f ca="1">industrie!C22</f>
        <v>0</v>
      </c>
      <c r="E43" s="683">
        <f>industrie!D22</f>
        <v>23663.14664392472</v>
      </c>
      <c r="F43" s="683">
        <f>industrie!E22</f>
        <v>47.938540104171366</v>
      </c>
      <c r="G43" s="683">
        <f>industrie!F22</f>
        <v>710.28693269031191</v>
      </c>
      <c r="H43" s="683">
        <f>industrie!G22</f>
        <v>0</v>
      </c>
      <c r="I43" s="683">
        <f>industrie!H22</f>
        <v>0</v>
      </c>
      <c r="J43" s="683">
        <f>industrie!I22</f>
        <v>0</v>
      </c>
      <c r="K43" s="683">
        <f>industrie!J22</f>
        <v>17.631848335451448</v>
      </c>
      <c r="L43" s="683">
        <f>industrie!K22</f>
        <v>0</v>
      </c>
      <c r="M43" s="683">
        <f>industrie!L22</f>
        <v>0</v>
      </c>
      <c r="N43" s="683">
        <f>industrie!M22</f>
        <v>0</v>
      </c>
      <c r="O43" s="683">
        <f>industrie!N22</f>
        <v>0</v>
      </c>
      <c r="P43" s="683">
        <f>industrie!O22</f>
        <v>0</v>
      </c>
      <c r="Q43" s="766">
        <f>industrie!P22</f>
        <v>0</v>
      </c>
      <c r="R43" s="844">
        <f t="shared" ca="1" si="4"/>
        <v>29357.576270004516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13095.25752913504</v>
      </c>
      <c r="D46" s="719">
        <f t="shared" ref="D46:Q46" ca="1" si="5">SUM(D39:D45)</f>
        <v>9.5393099794171987E-2</v>
      </c>
      <c r="E46" s="719">
        <f t="shared" ca="1" si="5"/>
        <v>37718.178095575342</v>
      </c>
      <c r="F46" s="719">
        <f t="shared" si="5"/>
        <v>505.56998612941572</v>
      </c>
      <c r="G46" s="719">
        <f t="shared" ca="1" si="5"/>
        <v>13149.166799955987</v>
      </c>
      <c r="H46" s="719">
        <f t="shared" si="5"/>
        <v>0</v>
      </c>
      <c r="I46" s="719">
        <f t="shared" si="5"/>
        <v>0</v>
      </c>
      <c r="J46" s="719">
        <f t="shared" si="5"/>
        <v>0</v>
      </c>
      <c r="K46" s="719">
        <f t="shared" si="5"/>
        <v>100.27562645982287</v>
      </c>
      <c r="L46" s="719">
        <f t="shared" si="5"/>
        <v>0</v>
      </c>
      <c r="M46" s="719">
        <f t="shared" ca="1" si="5"/>
        <v>0</v>
      </c>
      <c r="N46" s="719">
        <f t="shared" si="5"/>
        <v>0</v>
      </c>
      <c r="O46" s="719">
        <f t="shared" ca="1" si="5"/>
        <v>0</v>
      </c>
      <c r="P46" s="719">
        <f t="shared" si="5"/>
        <v>0</v>
      </c>
      <c r="Q46" s="719">
        <f t="shared" si="5"/>
        <v>0</v>
      </c>
      <c r="R46" s="719">
        <f ca="1">SUM(R39:R45)</f>
        <v>64568.543430355407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4.7651991949461348</v>
      </c>
      <c r="D49" s="683">
        <f ca="1">transport!C58</f>
        <v>0</v>
      </c>
      <c r="E49" s="683">
        <f>transport!D58</f>
        <v>0</v>
      </c>
      <c r="F49" s="683">
        <f>transport!E58</f>
        <v>0</v>
      </c>
      <c r="G49" s="683">
        <f>transport!F58</f>
        <v>0</v>
      </c>
      <c r="H49" s="683">
        <f>transport!G58</f>
        <v>514.13231095944138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518.89751015438753</v>
      </c>
    </row>
    <row r="50" spans="1:18">
      <c r="A50" s="820" t="s">
        <v>302</v>
      </c>
      <c r="B50" s="830"/>
      <c r="C50" s="689">
        <f ca="1">transport!B18</f>
        <v>35.939061705998853</v>
      </c>
      <c r="D50" s="689">
        <f>transport!C18</f>
        <v>0</v>
      </c>
      <c r="E50" s="689">
        <f>transport!D18</f>
        <v>83.578166193402339</v>
      </c>
      <c r="F50" s="689">
        <f>transport!E18</f>
        <v>36.839416612424849</v>
      </c>
      <c r="G50" s="689">
        <f>transport!F18</f>
        <v>0</v>
      </c>
      <c r="H50" s="689">
        <f>transport!G18</f>
        <v>19276.615150418667</v>
      </c>
      <c r="I50" s="689">
        <f>transport!H18</f>
        <v>5040.7234050954085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24473.695200025904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40.704260900944988</v>
      </c>
      <c r="D52" s="719">
        <f t="shared" ref="D52:Q52" ca="1" si="6">SUM(D48:D51)</f>
        <v>0</v>
      </c>
      <c r="E52" s="719">
        <f t="shared" si="6"/>
        <v>83.578166193402339</v>
      </c>
      <c r="F52" s="719">
        <f t="shared" si="6"/>
        <v>36.839416612424849</v>
      </c>
      <c r="G52" s="719">
        <f t="shared" si="6"/>
        <v>0</v>
      </c>
      <c r="H52" s="719">
        <f t="shared" si="6"/>
        <v>19790.747461378109</v>
      </c>
      <c r="I52" s="719">
        <f t="shared" si="6"/>
        <v>5040.7234050954085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24992.592710180292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963.89608577749891</v>
      </c>
      <c r="D54" s="689">
        <f ca="1">+landbouw!C12</f>
        <v>22.82057328676045</v>
      </c>
      <c r="E54" s="689">
        <f>+landbouw!D12</f>
        <v>1449.9224748269942</v>
      </c>
      <c r="F54" s="689">
        <f>+landbouw!E12</f>
        <v>40.452188223261651</v>
      </c>
      <c r="G54" s="689">
        <f>+landbouw!F12</f>
        <v>5258.583738563817</v>
      </c>
      <c r="H54" s="689">
        <f>+landbouw!G12</f>
        <v>0</v>
      </c>
      <c r="I54" s="689">
        <f>+landbouw!H12</f>
        <v>0</v>
      </c>
      <c r="J54" s="689">
        <f>+landbouw!I12</f>
        <v>0</v>
      </c>
      <c r="K54" s="689">
        <f>+landbouw!J12</f>
        <v>560.0328173902592</v>
      </c>
      <c r="L54" s="689">
        <f>+landbouw!K12</f>
        <v>0</v>
      </c>
      <c r="M54" s="689">
        <f>+landbouw!L12</f>
        <v>0</v>
      </c>
      <c r="N54" s="689">
        <f>+landbouw!M12</f>
        <v>0</v>
      </c>
      <c r="O54" s="689">
        <f>+landbouw!N12</f>
        <v>0</v>
      </c>
      <c r="P54" s="689">
        <f>+landbouw!O12</f>
        <v>0</v>
      </c>
      <c r="Q54" s="690">
        <f>+landbouw!P12</f>
        <v>0</v>
      </c>
      <c r="R54" s="718">
        <f ca="1">SUM(C54:Q54)</f>
        <v>8295.7078780685915</v>
      </c>
    </row>
    <row r="55" spans="1:18" ht="15" thickBot="1">
      <c r="A55" s="820" t="s">
        <v>696</v>
      </c>
      <c r="B55" s="830"/>
      <c r="C55" s="689">
        <f ca="1">C25*'EF ele_warmte'!B12</f>
        <v>624.97425757855819</v>
      </c>
      <c r="D55" s="689"/>
      <c r="E55" s="689">
        <f>E25*EF_CO2_aardgas</f>
        <v>441.79576509600008</v>
      </c>
      <c r="F55" s="689"/>
      <c r="G55" s="689"/>
      <c r="H55" s="689"/>
      <c r="I55" s="689"/>
      <c r="J55" s="689"/>
      <c r="K55" s="689"/>
      <c r="L55" s="689"/>
      <c r="M55" s="689"/>
      <c r="N55" s="689"/>
      <c r="O55" s="689"/>
      <c r="P55" s="689"/>
      <c r="Q55" s="690"/>
      <c r="R55" s="718">
        <f ca="1">SUM(C55:Q55)</f>
        <v>1066.7700226745583</v>
      </c>
    </row>
    <row r="56" spans="1:18" ht="15.75" thickBot="1">
      <c r="A56" s="818" t="s">
        <v>697</v>
      </c>
      <c r="B56" s="831"/>
      <c r="C56" s="719">
        <f ca="1">SUM(C54:C55)</f>
        <v>1588.8703433560572</v>
      </c>
      <c r="D56" s="719">
        <f t="shared" ref="D56:Q56" ca="1" si="7">SUM(D54:D55)</f>
        <v>22.82057328676045</v>
      </c>
      <c r="E56" s="719">
        <f t="shared" si="7"/>
        <v>1891.7182399229941</v>
      </c>
      <c r="F56" s="719">
        <f t="shared" si="7"/>
        <v>40.452188223261651</v>
      </c>
      <c r="G56" s="719">
        <f t="shared" si="7"/>
        <v>5258.583738563817</v>
      </c>
      <c r="H56" s="719">
        <f t="shared" si="7"/>
        <v>0</v>
      </c>
      <c r="I56" s="719">
        <f t="shared" si="7"/>
        <v>0</v>
      </c>
      <c r="J56" s="719">
        <f t="shared" si="7"/>
        <v>0</v>
      </c>
      <c r="K56" s="719">
        <f t="shared" si="7"/>
        <v>560.0328173902592</v>
      </c>
      <c r="L56" s="719">
        <f t="shared" si="7"/>
        <v>0</v>
      </c>
      <c r="M56" s="719">
        <f t="shared" si="7"/>
        <v>0</v>
      </c>
      <c r="N56" s="719">
        <f t="shared" si="7"/>
        <v>0</v>
      </c>
      <c r="O56" s="719">
        <f t="shared" si="7"/>
        <v>0</v>
      </c>
      <c r="P56" s="719">
        <f t="shared" si="7"/>
        <v>0</v>
      </c>
      <c r="Q56" s="720">
        <f t="shared" si="7"/>
        <v>0</v>
      </c>
      <c r="R56" s="721">
        <f ca="1">SUM(R54:R55)</f>
        <v>9362.4779007431498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14724.832133392043</v>
      </c>
      <c r="D61" s="727">
        <f t="shared" ref="D61:Q61" ca="1" si="8">D46+D52+D56</f>
        <v>22.915966386554622</v>
      </c>
      <c r="E61" s="727">
        <f t="shared" ca="1" si="8"/>
        <v>39693.474501691737</v>
      </c>
      <c r="F61" s="727">
        <f t="shared" si="8"/>
        <v>582.86159096510221</v>
      </c>
      <c r="G61" s="727">
        <f t="shared" ca="1" si="8"/>
        <v>18407.750538519802</v>
      </c>
      <c r="H61" s="727">
        <f t="shared" si="8"/>
        <v>19790.747461378109</v>
      </c>
      <c r="I61" s="727">
        <f t="shared" si="8"/>
        <v>5040.7234050954085</v>
      </c>
      <c r="J61" s="727">
        <f t="shared" si="8"/>
        <v>0</v>
      </c>
      <c r="K61" s="727">
        <f t="shared" si="8"/>
        <v>660.30844385008209</v>
      </c>
      <c r="L61" s="727">
        <f t="shared" si="8"/>
        <v>0</v>
      </c>
      <c r="M61" s="727">
        <f t="shared" ca="1" si="8"/>
        <v>0</v>
      </c>
      <c r="N61" s="727">
        <f t="shared" si="8"/>
        <v>0</v>
      </c>
      <c r="O61" s="727">
        <f t="shared" ca="1" si="8"/>
        <v>0</v>
      </c>
      <c r="P61" s="727">
        <f t="shared" si="8"/>
        <v>0</v>
      </c>
      <c r="Q61" s="727">
        <f t="shared" si="8"/>
        <v>0</v>
      </c>
      <c r="R61" s="727">
        <f ca="1">R46+R52+R56</f>
        <v>98923.614041278852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0.15492186961088944</v>
      </c>
      <c r="D63" s="773">
        <f t="shared" ca="1" si="9"/>
        <v>9.8926177564326507E-4</v>
      </c>
      <c r="E63" s="965">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12275.911771382642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16147.8</v>
      </c>
      <c r="C76" s="740">
        <f>'lokale energieproductie'!B8*IFERROR(SUM(D76:H76)/SUM(D76:O76),0)</f>
        <v>67.499999999999986</v>
      </c>
      <c r="D76" s="948">
        <f>'lokale energieproductie'!C8</f>
        <v>79.411764705882348</v>
      </c>
      <c r="E76" s="949">
        <f>'lokale energieproductie'!D8</f>
        <v>0</v>
      </c>
      <c r="F76" s="949">
        <f>'lokale energieproductie'!E8</f>
        <v>0</v>
      </c>
      <c r="G76" s="949">
        <f>'lokale energieproductie'!F8</f>
        <v>0</v>
      </c>
      <c r="H76" s="949">
        <f>'lokale energieproductie'!G8</f>
        <v>0</v>
      </c>
      <c r="I76" s="949">
        <f>'lokale energieproductie'!I8</f>
        <v>0</v>
      </c>
      <c r="J76" s="949">
        <f>'lokale energieproductie'!J8</f>
        <v>18997.411764705885</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16.041176470588237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28423.711771382641</v>
      </c>
      <c r="C78" s="745">
        <f>SUM(C72:C77)</f>
        <v>67.499999999999986</v>
      </c>
      <c r="D78" s="746">
        <f t="shared" ref="D78:H78" si="10">SUM(D76:D77)</f>
        <v>79.411764705882348</v>
      </c>
      <c r="E78" s="746">
        <f t="shared" si="10"/>
        <v>0</v>
      </c>
      <c r="F78" s="746">
        <f t="shared" si="10"/>
        <v>0</v>
      </c>
      <c r="G78" s="746">
        <f t="shared" si="10"/>
        <v>0</v>
      </c>
      <c r="H78" s="746">
        <f t="shared" si="10"/>
        <v>0</v>
      </c>
      <c r="I78" s="746">
        <f>SUM(I76:I77)</f>
        <v>0</v>
      </c>
      <c r="J78" s="746">
        <f>SUM(J76:J77)</f>
        <v>18997.411764705885</v>
      </c>
      <c r="K78" s="746">
        <f t="shared" ref="K78:L78" si="11">SUM(K76:K77)</f>
        <v>0</v>
      </c>
      <c r="L78" s="746">
        <f t="shared" si="11"/>
        <v>0</v>
      </c>
      <c r="M78" s="746">
        <f>SUM(M76:M77)</f>
        <v>0</v>
      </c>
      <c r="N78" s="746">
        <f>SUM(N76:N77)</f>
        <v>0</v>
      </c>
      <c r="O78" s="855">
        <f>SUM(O76:O77)</f>
        <v>0</v>
      </c>
      <c r="P78" s="747">
        <v>0</v>
      </c>
      <c r="Q78" s="747">
        <f>SUM(Q76:Q77)</f>
        <v>16.041176470588237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23068.285714285714</v>
      </c>
      <c r="C87" s="758">
        <f>'lokale energieproductie'!B17*IFERROR(SUM(D87:H87)/SUM(D87:O87),0)</f>
        <v>96.428571428571416</v>
      </c>
      <c r="D87" s="769">
        <f>'lokale energieproductie'!C17</f>
        <v>113.44537815126051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27139.15966386555</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22.915966386554626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23068.285714285714</v>
      </c>
      <c r="C90" s="745">
        <f>SUM(C87:C89)</f>
        <v>96.428571428571416</v>
      </c>
      <c r="D90" s="745">
        <f t="shared" ref="D90:H90" si="12">SUM(D87:D89)</f>
        <v>113.44537815126051</v>
      </c>
      <c r="E90" s="745">
        <f t="shared" si="12"/>
        <v>0</v>
      </c>
      <c r="F90" s="745">
        <f t="shared" si="12"/>
        <v>0</v>
      </c>
      <c r="G90" s="745">
        <f t="shared" si="12"/>
        <v>0</v>
      </c>
      <c r="H90" s="745">
        <f t="shared" si="12"/>
        <v>0</v>
      </c>
      <c r="I90" s="745">
        <f>SUM(I87:I89)</f>
        <v>0</v>
      </c>
      <c r="J90" s="745">
        <f>SUM(J87:J89)</f>
        <v>27139.15966386555</v>
      </c>
      <c r="K90" s="745">
        <f t="shared" ref="K90:L90" si="13">SUM(K87:K89)</f>
        <v>0</v>
      </c>
      <c r="L90" s="745">
        <f t="shared" si="13"/>
        <v>0</v>
      </c>
      <c r="M90" s="745">
        <f>SUM(M87:M89)</f>
        <v>0</v>
      </c>
      <c r="N90" s="745">
        <f>SUM(N87:N89)</f>
        <v>0</v>
      </c>
      <c r="O90" s="745">
        <f>SUM(O87:O89)</f>
        <v>0</v>
      </c>
      <c r="P90" s="745">
        <v>0</v>
      </c>
      <c r="Q90" s="745">
        <f>SUM(Q87:Q89)</f>
        <v>22.915966386554626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27999.503788367951</v>
      </c>
      <c r="C4" s="449">
        <f>huishoudens!C8</f>
        <v>0</v>
      </c>
      <c r="D4" s="449">
        <f>huishoudens!D8</f>
        <v>48897.470217266913</v>
      </c>
      <c r="E4" s="449">
        <f>huishoudens!E8</f>
        <v>1869.5888510515038</v>
      </c>
      <c r="F4" s="449">
        <f>huishoudens!F8</f>
        <v>40956.344987475692</v>
      </c>
      <c r="G4" s="449">
        <f>huishoudens!G8</f>
        <v>0</v>
      </c>
      <c r="H4" s="449">
        <f>huishoudens!H8</f>
        <v>0</v>
      </c>
      <c r="I4" s="449">
        <f>huishoudens!I8</f>
        <v>0</v>
      </c>
      <c r="J4" s="449">
        <f>huishoudens!J8</f>
        <v>233.41468963299931</v>
      </c>
      <c r="K4" s="449">
        <f>huishoudens!K8</f>
        <v>0</v>
      </c>
      <c r="L4" s="449">
        <f>huishoudens!L8</f>
        <v>0</v>
      </c>
      <c r="M4" s="449">
        <f>huishoudens!M8</f>
        <v>0</v>
      </c>
      <c r="N4" s="449">
        <f>huishoudens!N8</f>
        <v>9272.2406524680409</v>
      </c>
      <c r="O4" s="449">
        <f>huishoudens!O8</f>
        <v>547.57246855082076</v>
      </c>
      <c r="P4" s="450">
        <f>huishoudens!P8</f>
        <v>990.19217492239204</v>
      </c>
      <c r="Q4" s="451">
        <f>SUM(B4:P4)</f>
        <v>130766.32782973633</v>
      </c>
    </row>
    <row r="5" spans="1:17">
      <c r="A5" s="448" t="s">
        <v>155</v>
      </c>
      <c r="B5" s="449">
        <f ca="1">tertiair!B16</f>
        <v>23519.719291000001</v>
      </c>
      <c r="C5" s="449">
        <f ca="1">tertiair!C16</f>
        <v>96.428571428571431</v>
      </c>
      <c r="D5" s="449">
        <f ca="1">tertiair!D16</f>
        <v>20681.893404765859</v>
      </c>
      <c r="E5" s="449">
        <f>tertiair!E16</f>
        <v>146.4087085310706</v>
      </c>
      <c r="F5" s="449">
        <f ca="1">tertiair!F16</f>
        <v>5631.2200584631682</v>
      </c>
      <c r="G5" s="449">
        <f>tertiair!G16</f>
        <v>0</v>
      </c>
      <c r="H5" s="449">
        <f>tertiair!H16</f>
        <v>0</v>
      </c>
      <c r="I5" s="449">
        <f>tertiair!I16</f>
        <v>0</v>
      </c>
      <c r="J5" s="449">
        <f>tertiair!J16</f>
        <v>4.2310718332391091E-2</v>
      </c>
      <c r="K5" s="449">
        <f>tertiair!K16</f>
        <v>0</v>
      </c>
      <c r="L5" s="449">
        <f ca="1">tertiair!L16</f>
        <v>0</v>
      </c>
      <c r="M5" s="449">
        <f>tertiair!M16</f>
        <v>0</v>
      </c>
      <c r="N5" s="449">
        <f ca="1">tertiair!N16</f>
        <v>1619.5040818059251</v>
      </c>
      <c r="O5" s="449">
        <f>tertiair!O16</f>
        <v>19.589043063364617</v>
      </c>
      <c r="P5" s="450">
        <f>tertiair!P16</f>
        <v>367.77396814546512</v>
      </c>
      <c r="Q5" s="448">
        <f t="shared" ref="Q5:Q14" ca="1" si="0">SUM(B5:P5)</f>
        <v>52082.579437921762</v>
      </c>
    </row>
    <row r="6" spans="1:17">
      <c r="A6" s="448" t="s">
        <v>193</v>
      </c>
      <c r="B6" s="449">
        <f>'openbare verlichting'!B8</f>
        <v>1260.1891799999999</v>
      </c>
      <c r="C6" s="449"/>
      <c r="D6" s="449"/>
      <c r="E6" s="449"/>
      <c r="F6" s="449"/>
      <c r="G6" s="449"/>
      <c r="H6" s="449"/>
      <c r="I6" s="449"/>
      <c r="J6" s="449"/>
      <c r="K6" s="449"/>
      <c r="L6" s="449"/>
      <c r="M6" s="449"/>
      <c r="N6" s="449"/>
      <c r="O6" s="449"/>
      <c r="P6" s="450"/>
      <c r="Q6" s="448">
        <f t="shared" si="0"/>
        <v>1260.1891799999999</v>
      </c>
    </row>
    <row r="7" spans="1:17">
      <c r="A7" s="448" t="s">
        <v>111</v>
      </c>
      <c r="B7" s="449">
        <f>landbouw!B8</f>
        <v>6221.8206390000005</v>
      </c>
      <c r="C7" s="449">
        <f>landbouw!C8</f>
        <v>23068.285714285714</v>
      </c>
      <c r="D7" s="449">
        <f>landbouw!D8</f>
        <v>7177.8340337970003</v>
      </c>
      <c r="E7" s="449">
        <f>landbouw!E8</f>
        <v>178.20347234917026</v>
      </c>
      <c r="F7" s="449">
        <f>landbouw!F8</f>
        <v>19695.070181886953</v>
      </c>
      <c r="G7" s="449">
        <f>landbouw!G8</f>
        <v>0</v>
      </c>
      <c r="H7" s="449">
        <f>landbouw!H8</f>
        <v>0</v>
      </c>
      <c r="I7" s="449">
        <f>landbouw!I8</f>
        <v>0</v>
      </c>
      <c r="J7" s="449">
        <f>landbouw!J8</f>
        <v>1582.0136084470601</v>
      </c>
      <c r="K7" s="449">
        <f>landbouw!K8</f>
        <v>0</v>
      </c>
      <c r="L7" s="449">
        <f>landbouw!L8</f>
        <v>0</v>
      </c>
      <c r="M7" s="449">
        <f>landbouw!M8</f>
        <v>0</v>
      </c>
      <c r="N7" s="449">
        <f>landbouw!N8</f>
        <v>0</v>
      </c>
      <c r="O7" s="449">
        <f>landbouw!O8</f>
        <v>0</v>
      </c>
      <c r="P7" s="450">
        <f>landbouw!P8</f>
        <v>0</v>
      </c>
      <c r="Q7" s="448">
        <f t="shared" si="0"/>
        <v>57923.22764976589</v>
      </c>
    </row>
    <row r="8" spans="1:17">
      <c r="A8" s="448" t="s">
        <v>617</v>
      </c>
      <c r="B8" s="449">
        <f>industrie!B18</f>
        <v>31748.728035</v>
      </c>
      <c r="C8" s="449">
        <f>industrie!C18</f>
        <v>0</v>
      </c>
      <c r="D8" s="449">
        <f>industrie!D18</f>
        <v>117144.290316459</v>
      </c>
      <c r="E8" s="449">
        <f>industrie!E18</f>
        <v>211.18299605361835</v>
      </c>
      <c r="F8" s="449">
        <f>industrie!F18</f>
        <v>2660.2506842333778</v>
      </c>
      <c r="G8" s="449">
        <f>industrie!G18</f>
        <v>0</v>
      </c>
      <c r="H8" s="449">
        <f>industrie!H18</f>
        <v>0</v>
      </c>
      <c r="I8" s="449">
        <f>industrie!I18</f>
        <v>0</v>
      </c>
      <c r="J8" s="449">
        <f>industrie!J18</f>
        <v>49.807481173591661</v>
      </c>
      <c r="K8" s="449">
        <f>industrie!K18</f>
        <v>0</v>
      </c>
      <c r="L8" s="449">
        <f>industrie!L18</f>
        <v>0</v>
      </c>
      <c r="M8" s="449">
        <f>industrie!M18</f>
        <v>0</v>
      </c>
      <c r="N8" s="449">
        <f>industrie!N18</f>
        <v>1622.7817451502874</v>
      </c>
      <c r="O8" s="449">
        <f>industrie!O18</f>
        <v>0</v>
      </c>
      <c r="P8" s="450">
        <f>industrie!P18</f>
        <v>0</v>
      </c>
      <c r="Q8" s="448">
        <f t="shared" si="0"/>
        <v>153437.04125806989</v>
      </c>
    </row>
    <row r="9" spans="1:17" s="454" customFormat="1">
      <c r="A9" s="452" t="s">
        <v>543</v>
      </c>
      <c r="B9" s="453">
        <f>transport!B14</f>
        <v>231.9818486328976</v>
      </c>
      <c r="C9" s="453">
        <f>transport!C14</f>
        <v>0</v>
      </c>
      <c r="D9" s="453">
        <f>transport!D14</f>
        <v>413.75329798714029</v>
      </c>
      <c r="E9" s="453">
        <f>transport!E14</f>
        <v>162.28817890936057</v>
      </c>
      <c r="F9" s="453">
        <f>transport!F14</f>
        <v>0</v>
      </c>
      <c r="G9" s="453">
        <f>transport!G14</f>
        <v>72197.060488459421</v>
      </c>
      <c r="H9" s="453">
        <f>transport!H14</f>
        <v>20243.869096768707</v>
      </c>
      <c r="I9" s="453">
        <f>transport!I14</f>
        <v>0</v>
      </c>
      <c r="J9" s="453">
        <f>transport!J14</f>
        <v>0</v>
      </c>
      <c r="K9" s="453">
        <f>transport!K14</f>
        <v>0</v>
      </c>
      <c r="L9" s="453">
        <f>transport!L14</f>
        <v>0</v>
      </c>
      <c r="M9" s="453">
        <f>transport!M14</f>
        <v>5580.5464917957925</v>
      </c>
      <c r="N9" s="453">
        <f>transport!N14</f>
        <v>0</v>
      </c>
      <c r="O9" s="453">
        <f>transport!O14</f>
        <v>0</v>
      </c>
      <c r="P9" s="453">
        <f>transport!P14</f>
        <v>0</v>
      </c>
      <c r="Q9" s="452">
        <f>SUM(B9:P9)</f>
        <v>98829.499402553323</v>
      </c>
    </row>
    <row r="10" spans="1:17">
      <c r="A10" s="448" t="s">
        <v>533</v>
      </c>
      <c r="B10" s="449">
        <f>transport!B54</f>
        <v>30.758725071642111</v>
      </c>
      <c r="C10" s="449">
        <f>transport!C54</f>
        <v>0</v>
      </c>
      <c r="D10" s="449">
        <f>transport!D54</f>
        <v>0</v>
      </c>
      <c r="E10" s="449">
        <f>transport!E54</f>
        <v>0</v>
      </c>
      <c r="F10" s="449">
        <f>transport!F54</f>
        <v>0</v>
      </c>
      <c r="G10" s="449">
        <f>transport!G54</f>
        <v>1925.5891796233757</v>
      </c>
      <c r="H10" s="449">
        <f>transport!H54</f>
        <v>0</v>
      </c>
      <c r="I10" s="449">
        <f>transport!I54</f>
        <v>0</v>
      </c>
      <c r="J10" s="449">
        <f>transport!J54</f>
        <v>0</v>
      </c>
      <c r="K10" s="449">
        <f>transport!K54</f>
        <v>0</v>
      </c>
      <c r="L10" s="449">
        <f>transport!L54</f>
        <v>0</v>
      </c>
      <c r="M10" s="449">
        <f>transport!M54</f>
        <v>110.56306699116983</v>
      </c>
      <c r="N10" s="449">
        <f>transport!N54</f>
        <v>0</v>
      </c>
      <c r="O10" s="449">
        <f>transport!O54</f>
        <v>0</v>
      </c>
      <c r="P10" s="450">
        <f>transport!P54</f>
        <v>0</v>
      </c>
      <c r="Q10" s="448">
        <f t="shared" si="0"/>
        <v>2066.9109716861876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4034.125454</v>
      </c>
      <c r="C14" s="456"/>
      <c r="D14" s="456">
        <f>'SEAP template'!E25</f>
        <v>2187.1077480000004</v>
      </c>
      <c r="E14" s="456"/>
      <c r="F14" s="456"/>
      <c r="G14" s="456"/>
      <c r="H14" s="456"/>
      <c r="I14" s="456"/>
      <c r="J14" s="456"/>
      <c r="K14" s="456"/>
      <c r="L14" s="456"/>
      <c r="M14" s="456"/>
      <c r="N14" s="456"/>
      <c r="O14" s="456"/>
      <c r="P14" s="457"/>
      <c r="Q14" s="448">
        <f t="shared" si="0"/>
        <v>6221.2332020000003</v>
      </c>
    </row>
    <row r="15" spans="1:17" s="460" customFormat="1">
      <c r="A15" s="458" t="s">
        <v>537</v>
      </c>
      <c r="B15" s="459">
        <f ca="1">SUM(B4:B14)</f>
        <v>95046.826961072496</v>
      </c>
      <c r="C15" s="459">
        <f t="shared" ref="C15:Q15" ca="1" si="1">SUM(C4:C14)</f>
        <v>23164.714285714286</v>
      </c>
      <c r="D15" s="459">
        <f t="shared" ca="1" si="1"/>
        <v>196502.34901827591</v>
      </c>
      <c r="E15" s="459">
        <f t="shared" si="1"/>
        <v>2567.6722068947238</v>
      </c>
      <c r="F15" s="459">
        <f t="shared" ca="1" si="1"/>
        <v>68942.885912059195</v>
      </c>
      <c r="G15" s="459">
        <f t="shared" si="1"/>
        <v>74122.649668082799</v>
      </c>
      <c r="H15" s="459">
        <f t="shared" si="1"/>
        <v>20243.869096768707</v>
      </c>
      <c r="I15" s="459">
        <f t="shared" si="1"/>
        <v>0</v>
      </c>
      <c r="J15" s="459">
        <f t="shared" si="1"/>
        <v>1865.2780899719835</v>
      </c>
      <c r="K15" s="459">
        <f t="shared" si="1"/>
        <v>0</v>
      </c>
      <c r="L15" s="459">
        <f t="shared" ca="1" si="1"/>
        <v>0</v>
      </c>
      <c r="M15" s="459">
        <f t="shared" si="1"/>
        <v>5691.1095587869622</v>
      </c>
      <c r="N15" s="459">
        <f t="shared" ca="1" si="1"/>
        <v>12514.526479424252</v>
      </c>
      <c r="O15" s="459">
        <f t="shared" si="1"/>
        <v>567.16151161418543</v>
      </c>
      <c r="P15" s="459">
        <f t="shared" si="1"/>
        <v>1357.966143067857</v>
      </c>
      <c r="Q15" s="459">
        <f t="shared" ca="1" si="1"/>
        <v>502587.00893173332</v>
      </c>
    </row>
    <row r="17" spans="1:17">
      <c r="A17" s="461" t="s">
        <v>538</v>
      </c>
      <c r="B17" s="778">
        <f ca="1">huishoudens!B10</f>
        <v>0.15492186961088944</v>
      </c>
      <c r="C17" s="778">
        <f ca="1">huishoudens!C10</f>
        <v>9.8926177564326507E-4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4337.7354750711447</v>
      </c>
      <c r="C22" s="449">
        <f t="shared" ref="C22:C32" ca="1" si="3">C4*$C$17</f>
        <v>0</v>
      </c>
      <c r="D22" s="449">
        <f t="shared" ref="D22:D32" si="4">D4*$D$17</f>
        <v>9877.2889838879164</v>
      </c>
      <c r="E22" s="449">
        <f t="shared" ref="E22:E32" si="5">E4*$E$17</f>
        <v>424.39666918869136</v>
      </c>
      <c r="F22" s="449">
        <f t="shared" ref="F22:F32" si="6">F4*$F$17</f>
        <v>10935.34411165601</v>
      </c>
      <c r="G22" s="449">
        <f t="shared" ref="G22:G32" si="7">G4*$G$17</f>
        <v>0</v>
      </c>
      <c r="H22" s="449">
        <f t="shared" ref="H22:H32" si="8">H4*$H$17</f>
        <v>0</v>
      </c>
      <c r="I22" s="449">
        <f t="shared" ref="I22:I32" si="9">I4*$I$17</f>
        <v>0</v>
      </c>
      <c r="J22" s="449">
        <f t="shared" ref="J22:J32" si="10">J4*$J$17</f>
        <v>82.628800130081757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25657.394039933843</v>
      </c>
    </row>
    <row r="23" spans="1:17">
      <c r="A23" s="448" t="s">
        <v>155</v>
      </c>
      <c r="B23" s="449">
        <f t="shared" ca="1" si="2"/>
        <v>3643.7188852850231</v>
      </c>
      <c r="C23" s="449">
        <f t="shared" ca="1" si="3"/>
        <v>9.5393099794171987E-2</v>
      </c>
      <c r="D23" s="449">
        <f t="shared" ca="1" si="4"/>
        <v>4177.7424677627041</v>
      </c>
      <c r="E23" s="449">
        <f t="shared" si="5"/>
        <v>33.234776836553024</v>
      </c>
      <c r="F23" s="449">
        <f t="shared" ca="1" si="6"/>
        <v>1503.535755609666</v>
      </c>
      <c r="G23" s="449">
        <f t="shared" si="7"/>
        <v>0</v>
      </c>
      <c r="H23" s="449">
        <f t="shared" si="8"/>
        <v>0</v>
      </c>
      <c r="I23" s="449">
        <f t="shared" si="9"/>
        <v>0</v>
      </c>
      <c r="J23" s="449">
        <f t="shared" si="10"/>
        <v>1.4977994289666445E-2</v>
      </c>
      <c r="K23" s="449">
        <f t="shared" si="11"/>
        <v>0</v>
      </c>
      <c r="L23" s="449">
        <f t="shared" ca="1" si="12"/>
        <v>0</v>
      </c>
      <c r="M23" s="449">
        <f t="shared" si="13"/>
        <v>0</v>
      </c>
      <c r="N23" s="449">
        <f t="shared" ca="1" si="14"/>
        <v>0</v>
      </c>
      <c r="O23" s="449">
        <f t="shared" si="15"/>
        <v>0</v>
      </c>
      <c r="P23" s="450">
        <f t="shared" si="16"/>
        <v>0</v>
      </c>
      <c r="Q23" s="448">
        <f t="shared" ref="Q23:Q31" ca="1" si="17">SUM(B23:P23)</f>
        <v>9358.3422565880301</v>
      </c>
    </row>
    <row r="24" spans="1:17">
      <c r="A24" s="448" t="s">
        <v>193</v>
      </c>
      <c r="B24" s="449">
        <f t="shared" ca="1" si="2"/>
        <v>195.23086382901366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195.23086382901366</v>
      </c>
    </row>
    <row r="25" spans="1:17">
      <c r="A25" s="448" t="s">
        <v>111</v>
      </c>
      <c r="B25" s="449">
        <f t="shared" ca="1" si="2"/>
        <v>963.89608577749891</v>
      </c>
      <c r="C25" s="449">
        <f t="shared" ca="1" si="3"/>
        <v>22.82057328676045</v>
      </c>
      <c r="D25" s="449">
        <f t="shared" si="4"/>
        <v>1449.9224748269942</v>
      </c>
      <c r="E25" s="449">
        <f t="shared" si="5"/>
        <v>40.452188223261651</v>
      </c>
      <c r="F25" s="449">
        <f t="shared" si="6"/>
        <v>5258.583738563817</v>
      </c>
      <c r="G25" s="449">
        <f t="shared" si="7"/>
        <v>0</v>
      </c>
      <c r="H25" s="449">
        <f t="shared" si="8"/>
        <v>0</v>
      </c>
      <c r="I25" s="449">
        <f t="shared" si="9"/>
        <v>0</v>
      </c>
      <c r="J25" s="449">
        <f t="shared" si="10"/>
        <v>560.0328173902592</v>
      </c>
      <c r="K25" s="449">
        <f t="shared" si="11"/>
        <v>0</v>
      </c>
      <c r="L25" s="449">
        <f t="shared" si="12"/>
        <v>0</v>
      </c>
      <c r="M25" s="449">
        <f t="shared" si="13"/>
        <v>0</v>
      </c>
      <c r="N25" s="449">
        <f t="shared" si="14"/>
        <v>0</v>
      </c>
      <c r="O25" s="449">
        <f t="shared" si="15"/>
        <v>0</v>
      </c>
      <c r="P25" s="450">
        <f t="shared" si="16"/>
        <v>0</v>
      </c>
      <c r="Q25" s="448">
        <f t="shared" ca="1" si="17"/>
        <v>8295.7078780685915</v>
      </c>
    </row>
    <row r="26" spans="1:17">
      <c r="A26" s="448" t="s">
        <v>617</v>
      </c>
      <c r="B26" s="449">
        <f t="shared" ca="1" si="2"/>
        <v>4918.5723049498602</v>
      </c>
      <c r="C26" s="449">
        <f t="shared" ca="1" si="3"/>
        <v>0</v>
      </c>
      <c r="D26" s="449">
        <f t="shared" si="4"/>
        <v>23663.14664392472</v>
      </c>
      <c r="E26" s="449">
        <f t="shared" si="5"/>
        <v>47.938540104171366</v>
      </c>
      <c r="F26" s="449">
        <f t="shared" si="6"/>
        <v>710.28693269031191</v>
      </c>
      <c r="G26" s="449">
        <f t="shared" si="7"/>
        <v>0</v>
      </c>
      <c r="H26" s="449">
        <f t="shared" si="8"/>
        <v>0</v>
      </c>
      <c r="I26" s="449">
        <f t="shared" si="9"/>
        <v>0</v>
      </c>
      <c r="J26" s="449">
        <f t="shared" si="10"/>
        <v>17.631848335451448</v>
      </c>
      <c r="K26" s="449">
        <f t="shared" si="11"/>
        <v>0</v>
      </c>
      <c r="L26" s="449">
        <f t="shared" si="12"/>
        <v>0</v>
      </c>
      <c r="M26" s="449">
        <f t="shared" si="13"/>
        <v>0</v>
      </c>
      <c r="N26" s="449">
        <f t="shared" si="14"/>
        <v>0</v>
      </c>
      <c r="O26" s="449">
        <f t="shared" si="15"/>
        <v>0</v>
      </c>
      <c r="P26" s="450">
        <f t="shared" si="16"/>
        <v>0</v>
      </c>
      <c r="Q26" s="448">
        <f t="shared" ca="1" si="17"/>
        <v>29357.576270004516</v>
      </c>
    </row>
    <row r="27" spans="1:17" s="454" customFormat="1">
      <c r="A27" s="452" t="s">
        <v>543</v>
      </c>
      <c r="B27" s="772">
        <f t="shared" ca="1" si="2"/>
        <v>35.939061705998853</v>
      </c>
      <c r="C27" s="453">
        <f t="shared" ca="1" si="3"/>
        <v>0</v>
      </c>
      <c r="D27" s="453">
        <f t="shared" si="4"/>
        <v>83.578166193402339</v>
      </c>
      <c r="E27" s="453">
        <f t="shared" si="5"/>
        <v>36.839416612424849</v>
      </c>
      <c r="F27" s="453">
        <f t="shared" si="6"/>
        <v>0</v>
      </c>
      <c r="G27" s="453">
        <f t="shared" si="7"/>
        <v>19276.615150418667</v>
      </c>
      <c r="H27" s="453">
        <f t="shared" si="8"/>
        <v>5040.7234050954085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24473.695200025904</v>
      </c>
    </row>
    <row r="28" spans="1:17" ht="16.5" customHeight="1">
      <c r="A28" s="448" t="s">
        <v>533</v>
      </c>
      <c r="B28" s="449">
        <f t="shared" ca="1" si="2"/>
        <v>4.7651991949461348</v>
      </c>
      <c r="C28" s="449">
        <f t="shared" ca="1" si="3"/>
        <v>0</v>
      </c>
      <c r="D28" s="449">
        <f t="shared" si="4"/>
        <v>0</v>
      </c>
      <c r="E28" s="449">
        <f t="shared" si="5"/>
        <v>0</v>
      </c>
      <c r="F28" s="449">
        <f t="shared" si="6"/>
        <v>0</v>
      </c>
      <c r="G28" s="449">
        <f t="shared" si="7"/>
        <v>514.13231095944138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518.89751015438753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624.97425757855819</v>
      </c>
      <c r="C32" s="449">
        <f t="shared" ca="1" si="3"/>
        <v>0</v>
      </c>
      <c r="D32" s="449">
        <f t="shared" si="4"/>
        <v>441.79576509600008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1066.7700226745583</v>
      </c>
    </row>
    <row r="33" spans="1:17" s="460" customFormat="1">
      <c r="A33" s="458" t="s">
        <v>537</v>
      </c>
      <c r="B33" s="459">
        <f ca="1">SUM(B22:B32)</f>
        <v>14724.832133392041</v>
      </c>
      <c r="C33" s="459">
        <f t="shared" ref="C33:Q33" ca="1" si="19">SUM(C22:C32)</f>
        <v>22.915966386554622</v>
      </c>
      <c r="D33" s="459">
        <f t="shared" ca="1" si="19"/>
        <v>39693.474501691737</v>
      </c>
      <c r="E33" s="459">
        <f t="shared" si="19"/>
        <v>582.86159096510232</v>
      </c>
      <c r="F33" s="459">
        <f t="shared" ca="1" si="19"/>
        <v>18407.750538519806</v>
      </c>
      <c r="G33" s="459">
        <f t="shared" si="19"/>
        <v>19790.747461378109</v>
      </c>
      <c r="H33" s="459">
        <f t="shared" si="19"/>
        <v>5040.7234050954085</v>
      </c>
      <c r="I33" s="459">
        <f t="shared" si="19"/>
        <v>0</v>
      </c>
      <c r="J33" s="459">
        <f t="shared" si="19"/>
        <v>660.30844385008209</v>
      </c>
      <c r="K33" s="459">
        <f t="shared" si="19"/>
        <v>0</v>
      </c>
      <c r="L33" s="459">
        <f t="shared" ca="1" si="19"/>
        <v>0</v>
      </c>
      <c r="M33" s="459">
        <f t="shared" si="19"/>
        <v>0</v>
      </c>
      <c r="N33" s="459">
        <f t="shared" ca="1" si="19"/>
        <v>0</v>
      </c>
      <c r="O33" s="459">
        <f t="shared" si="19"/>
        <v>0</v>
      </c>
      <c r="P33" s="459">
        <f t="shared" si="19"/>
        <v>0</v>
      </c>
      <c r="Q33" s="459">
        <f t="shared" ca="1" si="19"/>
        <v>98923.614041278837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12275.911771382642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16147.8</v>
      </c>
      <c r="C8" s="1016">
        <f>'SEAP template'!C76</f>
        <v>67.499999999999986</v>
      </c>
      <c r="D8" s="1016">
        <f>'SEAP template'!D76</f>
        <v>79.411764705882348</v>
      </c>
      <c r="E8" s="1016">
        <f>'SEAP template'!E76</f>
        <v>0</v>
      </c>
      <c r="F8" s="1016">
        <f>'SEAP template'!F76</f>
        <v>0</v>
      </c>
      <c r="G8" s="1016">
        <f>'SEAP template'!G76</f>
        <v>0</v>
      </c>
      <c r="H8" s="1016">
        <f>'SEAP template'!H76</f>
        <v>0</v>
      </c>
      <c r="I8" s="1016">
        <f>'SEAP template'!I76</f>
        <v>0</v>
      </c>
      <c r="J8" s="1016">
        <f>'SEAP template'!J76</f>
        <v>18997.411764705885</v>
      </c>
      <c r="K8" s="1016">
        <f>'SEAP template'!K76</f>
        <v>0</v>
      </c>
      <c r="L8" s="1016">
        <f>'SEAP template'!L76</f>
        <v>0</v>
      </c>
      <c r="M8" s="1016">
        <f>'SEAP template'!M76</f>
        <v>0</v>
      </c>
      <c r="N8" s="1016">
        <f>'SEAP template'!N76</f>
        <v>0</v>
      </c>
      <c r="O8" s="1016">
        <f>'SEAP template'!O76</f>
        <v>0</v>
      </c>
      <c r="P8" s="1017">
        <f>'SEAP template'!Q76</f>
        <v>16.041176470588237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28423.711771382641</v>
      </c>
      <c r="C10" s="1018">
        <f>SUM(C4:C9)</f>
        <v>67.499999999999986</v>
      </c>
      <c r="D10" s="1018">
        <f t="shared" ref="D10:H10" si="0">SUM(D8:D9)</f>
        <v>79.411764705882348</v>
      </c>
      <c r="E10" s="1018">
        <f t="shared" si="0"/>
        <v>0</v>
      </c>
      <c r="F10" s="1018">
        <f t="shared" si="0"/>
        <v>0</v>
      </c>
      <c r="G10" s="1018">
        <f t="shared" si="0"/>
        <v>0</v>
      </c>
      <c r="H10" s="1018">
        <f t="shared" si="0"/>
        <v>0</v>
      </c>
      <c r="I10" s="1018">
        <f>SUM(I8:I9)</f>
        <v>0</v>
      </c>
      <c r="J10" s="1018">
        <f>SUM(J8:J9)</f>
        <v>18997.411764705885</v>
      </c>
      <c r="K10" s="1018">
        <f t="shared" ref="K10:L10" si="1">SUM(K8:K9)</f>
        <v>0</v>
      </c>
      <c r="L10" s="1018">
        <f t="shared" si="1"/>
        <v>0</v>
      </c>
      <c r="M10" s="1018">
        <f>SUM(M8:M9)</f>
        <v>0</v>
      </c>
      <c r="N10" s="1018">
        <f>SUM(N8:N9)</f>
        <v>0</v>
      </c>
      <c r="O10" s="1018">
        <f>SUM(O8:O9)</f>
        <v>0</v>
      </c>
      <c r="P10" s="1018">
        <f>SUM(P8:P9)</f>
        <v>16.041176470588237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0.15492186961088944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23068.285714285714</v>
      </c>
      <c r="C17" s="1019">
        <f>'SEAP template'!C87</f>
        <v>96.428571428571416</v>
      </c>
      <c r="D17" s="1017">
        <f>'SEAP template'!D87</f>
        <v>113.44537815126051</v>
      </c>
      <c r="E17" s="1017">
        <f>'SEAP template'!E87</f>
        <v>0</v>
      </c>
      <c r="F17" s="1017">
        <f>'SEAP template'!F87</f>
        <v>0</v>
      </c>
      <c r="G17" s="1017">
        <f>'SEAP template'!G87</f>
        <v>0</v>
      </c>
      <c r="H17" s="1017">
        <f>'SEAP template'!H87</f>
        <v>0</v>
      </c>
      <c r="I17" s="1017">
        <f>'SEAP template'!I87</f>
        <v>0</v>
      </c>
      <c r="J17" s="1017">
        <f>'SEAP template'!J87</f>
        <v>27139.15966386555</v>
      </c>
      <c r="K17" s="1017">
        <f>'SEAP template'!K87</f>
        <v>0</v>
      </c>
      <c r="L17" s="1017">
        <f>'SEAP template'!L87</f>
        <v>0</v>
      </c>
      <c r="M17" s="1017">
        <f>'SEAP template'!M87</f>
        <v>0</v>
      </c>
      <c r="N17" s="1017">
        <f>'SEAP template'!N87</f>
        <v>0</v>
      </c>
      <c r="O17" s="1017">
        <f>'SEAP template'!O87</f>
        <v>0</v>
      </c>
      <c r="P17" s="1017">
        <f>'SEAP template'!Q87</f>
        <v>22.915966386554626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23068.285714285714</v>
      </c>
      <c r="C20" s="1018">
        <f>SUM(C17:C19)</f>
        <v>96.428571428571416</v>
      </c>
      <c r="D20" s="1018">
        <f t="shared" ref="D20:H20" si="2">SUM(D17:D19)</f>
        <v>113.44537815126051</v>
      </c>
      <c r="E20" s="1018">
        <f t="shared" si="2"/>
        <v>0</v>
      </c>
      <c r="F20" s="1018">
        <f t="shared" si="2"/>
        <v>0</v>
      </c>
      <c r="G20" s="1018">
        <f t="shared" si="2"/>
        <v>0</v>
      </c>
      <c r="H20" s="1018">
        <f t="shared" si="2"/>
        <v>0</v>
      </c>
      <c r="I20" s="1018">
        <f>SUM(I17:I19)</f>
        <v>0</v>
      </c>
      <c r="J20" s="1018">
        <f>SUM(J17:J19)</f>
        <v>27139.15966386555</v>
      </c>
      <c r="K20" s="1018">
        <f t="shared" ref="K20:L20" si="3">SUM(K17:K19)</f>
        <v>0</v>
      </c>
      <c r="L20" s="1018">
        <f t="shared" si="3"/>
        <v>0</v>
      </c>
      <c r="M20" s="1018">
        <f>SUM(M17:M19)</f>
        <v>0</v>
      </c>
      <c r="N20" s="1018">
        <f>SUM(N17:N19)</f>
        <v>0</v>
      </c>
      <c r="O20" s="1018">
        <f>SUM(O17:O19)</f>
        <v>0</v>
      </c>
      <c r="P20" s="1018">
        <f>SUM(P17:P19)</f>
        <v>22.915966386554626</v>
      </c>
    </row>
    <row r="21" spans="1:16">
      <c r="B21" s="883"/>
    </row>
    <row r="22" spans="1:16">
      <c r="A22" s="461" t="s">
        <v>755</v>
      </c>
      <c r="B22" s="778" t="s">
        <v>753</v>
      </c>
      <c r="C22" s="778">
        <f ca="1">'EF ele_warmte'!B22</f>
        <v>9.8926177564326507E-4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0.15492186961088944</v>
      </c>
      <c r="C17" s="498">
        <f ca="1">'EF ele_warmte'!B22</f>
        <v>9.8926177564326507E-4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0.15492186961088944</v>
      </c>
      <c r="C17" s="498">
        <f ca="1">'EF ele_warmte'!B22</f>
        <v>9.8926177564326507E-4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0.15492186961088944</v>
      </c>
      <c r="C29" s="499">
        <f ca="1">'EF ele_warmte'!B22</f>
        <v>9.8926177564326507E-4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6883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4041.24</v>
      </c>
      <c r="C14" s="326"/>
      <c r="D14" s="326"/>
      <c r="E14" s="326"/>
      <c r="F14" s="326"/>
    </row>
    <row r="15" spans="1:6">
      <c r="A15" s="1312" t="s">
        <v>183</v>
      </c>
      <c r="B15" s="1313">
        <v>2628</v>
      </c>
      <c r="C15" s="326"/>
      <c r="D15" s="326"/>
      <c r="E15" s="326"/>
      <c r="F15" s="326"/>
    </row>
    <row r="16" spans="1:6">
      <c r="A16" s="1312" t="s">
        <v>6</v>
      </c>
      <c r="B16" s="1313">
        <v>4142</v>
      </c>
      <c r="C16" s="326"/>
      <c r="D16" s="326"/>
      <c r="E16" s="326"/>
      <c r="F16" s="326"/>
    </row>
    <row r="17" spans="1:6">
      <c r="A17" s="1312" t="s">
        <v>7</v>
      </c>
      <c r="B17" s="1313">
        <v>199</v>
      </c>
      <c r="C17" s="326"/>
      <c r="D17" s="326"/>
      <c r="E17" s="326"/>
      <c r="F17" s="326"/>
    </row>
    <row r="18" spans="1:6">
      <c r="A18" s="1312" t="s">
        <v>8</v>
      </c>
      <c r="B18" s="1313">
        <v>2027</v>
      </c>
      <c r="C18" s="326"/>
      <c r="D18" s="326"/>
      <c r="E18" s="326"/>
      <c r="F18" s="326"/>
    </row>
    <row r="19" spans="1:6">
      <c r="A19" s="1312" t="s">
        <v>9</v>
      </c>
      <c r="B19" s="1313">
        <v>2071</v>
      </c>
      <c r="C19" s="326"/>
      <c r="D19" s="326"/>
      <c r="E19" s="326"/>
      <c r="F19" s="326"/>
    </row>
    <row r="20" spans="1:6">
      <c r="A20" s="1312" t="s">
        <v>10</v>
      </c>
      <c r="B20" s="1313">
        <v>986</v>
      </c>
      <c r="C20" s="326"/>
      <c r="D20" s="326"/>
      <c r="E20" s="326"/>
      <c r="F20" s="326"/>
    </row>
    <row r="21" spans="1:6">
      <c r="A21" s="1312" t="s">
        <v>11</v>
      </c>
      <c r="B21" s="1313">
        <v>9881</v>
      </c>
      <c r="C21" s="326"/>
      <c r="D21" s="326"/>
      <c r="E21" s="326"/>
      <c r="F21" s="326"/>
    </row>
    <row r="22" spans="1:6">
      <c r="A22" s="1312" t="s">
        <v>12</v>
      </c>
      <c r="B22" s="1313">
        <v>26002</v>
      </c>
      <c r="C22" s="326"/>
      <c r="D22" s="326"/>
      <c r="E22" s="326"/>
      <c r="F22" s="326"/>
    </row>
    <row r="23" spans="1:6">
      <c r="A23" s="1312" t="s">
        <v>13</v>
      </c>
      <c r="B23" s="1313">
        <v>453</v>
      </c>
      <c r="C23" s="326"/>
      <c r="D23" s="326"/>
      <c r="E23" s="326"/>
      <c r="F23" s="326"/>
    </row>
    <row r="24" spans="1:6">
      <c r="A24" s="1312" t="s">
        <v>14</v>
      </c>
      <c r="B24" s="1313">
        <v>16</v>
      </c>
      <c r="C24" s="326"/>
      <c r="D24" s="326"/>
      <c r="E24" s="326"/>
      <c r="F24" s="326"/>
    </row>
    <row r="25" spans="1:6">
      <c r="A25" s="1312" t="s">
        <v>15</v>
      </c>
      <c r="B25" s="1313">
        <v>2466</v>
      </c>
      <c r="C25" s="326"/>
      <c r="D25" s="326"/>
      <c r="E25" s="326"/>
      <c r="F25" s="326"/>
    </row>
    <row r="26" spans="1:6">
      <c r="A26" s="1312" t="s">
        <v>16</v>
      </c>
      <c r="B26" s="1313">
        <v>168</v>
      </c>
      <c r="C26" s="326"/>
      <c r="D26" s="326"/>
      <c r="E26" s="326"/>
      <c r="F26" s="326"/>
    </row>
    <row r="27" spans="1:6">
      <c r="A27" s="1312" t="s">
        <v>17</v>
      </c>
      <c r="B27" s="1313">
        <v>4</v>
      </c>
      <c r="C27" s="326"/>
      <c r="D27" s="326"/>
      <c r="E27" s="326"/>
      <c r="F27" s="326"/>
    </row>
    <row r="28" spans="1:6" s="43" customFormat="1">
      <c r="A28" s="1314" t="s">
        <v>18</v>
      </c>
      <c r="B28" s="1315">
        <v>465352</v>
      </c>
      <c r="C28" s="332"/>
      <c r="D28" s="332"/>
      <c r="E28" s="332"/>
      <c r="F28" s="332"/>
    </row>
    <row r="29" spans="1:6">
      <c r="A29" s="1314" t="s">
        <v>684</v>
      </c>
      <c r="B29" s="1315">
        <v>333</v>
      </c>
      <c r="C29" s="332"/>
      <c r="D29" s="332"/>
      <c r="E29" s="332"/>
      <c r="F29" s="332"/>
    </row>
    <row r="30" spans="1:6">
      <c r="A30" s="1307" t="s">
        <v>685</v>
      </c>
      <c r="B30" s="1316">
        <v>89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46</v>
      </c>
      <c r="F36" s="1313">
        <v>1182693.459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4046</v>
      </c>
      <c r="D39" s="1313">
        <v>54150022.388999902</v>
      </c>
      <c r="E39" s="1313">
        <v>7037</v>
      </c>
      <c r="F39" s="1313">
        <v>20495601.074999899</v>
      </c>
    </row>
    <row r="40" spans="1:6">
      <c r="A40" s="1312" t="s">
        <v>29</v>
      </c>
      <c r="B40" s="1312" t="s">
        <v>28</v>
      </c>
      <c r="C40" s="1313">
        <v>0</v>
      </c>
      <c r="D40" s="1313">
        <v>0</v>
      </c>
      <c r="E40" s="1313">
        <v>0</v>
      </c>
      <c r="F40" s="1313">
        <v>0</v>
      </c>
    </row>
    <row r="41" spans="1:6">
      <c r="A41" s="1312" t="s">
        <v>31</v>
      </c>
      <c r="B41" s="1312" t="s">
        <v>32</v>
      </c>
      <c r="C41" s="1313">
        <v>65</v>
      </c>
      <c r="D41" s="1313">
        <v>1770516.953</v>
      </c>
      <c r="E41" s="1313">
        <v>164</v>
      </c>
      <c r="F41" s="1313">
        <v>2209980.8530000001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16</v>
      </c>
      <c r="D44" s="1313">
        <v>5683156.7149999999</v>
      </c>
      <c r="E44" s="1313">
        <v>42</v>
      </c>
      <c r="F44" s="1313">
        <v>6149275.0429999996</v>
      </c>
    </row>
    <row r="45" spans="1:6">
      <c r="A45" s="1312" t="s">
        <v>31</v>
      </c>
      <c r="B45" s="1312" t="s">
        <v>36</v>
      </c>
      <c r="C45" s="1313">
        <v>6</v>
      </c>
      <c r="D45" s="1313">
        <v>159941.33300000001</v>
      </c>
      <c r="E45" s="1313">
        <v>10</v>
      </c>
      <c r="F45" s="1313">
        <v>962162.66200000001</v>
      </c>
    </row>
    <row r="46" spans="1:6">
      <c r="A46" s="1312" t="s">
        <v>31</v>
      </c>
      <c r="B46" s="1312" t="s">
        <v>37</v>
      </c>
      <c r="C46" s="1313">
        <v>0</v>
      </c>
      <c r="D46" s="1313">
        <v>0</v>
      </c>
      <c r="E46" s="1313">
        <v>0</v>
      </c>
      <c r="F46" s="1313">
        <v>0</v>
      </c>
    </row>
    <row r="47" spans="1:6">
      <c r="A47" s="1312" t="s">
        <v>31</v>
      </c>
      <c r="B47" s="1312" t="s">
        <v>38</v>
      </c>
      <c r="C47" s="1313">
        <v>4</v>
      </c>
      <c r="D47" s="1313">
        <v>108491.33500000001</v>
      </c>
      <c r="E47" s="1313">
        <v>6</v>
      </c>
      <c r="F47" s="1313">
        <v>80353.004000000001</v>
      </c>
    </row>
    <row r="48" spans="1:6">
      <c r="A48" s="1312" t="s">
        <v>31</v>
      </c>
      <c r="B48" s="1312" t="s">
        <v>28</v>
      </c>
      <c r="C48" s="1313">
        <v>3</v>
      </c>
      <c r="D48" s="1313">
        <v>1307724.236</v>
      </c>
      <c r="E48" s="1313">
        <v>5</v>
      </c>
      <c r="F48" s="1313">
        <v>1901104.96</v>
      </c>
    </row>
    <row r="49" spans="1:6">
      <c r="A49" s="1312" t="s">
        <v>31</v>
      </c>
      <c r="B49" s="1312" t="s">
        <v>39</v>
      </c>
      <c r="C49" s="1313">
        <v>0</v>
      </c>
      <c r="D49" s="1313">
        <v>0</v>
      </c>
      <c r="E49" s="1313">
        <v>0</v>
      </c>
      <c r="F49" s="1313">
        <v>0</v>
      </c>
    </row>
    <row r="50" spans="1:6">
      <c r="A50" s="1312" t="s">
        <v>31</v>
      </c>
      <c r="B50" s="1312" t="s">
        <v>40</v>
      </c>
      <c r="C50" s="1313">
        <v>9</v>
      </c>
      <c r="D50" s="1313">
        <v>120698065.68099999</v>
      </c>
      <c r="E50" s="1313">
        <v>13</v>
      </c>
      <c r="F50" s="1313">
        <v>20445851.513</v>
      </c>
    </row>
    <row r="51" spans="1:6">
      <c r="A51" s="1312" t="s">
        <v>41</v>
      </c>
      <c r="B51" s="1312" t="s">
        <v>42</v>
      </c>
      <c r="C51" s="1313">
        <v>11</v>
      </c>
      <c r="D51" s="1313">
        <v>7948874.8990000002</v>
      </c>
      <c r="E51" s="1313">
        <v>136</v>
      </c>
      <c r="F51" s="1313">
        <v>6221820.6390000004</v>
      </c>
    </row>
    <row r="52" spans="1:6">
      <c r="A52" s="1312" t="s">
        <v>41</v>
      </c>
      <c r="B52" s="1312" t="s">
        <v>28</v>
      </c>
      <c r="C52" s="1313">
        <v>0</v>
      </c>
      <c r="D52" s="1313">
        <v>0</v>
      </c>
      <c r="E52" s="1313">
        <v>0</v>
      </c>
      <c r="F52" s="1313">
        <v>0</v>
      </c>
    </row>
    <row r="53" spans="1:6">
      <c r="A53" s="1312" t="s">
        <v>43</v>
      </c>
      <c r="B53" s="1312" t="s">
        <v>44</v>
      </c>
      <c r="C53" s="1313">
        <v>53</v>
      </c>
      <c r="D53" s="1313">
        <v>2187107.7480000001</v>
      </c>
      <c r="E53" s="1313">
        <v>192</v>
      </c>
      <c r="F53" s="1313">
        <v>4034125.4539999999</v>
      </c>
    </row>
    <row r="54" spans="1:6">
      <c r="A54" s="1312" t="s">
        <v>45</v>
      </c>
      <c r="B54" s="1312" t="s">
        <v>46</v>
      </c>
      <c r="C54" s="1313">
        <v>0</v>
      </c>
      <c r="D54" s="1313">
        <v>0</v>
      </c>
      <c r="E54" s="1313">
        <v>3</v>
      </c>
      <c r="F54" s="1313">
        <v>1260189.18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51</v>
      </c>
      <c r="D57" s="1313">
        <v>4237547.55</v>
      </c>
      <c r="E57" s="1313">
        <v>110</v>
      </c>
      <c r="F57" s="1313">
        <v>4183310.0959999999</v>
      </c>
    </row>
    <row r="58" spans="1:6">
      <c r="A58" s="1312" t="s">
        <v>48</v>
      </c>
      <c r="B58" s="1312" t="s">
        <v>50</v>
      </c>
      <c r="C58" s="1313">
        <v>33</v>
      </c>
      <c r="D58" s="1313">
        <v>2487000.7990000001</v>
      </c>
      <c r="E58" s="1313">
        <v>56</v>
      </c>
      <c r="F58" s="1313">
        <v>1300581.8659999999</v>
      </c>
    </row>
    <row r="59" spans="1:6">
      <c r="A59" s="1312" t="s">
        <v>48</v>
      </c>
      <c r="B59" s="1312" t="s">
        <v>51</v>
      </c>
      <c r="C59" s="1313">
        <v>130</v>
      </c>
      <c r="D59" s="1313">
        <v>7492816.7120000003</v>
      </c>
      <c r="E59" s="1313">
        <v>281</v>
      </c>
      <c r="F59" s="1313">
        <v>11435803.369000001</v>
      </c>
    </row>
    <row r="60" spans="1:6">
      <c r="A60" s="1312" t="s">
        <v>48</v>
      </c>
      <c r="B60" s="1312" t="s">
        <v>52</v>
      </c>
      <c r="C60" s="1313">
        <v>73</v>
      </c>
      <c r="D60" s="1313">
        <v>3738370.5090000001</v>
      </c>
      <c r="E60" s="1313">
        <v>161</v>
      </c>
      <c r="F60" s="1313">
        <v>3113654.1540000001</v>
      </c>
    </row>
    <row r="61" spans="1:6">
      <c r="A61" s="1312" t="s">
        <v>48</v>
      </c>
      <c r="B61" s="1312" t="s">
        <v>53</v>
      </c>
      <c r="C61" s="1313">
        <v>155</v>
      </c>
      <c r="D61" s="1313">
        <v>4376463.6109999996</v>
      </c>
      <c r="E61" s="1313">
        <v>301</v>
      </c>
      <c r="F61" s="1313">
        <v>3192835.7859999998</v>
      </c>
    </row>
    <row r="62" spans="1:6">
      <c r="A62" s="1312" t="s">
        <v>48</v>
      </c>
      <c r="B62" s="1312" t="s">
        <v>54</v>
      </c>
      <c r="C62" s="1313">
        <v>12</v>
      </c>
      <c r="D62" s="1313">
        <v>784911.06</v>
      </c>
      <c r="E62" s="1313">
        <v>18</v>
      </c>
      <c r="F62" s="1313">
        <v>226034.02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153084.26</v>
      </c>
      <c r="E65" s="1313">
        <v>0</v>
      </c>
      <c r="F65" s="1313">
        <v>0</v>
      </c>
    </row>
    <row r="66" spans="1:6">
      <c r="A66" s="1312" t="s">
        <v>55</v>
      </c>
      <c r="B66" s="1312" t="s">
        <v>57</v>
      </c>
      <c r="C66" s="1313">
        <v>0</v>
      </c>
      <c r="D66" s="1313">
        <v>0</v>
      </c>
      <c r="E66" s="1313">
        <v>23</v>
      </c>
      <c r="F66" s="1313">
        <v>368053.28200000001</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138592.59599999999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95464313</v>
      </c>
      <c r="E73" s="447"/>
      <c r="F73" s="326"/>
    </row>
    <row r="74" spans="1:6">
      <c r="A74" s="1312" t="s">
        <v>63</v>
      </c>
      <c r="B74" s="1312" t="s">
        <v>638</v>
      </c>
      <c r="C74" s="1326" t="s">
        <v>640</v>
      </c>
      <c r="D74" s="1327">
        <v>8659687.3913596999</v>
      </c>
      <c r="E74" s="447"/>
      <c r="F74" s="326"/>
    </row>
    <row r="75" spans="1:6">
      <c r="A75" s="1312" t="s">
        <v>64</v>
      </c>
      <c r="B75" s="1312" t="s">
        <v>637</v>
      </c>
      <c r="C75" s="1326" t="s">
        <v>641</v>
      </c>
      <c r="D75" s="1327">
        <v>18688868</v>
      </c>
      <c r="E75" s="447"/>
      <c r="F75" s="326"/>
    </row>
    <row r="76" spans="1:6">
      <c r="A76" s="1312" t="s">
        <v>64</v>
      </c>
      <c r="B76" s="1312" t="s">
        <v>638</v>
      </c>
      <c r="C76" s="1326" t="s">
        <v>642</v>
      </c>
      <c r="D76" s="1327">
        <v>353583.39135969902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573717.21728060197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7503.9027133680493</v>
      </c>
      <c r="C91" s="326"/>
      <c r="D91" s="326"/>
      <c r="E91" s="326"/>
      <c r="F91" s="326"/>
    </row>
    <row r="92" spans="1:6">
      <c r="A92" s="1307" t="s">
        <v>68</v>
      </c>
      <c r="B92" s="1308">
        <v>4772.0090580145934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913</v>
      </c>
      <c r="C97" s="326"/>
      <c r="D97" s="326"/>
      <c r="E97" s="326"/>
      <c r="F97" s="326"/>
    </row>
    <row r="98" spans="1:6">
      <c r="A98" s="1312" t="s">
        <v>71</v>
      </c>
      <c r="B98" s="1313">
        <v>1</v>
      </c>
      <c r="C98" s="326"/>
      <c r="D98" s="326"/>
      <c r="E98" s="326"/>
      <c r="F98" s="326"/>
    </row>
    <row r="99" spans="1:6">
      <c r="A99" s="1312" t="s">
        <v>72</v>
      </c>
      <c r="B99" s="1313">
        <v>40</v>
      </c>
      <c r="C99" s="326"/>
      <c r="D99" s="326"/>
      <c r="E99" s="326"/>
      <c r="F99" s="326"/>
    </row>
    <row r="100" spans="1:6">
      <c r="A100" s="1312" t="s">
        <v>73</v>
      </c>
      <c r="B100" s="1313">
        <v>210</v>
      </c>
      <c r="C100" s="326"/>
      <c r="D100" s="326"/>
      <c r="E100" s="326"/>
      <c r="F100" s="326"/>
    </row>
    <row r="101" spans="1:6">
      <c r="A101" s="1312" t="s">
        <v>74</v>
      </c>
      <c r="B101" s="1313">
        <v>42</v>
      </c>
      <c r="C101" s="326"/>
      <c r="D101" s="326"/>
      <c r="E101" s="326"/>
      <c r="F101" s="326"/>
    </row>
    <row r="102" spans="1:6">
      <c r="A102" s="1312" t="s">
        <v>75</v>
      </c>
      <c r="B102" s="1313">
        <v>57</v>
      </c>
      <c r="C102" s="326"/>
      <c r="D102" s="326"/>
      <c r="E102" s="326"/>
      <c r="F102" s="326"/>
    </row>
    <row r="103" spans="1:6">
      <c r="A103" s="1312" t="s">
        <v>76</v>
      </c>
      <c r="B103" s="1313">
        <v>93</v>
      </c>
      <c r="C103" s="326"/>
      <c r="D103" s="326"/>
      <c r="E103" s="326"/>
      <c r="F103" s="326"/>
    </row>
    <row r="104" spans="1:6">
      <c r="A104" s="1312" t="s">
        <v>77</v>
      </c>
      <c r="B104" s="1313">
        <v>3845</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43</v>
      </c>
      <c r="C123" s="1313">
        <v>55</v>
      </c>
      <c r="D123" s="326"/>
      <c r="E123" s="326"/>
      <c r="F123" s="326"/>
    </row>
    <row r="124" spans="1:6" s="43" customFormat="1">
      <c r="A124" s="1314" t="s">
        <v>88</v>
      </c>
      <c r="B124" s="1335">
        <v>3</v>
      </c>
      <c r="C124" s="1335">
        <v>6</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215</v>
      </c>
      <c r="C129" s="326"/>
      <c r="D129" s="326"/>
      <c r="E129" s="326"/>
      <c r="F129" s="326"/>
    </row>
    <row r="130" spans="1:6">
      <c r="A130" s="1312" t="s">
        <v>290</v>
      </c>
      <c r="B130" s="1313">
        <v>4</v>
      </c>
      <c r="C130" s="326"/>
      <c r="D130" s="326"/>
      <c r="E130" s="326"/>
      <c r="F130" s="326"/>
    </row>
    <row r="131" spans="1:6">
      <c r="A131" s="1312" t="s">
        <v>291</v>
      </c>
      <c r="B131" s="1313">
        <v>6</v>
      </c>
      <c r="C131" s="326"/>
      <c r="D131" s="326"/>
      <c r="E131" s="326"/>
      <c r="F131" s="326"/>
    </row>
    <row r="132" spans="1:6">
      <c r="A132" s="1307" t="s">
        <v>292</v>
      </c>
      <c r="B132" s="1308">
        <v>48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95046.826961072482</v>
      </c>
      <c r="C3" s="43" t="s">
        <v>169</v>
      </c>
      <c r="D3" s="43"/>
      <c r="E3" s="154"/>
      <c r="F3" s="43"/>
      <c r="G3" s="43"/>
      <c r="H3" s="43"/>
      <c r="I3" s="43"/>
      <c r="J3" s="43"/>
      <c r="K3" s="96"/>
    </row>
    <row r="4" spans="1:11">
      <c r="A4" s="354" t="s">
        <v>170</v>
      </c>
      <c r="B4" s="49">
        <f>IF(ISERROR('SEAP template'!B78+'SEAP template'!C78),0,'SEAP template'!B78+'SEAP template'!C78)</f>
        <v>28491.211771382641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16.041176470588237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0.15492186961088944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22.915966386554626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23164.714285714286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9.8926177564326507E-4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1260.1891799999999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1260.1891799999999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0.15492186961088944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195.23086382901366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20495.6010749999</v>
      </c>
      <c r="C5" s="17">
        <f>IF(ISERROR('Eigen informatie GS &amp; warmtenet'!B59),0,'Eigen informatie GS &amp; warmtenet'!B59)</f>
        <v>0</v>
      </c>
      <c r="D5" s="30">
        <f>(SUM(HH_hh_gas_kWh,HH_rest_gas_kWh)/1000)*0.903</f>
        <v>48897.470217266913</v>
      </c>
      <c r="E5" s="17">
        <f>B32*B41</f>
        <v>1869.5888510515038</v>
      </c>
      <c r="F5" s="17">
        <f>B36*B45</f>
        <v>40956.344987475692</v>
      </c>
      <c r="G5" s="18"/>
      <c r="H5" s="17"/>
      <c r="I5" s="17"/>
      <c r="J5" s="17">
        <f>B35*B44+C35*C44</f>
        <v>233.41468963299931</v>
      </c>
      <c r="K5" s="17"/>
      <c r="L5" s="17"/>
      <c r="M5" s="17"/>
      <c r="N5" s="17">
        <f>B34*B43+C34*C43</f>
        <v>9272.2406524680409</v>
      </c>
      <c r="O5" s="17">
        <f>B52*B53*B54</f>
        <v>547.57246855082076</v>
      </c>
      <c r="P5" s="17">
        <f>B60*B61*B62/1000-B60*B61*B62/1000/B63</f>
        <v>990.19217492239204</v>
      </c>
    </row>
    <row r="6" spans="1:16">
      <c r="A6" s="16" t="s">
        <v>603</v>
      </c>
      <c r="B6" s="780">
        <f>kWh_PV_kleiner_dan_10kW</f>
        <v>7503.9027133680493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27999.503788367951</v>
      </c>
      <c r="C8" s="21">
        <f>C5</f>
        <v>0</v>
      </c>
      <c r="D8" s="21">
        <f>D5</f>
        <v>48897.470217266913</v>
      </c>
      <c r="E8" s="21">
        <f>E5</f>
        <v>1869.5888510515038</v>
      </c>
      <c r="F8" s="21">
        <f>F5</f>
        <v>40956.344987475692</v>
      </c>
      <c r="G8" s="21"/>
      <c r="H8" s="21"/>
      <c r="I8" s="21"/>
      <c r="J8" s="21">
        <f>J5</f>
        <v>233.41468963299931</v>
      </c>
      <c r="K8" s="21"/>
      <c r="L8" s="21">
        <f>L5</f>
        <v>0</v>
      </c>
      <c r="M8" s="21">
        <f>M5</f>
        <v>0</v>
      </c>
      <c r="N8" s="21">
        <f>N5</f>
        <v>9272.2406524680409</v>
      </c>
      <c r="O8" s="21">
        <f>O5</f>
        <v>547.57246855082076</v>
      </c>
      <c r="P8" s="21">
        <f>P5</f>
        <v>990.19217492239204</v>
      </c>
    </row>
    <row r="9" spans="1:16">
      <c r="B9" s="19"/>
      <c r="C9" s="19"/>
      <c r="D9" s="254"/>
      <c r="E9" s="19"/>
      <c r="F9" s="19"/>
      <c r="G9" s="19"/>
      <c r="H9" s="19"/>
      <c r="I9" s="19"/>
      <c r="J9" s="19"/>
      <c r="K9" s="19"/>
      <c r="L9" s="19"/>
      <c r="M9" s="19"/>
      <c r="N9" s="19"/>
      <c r="O9" s="19"/>
      <c r="P9" s="19"/>
    </row>
    <row r="10" spans="1:16">
      <c r="A10" s="24" t="s">
        <v>213</v>
      </c>
      <c r="B10" s="25">
        <f ca="1">'EF ele_warmte'!B12</f>
        <v>0.15492186961088944</v>
      </c>
      <c r="C10" s="25">
        <f ca="1">'EF ele_warmte'!B22</f>
        <v>9.8926177564326507E-4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4337.7354750711447</v>
      </c>
      <c r="C12" s="23">
        <f ca="1">C10*C8</f>
        <v>0</v>
      </c>
      <c r="D12" s="23">
        <f>D8*D10</f>
        <v>9877.2889838879164</v>
      </c>
      <c r="E12" s="23">
        <f>E10*E8</f>
        <v>424.39666918869136</v>
      </c>
      <c r="F12" s="23">
        <f>F10*F8</f>
        <v>10935.34411165601</v>
      </c>
      <c r="G12" s="23"/>
      <c r="H12" s="23"/>
      <c r="I12" s="23"/>
      <c r="J12" s="23">
        <f>J10*J8</f>
        <v>82.628800130081757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6883</v>
      </c>
      <c r="C26" s="36"/>
      <c r="D26" s="225"/>
    </row>
    <row r="27" spans="1:5" s="15" customFormat="1">
      <c r="A27" s="227" t="s">
        <v>866</v>
      </c>
      <c r="B27" s="37">
        <f>SUM(HH_hh_gas_aantal,HH_rest_gas_aantal)</f>
        <v>4046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3843.7</v>
      </c>
      <c r="C31" s="34" t="s">
        <v>110</v>
      </c>
      <c r="D31" s="171"/>
    </row>
    <row r="32" spans="1:5">
      <c r="A32" s="168" t="s">
        <v>72</v>
      </c>
      <c r="B32" s="33">
        <f>IF((B21*($B$26-($B$27-0.05*$B$27)-$B$60))&lt;0,0,(B21*($B$26-($B$27-0.05*$B$27)-$B$60)))</f>
        <v>46.757222713245866</v>
      </c>
      <c r="C32" s="34" t="s">
        <v>110</v>
      </c>
      <c r="D32" s="171"/>
    </row>
    <row r="33" spans="1:6">
      <c r="A33" s="168" t="s">
        <v>73</v>
      </c>
      <c r="B33" s="33">
        <f>IF((B22*($B$26-($B$27-0.05*$B$27)-$B$60))&lt;0,0,B22*($B$26-($B$27-0.05*$B$27)-$B$60))</f>
        <v>759.24469316712157</v>
      </c>
      <c r="C33" s="34" t="s">
        <v>110</v>
      </c>
      <c r="D33" s="171"/>
    </row>
    <row r="34" spans="1:6">
      <c r="A34" s="168" t="s">
        <v>74</v>
      </c>
      <c r="B34" s="33">
        <f>IF((B24*($B$26-($B$27-0.05*$B$27)-$B$60))&lt;0,0,B24*($B$26-($B$27-0.05*$B$27)-$B$60))</f>
        <v>145.55736824498351</v>
      </c>
      <c r="C34" s="33">
        <f>B26*C24</f>
        <v>1410.3675836884436</v>
      </c>
      <c r="D34" s="230"/>
    </row>
    <row r="35" spans="1:6">
      <c r="A35" s="168" t="s">
        <v>76</v>
      </c>
      <c r="B35" s="33">
        <f>IF((B19*($B$26-($B$27-0.05*$B$27)-$B$60))&lt;0,0,B19*($B$26-($B$27-0.05*$B$27)-$B$60))</f>
        <v>20.325253241177879</v>
      </c>
      <c r="C35" s="33">
        <f>B35/2</f>
        <v>10.16262662058894</v>
      </c>
      <c r="D35" s="230"/>
    </row>
    <row r="36" spans="1:6">
      <c r="A36" s="168" t="s">
        <v>77</v>
      </c>
      <c r="B36" s="33">
        <f>IF((B18*($B$26-($B$27-0.05*$B$27)-$B$60))&lt;0,0,B18*($B$26-($B$27-0.05*$B$27)-$B$60))</f>
        <v>1973.415462633471</v>
      </c>
      <c r="C36" s="34" t="s">
        <v>110</v>
      </c>
      <c r="D36" s="171"/>
    </row>
    <row r="37" spans="1:6">
      <c r="A37" s="168" t="s">
        <v>78</v>
      </c>
      <c r="B37" s="33">
        <f>B60</f>
        <v>94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23452.219291000001</v>
      </c>
      <c r="C5" s="17">
        <f>IF(ISERROR('Eigen informatie GS &amp; warmtenet'!B60),0,'Eigen informatie GS &amp; warmtenet'!B60)</f>
        <v>0</v>
      </c>
      <c r="D5" s="30">
        <f>SUM(D6:D12)</f>
        <v>20874.750547623</v>
      </c>
      <c r="E5" s="17">
        <f>SUM(E6:E12)</f>
        <v>146.4087085310706</v>
      </c>
      <c r="F5" s="17">
        <f>SUM(F6:F12)</f>
        <v>5631.2200584631682</v>
      </c>
      <c r="G5" s="18"/>
      <c r="H5" s="17"/>
      <c r="I5" s="17"/>
      <c r="J5" s="17">
        <f>SUM(J6:J12)</f>
        <v>4.2310718332391091E-2</v>
      </c>
      <c r="K5" s="17"/>
      <c r="L5" s="17"/>
      <c r="M5" s="17"/>
      <c r="N5" s="17">
        <f>SUM(N6:N12)</f>
        <v>1619.5040818059251</v>
      </c>
      <c r="O5" s="17">
        <f>B38*B39*B40</f>
        <v>19.589043063364617</v>
      </c>
      <c r="P5" s="17">
        <f>B46*B47*B48/1000-B46*B47*B48/1000/B49</f>
        <v>367.77396814546512</v>
      </c>
      <c r="R5" s="32"/>
    </row>
    <row r="6" spans="1:18">
      <c r="A6" s="32" t="s">
        <v>53</v>
      </c>
      <c r="B6" s="37">
        <f>B26</f>
        <v>3192.8357859999996</v>
      </c>
      <c r="C6" s="33"/>
      <c r="D6" s="37">
        <f>IF(ISERROR(TER_kantoor_gas_kWh/1000),0,TER_kantoor_gas_kWh/1000)*0.903</f>
        <v>3951.9466407329992</v>
      </c>
      <c r="E6" s="33">
        <f>$C$26*'E Balans VL '!I12/100/3.6*1000000</f>
        <v>0.76075865999800774</v>
      </c>
      <c r="F6" s="33">
        <f>$C$26*('E Balans VL '!L12+'E Balans VL '!N12)/100/3.6*1000000</f>
        <v>277.32906550903112</v>
      </c>
      <c r="G6" s="34"/>
      <c r="H6" s="33"/>
      <c r="I6" s="33"/>
      <c r="J6" s="33">
        <f>$C$26*('E Balans VL '!D12+'E Balans VL '!E12)/100/3.6*1000000</f>
        <v>0</v>
      </c>
      <c r="K6" s="33"/>
      <c r="L6" s="33"/>
      <c r="M6" s="33"/>
      <c r="N6" s="33">
        <f>$C$26*'E Balans VL '!Y12/100/3.6*1000000</f>
        <v>4.2676717063509981</v>
      </c>
      <c r="O6" s="33"/>
      <c r="P6" s="33"/>
      <c r="R6" s="32"/>
    </row>
    <row r="7" spans="1:18">
      <c r="A7" s="32" t="s">
        <v>52</v>
      </c>
      <c r="B7" s="37">
        <f t="shared" ref="B7:B12" si="0">B27</f>
        <v>3113.6541540000003</v>
      </c>
      <c r="C7" s="33"/>
      <c r="D7" s="37">
        <f>IF(ISERROR(TER_horeca_gas_kWh/1000),0,TER_horeca_gas_kWh/1000)*0.903</f>
        <v>3375.7485696270001</v>
      </c>
      <c r="E7" s="33">
        <f>$C$27*'E Balans VL '!I9/100/3.6*1000000</f>
        <v>0</v>
      </c>
      <c r="F7" s="33">
        <f>$C$27*('E Balans VL '!L9+'E Balans VL '!N9)/100/3.6*1000000</f>
        <v>253.70646446009741</v>
      </c>
      <c r="G7" s="34"/>
      <c r="H7" s="33"/>
      <c r="I7" s="33"/>
      <c r="J7" s="33">
        <f>$C$27*('E Balans VL '!D9+'E Balans VL '!E9)/100/3.6*1000000</f>
        <v>0</v>
      </c>
      <c r="K7" s="33"/>
      <c r="L7" s="33"/>
      <c r="M7" s="33"/>
      <c r="N7" s="33">
        <f>$C$27*'E Balans VL '!Y9/100/3.6*1000000</f>
        <v>0.86242423266642998</v>
      </c>
      <c r="O7" s="33"/>
      <c r="P7" s="33"/>
      <c r="R7" s="32"/>
    </row>
    <row r="8" spans="1:18">
      <c r="A8" s="6" t="s">
        <v>51</v>
      </c>
      <c r="B8" s="37">
        <f t="shared" si="0"/>
        <v>11435.803369000001</v>
      </c>
      <c r="C8" s="33"/>
      <c r="D8" s="37">
        <f>IF(ISERROR(TER_handel_gas_kWh/1000),0,TER_handel_gas_kWh/1000)*0.903</f>
        <v>6766.0134909360013</v>
      </c>
      <c r="E8" s="33">
        <f>$C$28*'E Balans VL '!I13/100/3.6*1000000</f>
        <v>91.413404757380633</v>
      </c>
      <c r="F8" s="33">
        <f>$C$28*('E Balans VL '!L13+'E Balans VL '!N13)/100/3.6*1000000</f>
        <v>1136.0759756087275</v>
      </c>
      <c r="G8" s="34"/>
      <c r="H8" s="33"/>
      <c r="I8" s="33"/>
      <c r="J8" s="33">
        <f>$C$28*('E Balans VL '!D13+'E Balans VL '!E13)/100/3.6*1000000</f>
        <v>0</v>
      </c>
      <c r="K8" s="33"/>
      <c r="L8" s="33"/>
      <c r="M8" s="33"/>
      <c r="N8" s="33">
        <f>$C$28*'E Balans VL '!Y13/100/3.6*1000000</f>
        <v>4.2719532626480827</v>
      </c>
      <c r="O8" s="33"/>
      <c r="P8" s="33"/>
      <c r="R8" s="32"/>
    </row>
    <row r="9" spans="1:18">
      <c r="A9" s="32" t="s">
        <v>50</v>
      </c>
      <c r="B9" s="37">
        <f t="shared" si="0"/>
        <v>1300.581866</v>
      </c>
      <c r="C9" s="33"/>
      <c r="D9" s="37">
        <f>IF(ISERROR(TER_gezond_gas_kWh/1000),0,TER_gezond_gas_kWh/1000)*0.903</f>
        <v>2245.7617214970001</v>
      </c>
      <c r="E9" s="33">
        <f>$C$29*'E Balans VL '!I10/100/3.6*1000000</f>
        <v>0</v>
      </c>
      <c r="F9" s="33">
        <f>$C$29*('E Balans VL '!L10+'E Balans VL '!N10)/100/3.6*1000000</f>
        <v>118.56923097346157</v>
      </c>
      <c r="G9" s="34"/>
      <c r="H9" s="33"/>
      <c r="I9" s="33"/>
      <c r="J9" s="33">
        <f>$C$29*('E Balans VL '!D10+'E Balans VL '!E10)/100/3.6*1000000</f>
        <v>0</v>
      </c>
      <c r="K9" s="33"/>
      <c r="L9" s="33"/>
      <c r="M9" s="33"/>
      <c r="N9" s="33">
        <f>$C$29*'E Balans VL '!Y10/100/3.6*1000000</f>
        <v>9.506087910958076</v>
      </c>
      <c r="O9" s="33"/>
      <c r="P9" s="33"/>
      <c r="R9" s="32"/>
    </row>
    <row r="10" spans="1:18">
      <c r="A10" s="32" t="s">
        <v>49</v>
      </c>
      <c r="B10" s="37">
        <f t="shared" si="0"/>
        <v>4183.3100960000002</v>
      </c>
      <c r="C10" s="33"/>
      <c r="D10" s="37">
        <f>IF(ISERROR(TER_ander_gas_kWh/1000),0,TER_ander_gas_kWh/1000)*0.903</f>
        <v>3826.5054376500002</v>
      </c>
      <c r="E10" s="33">
        <f>$C$30*'E Balans VL '!I14/100/3.6*1000000</f>
        <v>54.234545113691951</v>
      </c>
      <c r="F10" s="33">
        <f>$C$30*('E Balans VL '!L14+'E Balans VL '!N14)/100/3.6*1000000</f>
        <v>3836.6827059215748</v>
      </c>
      <c r="G10" s="34"/>
      <c r="H10" s="33"/>
      <c r="I10" s="33"/>
      <c r="J10" s="33">
        <f>$C$30*('E Balans VL '!D14+'E Balans VL '!E14)/100/3.6*1000000</f>
        <v>4.2310718332391091E-2</v>
      </c>
      <c r="K10" s="33"/>
      <c r="L10" s="33"/>
      <c r="M10" s="33"/>
      <c r="N10" s="33">
        <f>$C$30*'E Balans VL '!Y14/100/3.6*1000000</f>
        <v>1599.8841077174575</v>
      </c>
      <c r="O10" s="33"/>
      <c r="P10" s="33"/>
      <c r="R10" s="32"/>
    </row>
    <row r="11" spans="1:18">
      <c r="A11" s="32" t="s">
        <v>54</v>
      </c>
      <c r="B11" s="37">
        <f t="shared" si="0"/>
        <v>226.03402</v>
      </c>
      <c r="C11" s="33"/>
      <c r="D11" s="37">
        <f>IF(ISERROR(TER_onderwijs_gas_kWh/1000),0,TER_onderwijs_gas_kWh/1000)*0.903</f>
        <v>708.77468718</v>
      </c>
      <c r="E11" s="33">
        <f>$C$31*'E Balans VL '!I11/100/3.6*1000000</f>
        <v>0</v>
      </c>
      <c r="F11" s="33">
        <f>$C$31*('E Balans VL '!L11+'E Balans VL '!N11)/100/3.6*1000000</f>
        <v>8.8566159902752588</v>
      </c>
      <c r="G11" s="34"/>
      <c r="H11" s="33"/>
      <c r="I11" s="33"/>
      <c r="J11" s="33">
        <f>$C$31*('E Balans VL '!D11+'E Balans VL '!E11)/100/3.6*1000000</f>
        <v>0</v>
      </c>
      <c r="K11" s="33"/>
      <c r="L11" s="33"/>
      <c r="M11" s="33"/>
      <c r="N11" s="33">
        <f>$C$31*'E Balans VL '!Y11/100/3.6*1000000</f>
        <v>0.71183697584418304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67.5</v>
      </c>
      <c r="C13" s="243">
        <f ca="1">'lokale energieproductie'!O42+'lokale energieproductie'!O35</f>
        <v>96.428571428571431</v>
      </c>
      <c r="D13" s="304">
        <f ca="1">('lokale energieproductie'!P35+'lokale energieproductie'!P42)*(-1)</f>
        <v>-192.85714285714286</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23519.719291000001</v>
      </c>
      <c r="C16" s="21">
        <f t="shared" ca="1" si="1"/>
        <v>96.428571428571431</v>
      </c>
      <c r="D16" s="21">
        <f t="shared" ca="1" si="1"/>
        <v>20681.893404765859</v>
      </c>
      <c r="E16" s="21">
        <f t="shared" si="1"/>
        <v>146.4087085310706</v>
      </c>
      <c r="F16" s="21">
        <f t="shared" ca="1" si="1"/>
        <v>5631.2200584631682</v>
      </c>
      <c r="G16" s="21">
        <f t="shared" si="1"/>
        <v>0</v>
      </c>
      <c r="H16" s="21">
        <f t="shared" si="1"/>
        <v>0</v>
      </c>
      <c r="I16" s="21">
        <f t="shared" si="1"/>
        <v>0</v>
      </c>
      <c r="J16" s="21">
        <f t="shared" si="1"/>
        <v>4.2310718332391091E-2</v>
      </c>
      <c r="K16" s="21">
        <f t="shared" si="1"/>
        <v>0</v>
      </c>
      <c r="L16" s="21">
        <f t="shared" ca="1" si="1"/>
        <v>0</v>
      </c>
      <c r="M16" s="21">
        <f t="shared" si="1"/>
        <v>0</v>
      </c>
      <c r="N16" s="21">
        <f t="shared" ca="1" si="1"/>
        <v>1619.5040818059251</v>
      </c>
      <c r="O16" s="21">
        <f>O5</f>
        <v>19.589043063364617</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0.15492186961088944</v>
      </c>
      <c r="C18" s="25">
        <f ca="1">'EF ele_warmte'!B22</f>
        <v>9.8926177564326507E-4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3643.7188852850231</v>
      </c>
      <c r="C20" s="23">
        <f t="shared" ref="C20:P20" ca="1" si="2">C16*C18</f>
        <v>9.5393099794171987E-2</v>
      </c>
      <c r="D20" s="23">
        <f t="shared" ca="1" si="2"/>
        <v>4177.7424677627041</v>
      </c>
      <c r="E20" s="23">
        <f t="shared" si="2"/>
        <v>33.234776836553024</v>
      </c>
      <c r="F20" s="23">
        <f t="shared" ca="1" si="2"/>
        <v>1503.535755609666</v>
      </c>
      <c r="G20" s="23">
        <f t="shared" si="2"/>
        <v>0</v>
      </c>
      <c r="H20" s="23">
        <f t="shared" si="2"/>
        <v>0</v>
      </c>
      <c r="I20" s="23">
        <f t="shared" si="2"/>
        <v>0</v>
      </c>
      <c r="J20" s="23">
        <f t="shared" si="2"/>
        <v>1.4977994289666445E-2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3192.8357859999996</v>
      </c>
      <c r="C26" s="39">
        <f>IF(ISERROR(B26*3.6/1000000/'E Balans VL '!Z12*100),0,B26*3.6/1000000/'E Balans VL '!Z12*100)</f>
        <v>9.1602158238188805E-2</v>
      </c>
      <c r="D26" s="233" t="s">
        <v>841</v>
      </c>
      <c r="F26" s="6"/>
    </row>
    <row r="27" spans="1:18" ht="30">
      <c r="A27" s="228" t="s">
        <v>52</v>
      </c>
      <c r="B27" s="33">
        <f>IF(ISERROR(TER_horeca_ele_kWh/1000),0,TER_horeca_ele_kWh/1000)</f>
        <v>3113.6541540000003</v>
      </c>
      <c r="C27" s="39">
        <f>IF(ISERROR(B27*3.6/1000000/'E Balans VL '!Z9*100),0,B27*3.6/1000000/'E Balans VL '!Z9*100)</f>
        <v>0.22810740566633217</v>
      </c>
      <c r="D27" s="233" t="s">
        <v>841</v>
      </c>
      <c r="F27" s="6"/>
    </row>
    <row r="28" spans="1:18" ht="30">
      <c r="A28" s="168" t="s">
        <v>51</v>
      </c>
      <c r="B28" s="33">
        <f>IF(ISERROR(TER_handel_ele_kWh/1000),0,TER_handel_ele_kWh/1000)</f>
        <v>11435.803369000001</v>
      </c>
      <c r="C28" s="39">
        <f>IF(ISERROR(B28*3.6/1000000/'E Balans VL '!Z13*100),0,B28*3.6/1000000/'E Balans VL '!Z13*100)</f>
        <v>0.35337596964573781</v>
      </c>
      <c r="D28" s="233" t="s">
        <v>841</v>
      </c>
      <c r="F28" s="6"/>
    </row>
    <row r="29" spans="1:18" ht="30">
      <c r="A29" s="228" t="s">
        <v>50</v>
      </c>
      <c r="B29" s="33">
        <f>IF(ISERROR(TER_gezond_ele_kWh/1000),0,TER_gezond_ele_kWh/1000)</f>
        <v>1300.581866</v>
      </c>
      <c r="C29" s="39">
        <f>IF(ISERROR(B29*3.6/1000000/'E Balans VL '!Z10*100),0,B29*3.6/1000000/'E Balans VL '!Z10*100)</f>
        <v>0.12746502008736621</v>
      </c>
      <c r="D29" s="233" t="s">
        <v>841</v>
      </c>
      <c r="F29" s="6"/>
    </row>
    <row r="30" spans="1:18" ht="30">
      <c r="A30" s="228" t="s">
        <v>49</v>
      </c>
      <c r="B30" s="33">
        <f>IF(ISERROR(TER_ander_ele_kWh/1000),0,TER_ander_ele_kWh/1000)</f>
        <v>4183.3100960000002</v>
      </c>
      <c r="C30" s="39">
        <f>IF(ISERROR(B30*3.6/1000000/'E Balans VL '!Z14*100),0,B30*3.6/1000000/'E Balans VL '!Z14*100)</f>
        <v>0.17328621842617509</v>
      </c>
      <c r="D30" s="233" t="s">
        <v>841</v>
      </c>
      <c r="F30" s="6"/>
    </row>
    <row r="31" spans="1:18" ht="30">
      <c r="A31" s="228" t="s">
        <v>54</v>
      </c>
      <c r="B31" s="33">
        <f>IF(ISERROR(TER_onderwijs_ele_kWh/1000),0,TER_onderwijs_ele_kWh/1000)</f>
        <v>226.03402</v>
      </c>
      <c r="C31" s="39">
        <f>IF(ISERROR(B31*3.6/1000000/'E Balans VL '!Z11*100),0,B31*3.6/1000000/'E Balans VL '!Z11*100)</f>
        <v>6.9453382319563564E-2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31748.728035</v>
      </c>
      <c r="C5" s="17">
        <f>IF(ISERROR('Eigen informatie GS &amp; warmtenet'!B61),0,'Eigen informatie GS &amp; warmtenet'!B61)</f>
        <v>0</v>
      </c>
      <c r="D5" s="30">
        <f>SUM(D6:D15)</f>
        <v>117144.290316459</v>
      </c>
      <c r="E5" s="17">
        <f>SUM(E6:E15)</f>
        <v>211.18299605361835</v>
      </c>
      <c r="F5" s="17">
        <f>SUM(F6:F15)</f>
        <v>2660.2506842333778</v>
      </c>
      <c r="G5" s="18"/>
      <c r="H5" s="17"/>
      <c r="I5" s="17"/>
      <c r="J5" s="17">
        <f>SUM(J6:J15)</f>
        <v>49.807481173591661</v>
      </c>
      <c r="K5" s="17"/>
      <c r="L5" s="17"/>
      <c r="M5" s="17"/>
      <c r="N5" s="17">
        <f>SUM(N6:N15)</f>
        <v>1622.7817451502874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6149.2750429999996</v>
      </c>
      <c r="C8" s="33"/>
      <c r="D8" s="37">
        <f>IF( ISERROR(IND_metaal_Gas_kWH/1000),0,IND_metaal_Gas_kWH/1000)*0.903</f>
        <v>5131.8905136450003</v>
      </c>
      <c r="E8" s="33">
        <f>C30*'E Balans VL '!I18/100/3.6*1000000</f>
        <v>33.520657284783475</v>
      </c>
      <c r="F8" s="33">
        <f>C30*'E Balans VL '!L18/100/3.6*1000000+C30*'E Balans VL '!N18/100/3.6*1000000</f>
        <v>396.01378246744019</v>
      </c>
      <c r="G8" s="34"/>
      <c r="H8" s="33"/>
      <c r="I8" s="33"/>
      <c r="J8" s="40">
        <f>C30*'E Balans VL '!D18/100/3.6*1000000+C30*'E Balans VL '!E18/100/3.6*1000000</f>
        <v>5.0370063389971751</v>
      </c>
      <c r="K8" s="33"/>
      <c r="L8" s="33"/>
      <c r="M8" s="33"/>
      <c r="N8" s="33">
        <f>C30*'E Balans VL '!Y18/100/3.6*1000000</f>
        <v>132.85102388214483</v>
      </c>
      <c r="O8" s="33"/>
      <c r="P8" s="33"/>
      <c r="R8" s="32"/>
    </row>
    <row r="9" spans="1:18">
      <c r="A9" s="6" t="s">
        <v>32</v>
      </c>
      <c r="B9" s="37">
        <f t="shared" si="0"/>
        <v>2209.980853</v>
      </c>
      <c r="C9" s="33"/>
      <c r="D9" s="37">
        <f>IF( ISERROR(IND_andere_gas_kWh/1000),0,IND_andere_gas_kWh/1000)*0.903</f>
        <v>1598.7768085590001</v>
      </c>
      <c r="E9" s="33">
        <f>C31*'E Balans VL '!I19/100/3.6*1000000</f>
        <v>7.1341945544512146</v>
      </c>
      <c r="F9" s="33">
        <f>C31*'E Balans VL '!L19/100/3.6*1000000+C31*'E Balans VL '!N19/100/3.6*1000000</f>
        <v>1428.9909680352305</v>
      </c>
      <c r="G9" s="34"/>
      <c r="H9" s="33"/>
      <c r="I9" s="33"/>
      <c r="J9" s="40">
        <f>C31*'E Balans VL '!D19/100/3.6*1000000+C31*'E Balans VL '!E19/100/3.6*1000000</f>
        <v>0</v>
      </c>
      <c r="K9" s="33"/>
      <c r="L9" s="33"/>
      <c r="M9" s="33"/>
      <c r="N9" s="33">
        <f>C31*'E Balans VL '!Y19/100/3.6*1000000</f>
        <v>89.302773517968674</v>
      </c>
      <c r="O9" s="33"/>
      <c r="P9" s="33"/>
      <c r="R9" s="32"/>
    </row>
    <row r="10" spans="1:18">
      <c r="A10" s="6" t="s">
        <v>40</v>
      </c>
      <c r="B10" s="37">
        <f t="shared" si="0"/>
        <v>20445.851513000001</v>
      </c>
      <c r="C10" s="33"/>
      <c r="D10" s="37">
        <f>IF( ISERROR(IND_voed_gas_kWh/1000),0,IND_voed_gas_kWh/1000)*0.903</f>
        <v>108990.35330994299</v>
      </c>
      <c r="E10" s="33">
        <f>C32*'E Balans VL '!I20/100/3.6*1000000</f>
        <v>42.859515508852162</v>
      </c>
      <c r="F10" s="33">
        <f>C32*'E Balans VL '!L20/100/3.6*1000000+C32*'E Balans VL '!N20/100/3.6*1000000</f>
        <v>398.35584582442482</v>
      </c>
      <c r="G10" s="34"/>
      <c r="H10" s="33"/>
      <c r="I10" s="33"/>
      <c r="J10" s="40">
        <f>C32*'E Balans VL '!D20/100/3.6*1000000+C32*'E Balans VL '!E20/100/3.6*1000000</f>
        <v>0</v>
      </c>
      <c r="K10" s="33"/>
      <c r="L10" s="33"/>
      <c r="M10" s="33"/>
      <c r="N10" s="33">
        <f>C32*'E Balans VL '!Y20/100/3.6*1000000</f>
        <v>813.27928897922504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962.16266199999995</v>
      </c>
      <c r="C12" s="33"/>
      <c r="D12" s="37">
        <f>IF( ISERROR(IND_min_gas_kWh/1000),0,IND_min_gas_kWh/1000)*0.903</f>
        <v>144.42702369900002</v>
      </c>
      <c r="E12" s="33">
        <f>C34*'E Balans VL '!I22/100/3.6*1000000</f>
        <v>15.745848621731371</v>
      </c>
      <c r="F12" s="33">
        <f>C34*'E Balans VL '!L22/100/3.6*1000000+C34*'E Balans VL '!N22/100/3.6*1000000</f>
        <v>146.8590515654025</v>
      </c>
      <c r="G12" s="34"/>
      <c r="H12" s="33"/>
      <c r="I12" s="33"/>
      <c r="J12" s="40">
        <f>C34*'E Balans VL '!D22/100/3.6*1000000+C34*'E Balans VL '!E22/100/3.6*1000000</f>
        <v>34.432497270374178</v>
      </c>
      <c r="K12" s="33"/>
      <c r="L12" s="33"/>
      <c r="M12" s="33"/>
      <c r="N12" s="33">
        <f>C34*'E Balans VL '!Y22/100/3.6*1000000</f>
        <v>527.28555958498623</v>
      </c>
      <c r="O12" s="33"/>
      <c r="P12" s="33"/>
      <c r="R12" s="32"/>
    </row>
    <row r="13" spans="1:18">
      <c r="A13" s="6" t="s">
        <v>38</v>
      </c>
      <c r="B13" s="37">
        <f t="shared" si="0"/>
        <v>80.353003999999999</v>
      </c>
      <c r="C13" s="33"/>
      <c r="D13" s="37">
        <f>IF( ISERROR(IND_papier_gas_kWh/1000),0,IND_papier_gas_kWh/1000)*0.903</f>
        <v>97.967675505000003</v>
      </c>
      <c r="E13" s="33">
        <f>C35*'E Balans VL '!I23/100/3.6*1000000</f>
        <v>0</v>
      </c>
      <c r="F13" s="33">
        <f>C35*'E Balans VL '!L23/100/3.6*1000000+C35*'E Balans VL '!N23/100/3.6*1000000</f>
        <v>1.0763538211916182E-2</v>
      </c>
      <c r="G13" s="34"/>
      <c r="H13" s="33"/>
      <c r="I13" s="33"/>
      <c r="J13" s="40">
        <f>C35*'E Balans VL '!D23/100/3.6*1000000+C35*'E Balans VL '!E23/100/3.6*1000000</f>
        <v>1.5894329769940329E-2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1901.1049599999999</v>
      </c>
      <c r="C15" s="33"/>
      <c r="D15" s="37">
        <f>IF( ISERROR(IND_rest_gas_kWh/1000),0,IND_rest_gas_kWh/1000)*0.903</f>
        <v>1180.8749851080001</v>
      </c>
      <c r="E15" s="33">
        <f>C37*'E Balans VL '!I15/100/3.6*1000000</f>
        <v>111.92278008380015</v>
      </c>
      <c r="F15" s="33">
        <f>C37*'E Balans VL '!L15/100/3.6*1000000+C37*'E Balans VL '!N15/100/3.6*1000000</f>
        <v>290.02027280266782</v>
      </c>
      <c r="G15" s="34"/>
      <c r="H15" s="33"/>
      <c r="I15" s="33"/>
      <c r="J15" s="40">
        <f>C37*'E Balans VL '!D15/100/3.6*1000000+C37*'E Balans VL '!E15/100/3.6*1000000</f>
        <v>10.322083234450366</v>
      </c>
      <c r="K15" s="33"/>
      <c r="L15" s="33"/>
      <c r="M15" s="33"/>
      <c r="N15" s="33">
        <f>C37*'E Balans VL '!Y15/100/3.6*1000000</f>
        <v>60.063099185962706</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31748.728035</v>
      </c>
      <c r="C18" s="21">
        <f>C5+C16</f>
        <v>0</v>
      </c>
      <c r="D18" s="21">
        <f>MAX((D5+D16),0)</f>
        <v>117144.290316459</v>
      </c>
      <c r="E18" s="21">
        <f>MAX((E5+E16),0)</f>
        <v>211.18299605361835</v>
      </c>
      <c r="F18" s="21">
        <f>MAX((F5+F16),0)</f>
        <v>2660.2506842333778</v>
      </c>
      <c r="G18" s="21"/>
      <c r="H18" s="21"/>
      <c r="I18" s="21"/>
      <c r="J18" s="21">
        <f>MAX((J5+J16),0)</f>
        <v>49.807481173591661</v>
      </c>
      <c r="K18" s="21"/>
      <c r="L18" s="21">
        <f>MAX((L5+L16),0)</f>
        <v>0</v>
      </c>
      <c r="M18" s="21"/>
      <c r="N18" s="21">
        <f>MAX((N5+N16),0)</f>
        <v>1622.7817451502874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0.15492186961088944</v>
      </c>
      <c r="C20" s="25">
        <f ca="1">'EF ele_warmte'!B22</f>
        <v>9.8926177564326507E-4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4918.5723049498602</v>
      </c>
      <c r="C22" s="23">
        <f ca="1">C18*C20</f>
        <v>0</v>
      </c>
      <c r="D22" s="23">
        <f>D18*D20</f>
        <v>23663.14664392472</v>
      </c>
      <c r="E22" s="23">
        <f>E18*E20</f>
        <v>47.938540104171366</v>
      </c>
      <c r="F22" s="23">
        <f>F18*F20</f>
        <v>710.28693269031191</v>
      </c>
      <c r="G22" s="23"/>
      <c r="H22" s="23"/>
      <c r="I22" s="23"/>
      <c r="J22" s="23">
        <f>J18*J20</f>
        <v>17.631848335451448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6149.2750429999996</v>
      </c>
      <c r="C30" s="39">
        <f>IF(ISERROR(B30*3.6/1000000/'E Balans VL '!Z18*100),0,B30*3.6/1000000/'E Balans VL '!Z18*100)</f>
        <v>0.37029248152725924</v>
      </c>
      <c r="D30" s="233" t="s">
        <v>841</v>
      </c>
    </row>
    <row r="31" spans="1:18" ht="30">
      <c r="A31" s="6" t="s">
        <v>32</v>
      </c>
      <c r="B31" s="37">
        <f>IF( ISERROR(IND_ander_ele_kWh/1000),0,IND_ander_ele_kWh/1000)</f>
        <v>2209.980853</v>
      </c>
      <c r="C31" s="39">
        <f>IF(ISERROR(B31*3.6/1000000/'E Balans VL '!Z19*100),0,B31*3.6/1000000/'E Balans VL '!Z19*100)</f>
        <v>9.0039195138104058E-2</v>
      </c>
      <c r="D31" s="233" t="s">
        <v>841</v>
      </c>
    </row>
    <row r="32" spans="1:18" ht="30">
      <c r="A32" s="168" t="s">
        <v>40</v>
      </c>
      <c r="B32" s="37">
        <f>IF( ISERROR(IND_voed_ele_kWh/1000),0,IND_voed_ele_kWh/1000)</f>
        <v>20445.851513000001</v>
      </c>
      <c r="C32" s="39">
        <f>IF(ISERROR(B32*3.6/1000000/'E Balans VL '!Z20*100),0,B32*3.6/1000000/'E Balans VL '!Z20*100)</f>
        <v>0.59117184749552731</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962.16266199999995</v>
      </c>
      <c r="C34" s="39">
        <f>IF(ISERROR(B34*3.6/1000000/'E Balans VL '!Z22*100),0,B34*3.6/1000000/'E Balans VL '!Z22*100)</f>
        <v>0.41083451601931231</v>
      </c>
      <c r="D34" s="233" t="s">
        <v>841</v>
      </c>
    </row>
    <row r="35" spans="1:5" ht="30">
      <c r="A35" s="168" t="s">
        <v>38</v>
      </c>
      <c r="B35" s="37">
        <f>IF( ISERROR(IND_papier_ele_kWh/1000),0,IND_papier_ele_kWh/1000)</f>
        <v>80.353003999999999</v>
      </c>
      <c r="C35" s="39">
        <f>IF(ISERROR(B35*3.6/1000000/'E Balans VL '!Z22*100),0,B35*3.6/1000000/'E Balans VL '!Z22*100)</f>
        <v>3.4309986047907845E-2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1901.1049599999999</v>
      </c>
      <c r="C37" s="39">
        <f>IF(ISERROR(B37*3.6/1000000/'E Balans VL '!Z15*100),0,B37*3.6/1000000/'E Balans VL '!Z15*100)</f>
        <v>1.560951165950585E-2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6221.8206390000005</v>
      </c>
      <c r="C5" s="17">
        <f>'Eigen informatie GS &amp; warmtenet'!B62</f>
        <v>0</v>
      </c>
      <c r="D5" s="30">
        <f>IF(ISERROR(SUM(LB_lb_gas_kWh,LB_rest_gas_kWh)/1000),0,SUM(LB_lb_gas_kWh,LB_rest_gas_kWh)/1000)*0.903</f>
        <v>7177.8340337970003</v>
      </c>
      <c r="E5" s="17">
        <f>B17*'E Balans VL '!I25/3.6*1000000/100</f>
        <v>178.20347234917026</v>
      </c>
      <c r="F5" s="17">
        <f>B17*('E Balans VL '!L25/3.6*1000000+'E Balans VL '!N25/3.6*1000000)/100</f>
        <v>19695.070181886953</v>
      </c>
      <c r="G5" s="18"/>
      <c r="H5" s="17"/>
      <c r="I5" s="17"/>
      <c r="J5" s="17">
        <f>('E Balans VL '!D25+'E Balans VL '!E25)/3.6*1000000*landbouw!B17/100</f>
        <v>1582.0136084470601</v>
      </c>
      <c r="K5" s="17"/>
      <c r="L5" s="17">
        <f>L6*(-1)</f>
        <v>0</v>
      </c>
      <c r="M5" s="17"/>
      <c r="N5" s="17">
        <f>N6*(-1)</f>
        <v>46136.571428571435</v>
      </c>
      <c r="O5" s="17"/>
      <c r="P5" s="17"/>
      <c r="R5" s="32"/>
    </row>
    <row r="6" spans="1:18">
      <c r="A6" s="16" t="s">
        <v>473</v>
      </c>
      <c r="B6" s="17" t="s">
        <v>210</v>
      </c>
      <c r="C6" s="17">
        <f>'lokale energieproductie'!O43+'lokale energieproductie'!O36</f>
        <v>23068.285714285714</v>
      </c>
      <c r="D6" s="304">
        <f>('lokale energieproductie'!P36+'lokale energieproductie'!P43)*(-1)</f>
        <v>0</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-46136.571428571435</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6221.8206390000005</v>
      </c>
      <c r="C8" s="21">
        <f>C5+C6</f>
        <v>23068.285714285714</v>
      </c>
      <c r="D8" s="21">
        <f>MAX((D5+D6),0)</f>
        <v>7177.8340337970003</v>
      </c>
      <c r="E8" s="21">
        <f>MAX((E5+E6),0)</f>
        <v>178.20347234917026</v>
      </c>
      <c r="F8" s="21">
        <f>MAX((F5+F6),0)</f>
        <v>19695.070181886953</v>
      </c>
      <c r="G8" s="21"/>
      <c r="H8" s="21"/>
      <c r="I8" s="21"/>
      <c r="J8" s="21">
        <f>MAX((J5+J6),0)</f>
        <v>1582.0136084470601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0.15492186961088944</v>
      </c>
      <c r="C10" s="31">
        <f ca="1">'EF ele_warmte'!B22</f>
        <v>9.8926177564326507E-4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963.89608577749891</v>
      </c>
      <c r="C12" s="23">
        <f ca="1">C8*C10</f>
        <v>22.82057328676045</v>
      </c>
      <c r="D12" s="23">
        <f>D8*D10</f>
        <v>1449.9224748269942</v>
      </c>
      <c r="E12" s="23">
        <f>E8*E10</f>
        <v>40.452188223261651</v>
      </c>
      <c r="F12" s="23">
        <f>F8*F10</f>
        <v>5258.583738563817</v>
      </c>
      <c r="G12" s="23"/>
      <c r="H12" s="23"/>
      <c r="I12" s="23"/>
      <c r="J12" s="23">
        <f>J8*J10</f>
        <v>560.0328173902592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0.86158101339091842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853.22267848489628</v>
      </c>
      <c r="C26" s="243">
        <f>B26*'GWP N2O_CH4'!B5</f>
        <v>17917.676248182823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352.41846031221019</v>
      </c>
      <c r="C27" s="243">
        <f>B27*'GWP N2O_CH4'!B5</f>
        <v>7400.7876665564136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12.558580067822469</v>
      </c>
      <c r="C28" s="243">
        <f>B28*'GWP N2O_CH4'!B4</f>
        <v>3893.1598210249654</v>
      </c>
      <c r="D28" s="50"/>
    </row>
    <row r="29" spans="1:4">
      <c r="A29" s="41" t="s">
        <v>272</v>
      </c>
      <c r="B29" s="243">
        <f>B34*'ha_N2O bodem landbouw'!B4</f>
        <v>26.355764889691205</v>
      </c>
      <c r="C29" s="243">
        <f>B29*'GWP N2O_CH4'!B4</f>
        <v>8170.2871158042735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5.9875580864948213E-3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8.3513465507843135E-4</v>
      </c>
      <c r="C5" s="434" t="s">
        <v>210</v>
      </c>
      <c r="D5" s="419">
        <f>SUM(D6:D11)</f>
        <v>1.489511872753705E-3</v>
      </c>
      <c r="E5" s="419">
        <f>SUM(E6:E11)</f>
        <v>5.8423744407369799E-4</v>
      </c>
      <c r="F5" s="432" t="s">
        <v>210</v>
      </c>
      <c r="G5" s="419">
        <f>SUM(G6:G11)</f>
        <v>0.25990941775845394</v>
      </c>
      <c r="H5" s="419">
        <f>SUM(H6:H11)</f>
        <v>7.2877928748367335E-2</v>
      </c>
      <c r="I5" s="434" t="s">
        <v>210</v>
      </c>
      <c r="J5" s="434" t="s">
        <v>210</v>
      </c>
      <c r="K5" s="434" t="s">
        <v>210</v>
      </c>
      <c r="L5" s="434" t="s">
        <v>210</v>
      </c>
      <c r="M5" s="419">
        <f>SUM(M6:M11)</f>
        <v>2.0089967370464853E-2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6.694153722400216E-4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1.1161070576089181E-3</v>
      </c>
      <c r="E6" s="886">
        <f>vkm_GW_PW*SUMIFS(TableVerdeelsleutelVkm[LPG],TableVerdeelsleutelVkm[Voertuigtype],"Lichte voertuigen")*SUMIFS(TableECFTransport[EnergieConsumptieFactor (PJ per km)],TableECFTransport[Index],CONCATENATE($A6,"_LPG_LPG"))</f>
        <v>4.4249105383442112E-4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0.13297967724731813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5.4735843567211187E-2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1.1515793612235861E-2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2.1068870674454465E-6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8.3518331347067806E-2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6.1624439664093483E-7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4.7954813444072986E-3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1.635263695392018E-4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3.7340481514478699E-4</v>
      </c>
      <c r="E8" s="422">
        <f>vkm_NGW_PW*SUMIFS(TableVerdeelsleutelVkm[LPG],TableVerdeelsleutelVkm[Voertuigtype],"Lichte voertuigen")*SUMIFS(TableECFTransport[EnergieConsumptieFactor (PJ per km)],TableECFTransport[Index],CONCATENATE($A8,"_LPG_LPG"))</f>
        <v>1.4174639023927684E-4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3.9019957860341348E-2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1.8141438565760878E-2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3.5265428505624214E-3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8.6026231762424173E-8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4.3914513037266317E-3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3.0370998617074474E-8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2.5214956325927355E-4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231.9818486328976</v>
      </c>
      <c r="C14" s="21"/>
      <c r="D14" s="21">
        <f t="shared" ref="D14:M14" si="0">((D5)*10^9/3600)+D12</f>
        <v>413.75329798714029</v>
      </c>
      <c r="E14" s="21">
        <f t="shared" si="0"/>
        <v>162.28817890936057</v>
      </c>
      <c r="F14" s="21"/>
      <c r="G14" s="21">
        <f t="shared" si="0"/>
        <v>72197.060488459421</v>
      </c>
      <c r="H14" s="21">
        <f t="shared" si="0"/>
        <v>20243.869096768707</v>
      </c>
      <c r="I14" s="21"/>
      <c r="J14" s="21"/>
      <c r="K14" s="21"/>
      <c r="L14" s="21"/>
      <c r="M14" s="21">
        <f t="shared" si="0"/>
        <v>5580.5464917957925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0.15492186961088944</v>
      </c>
      <c r="C16" s="56">
        <f ca="1">'EF ele_warmte'!B22</f>
        <v>9.8926177564326507E-4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35.939061705998853</v>
      </c>
      <c r="C18" s="23"/>
      <c r="D18" s="23">
        <f t="shared" ref="D18:M18" si="1">D14*D16</f>
        <v>83.578166193402339</v>
      </c>
      <c r="E18" s="23">
        <f t="shared" si="1"/>
        <v>36.839416612424849</v>
      </c>
      <c r="F18" s="23"/>
      <c r="G18" s="23">
        <f t="shared" si="1"/>
        <v>19276.615150418667</v>
      </c>
      <c r="H18" s="23">
        <f t="shared" si="1"/>
        <v>5040.7234050954085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1.1073141025791161E-4</v>
      </c>
      <c r="C50" s="315">
        <f t="shared" ref="C50:P50" si="2">SUM(C51:C52)</f>
        <v>0</v>
      </c>
      <c r="D50" s="315">
        <f t="shared" si="2"/>
        <v>0</v>
      </c>
      <c r="E50" s="315">
        <f t="shared" si="2"/>
        <v>0</v>
      </c>
      <c r="F50" s="315">
        <f t="shared" si="2"/>
        <v>0</v>
      </c>
      <c r="G50" s="315">
        <f t="shared" si="2"/>
        <v>6.9321210466441524E-3</v>
      </c>
      <c r="H50" s="315">
        <f t="shared" si="2"/>
        <v>0</v>
      </c>
      <c r="I50" s="315">
        <f t="shared" si="2"/>
        <v>0</v>
      </c>
      <c r="J50" s="315">
        <f t="shared" si="2"/>
        <v>0</v>
      </c>
      <c r="K50" s="315">
        <f t="shared" si="2"/>
        <v>0</v>
      </c>
      <c r="L50" s="315">
        <f t="shared" si="2"/>
        <v>0</v>
      </c>
      <c r="M50" s="315">
        <f t="shared" si="2"/>
        <v>3.9802704116821138E-4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1.1073141025791161E-4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6.9321210466441524E-3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3.9802704116821138E-4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30.758725071642111</v>
      </c>
      <c r="C54" s="21">
        <f t="shared" ref="C54:P54" si="3">(C50)*10^9/3600</f>
        <v>0</v>
      </c>
      <c r="D54" s="21">
        <f t="shared" si="3"/>
        <v>0</v>
      </c>
      <c r="E54" s="21">
        <f t="shared" si="3"/>
        <v>0</v>
      </c>
      <c r="F54" s="21">
        <f t="shared" si="3"/>
        <v>0</v>
      </c>
      <c r="G54" s="21">
        <f t="shared" si="3"/>
        <v>1925.5891796233757</v>
      </c>
      <c r="H54" s="21">
        <f t="shared" si="3"/>
        <v>0</v>
      </c>
      <c r="I54" s="21">
        <f t="shared" si="3"/>
        <v>0</v>
      </c>
      <c r="J54" s="21">
        <f t="shared" si="3"/>
        <v>0</v>
      </c>
      <c r="K54" s="21">
        <f t="shared" si="3"/>
        <v>0</v>
      </c>
      <c r="L54" s="21">
        <f t="shared" si="3"/>
        <v>0</v>
      </c>
      <c r="M54" s="21">
        <f t="shared" si="3"/>
        <v>110.56306699116983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0.15492186961088944</v>
      </c>
      <c r="C56" s="56">
        <f ca="1">'EF ele_warmte'!B22</f>
        <v>9.8926177564326507E-4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4.7651991949461348</v>
      </c>
      <c r="C58" s="23">
        <f t="shared" ref="C58:P58" ca="1" si="4">C54*C56</f>
        <v>0</v>
      </c>
      <c r="D58" s="23">
        <f t="shared" si="4"/>
        <v>0</v>
      </c>
      <c r="E58" s="23">
        <f t="shared" si="4"/>
        <v>0</v>
      </c>
      <c r="F58" s="23">
        <f t="shared" si="4"/>
        <v>0</v>
      </c>
      <c r="G58" s="23">
        <f t="shared" si="4"/>
        <v>514.13231095944138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zoomScale="65" zoomScaleNormal="65" workbookViewId="0">
      <selection activeCell="M32" sqref="M3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12275.911771382642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N33</f>
        <v>16215.3</v>
      </c>
      <c r="C8" s="545">
        <f>B52</f>
        <v>79.411764705882348</v>
      </c>
      <c r="D8" s="546"/>
      <c r="E8" s="546">
        <f>E52</f>
        <v>0</v>
      </c>
      <c r="F8" s="547"/>
      <c r="G8" s="548"/>
      <c r="H8" s="546">
        <f>I52</f>
        <v>0</v>
      </c>
      <c r="I8" s="546">
        <f>G52+F52</f>
        <v>0</v>
      </c>
      <c r="J8" s="546">
        <f>H52+D52+C52</f>
        <v>18997.411764705885</v>
      </c>
      <c r="K8" s="546"/>
      <c r="L8" s="546"/>
      <c r="M8" s="546"/>
      <c r="N8" s="549"/>
      <c r="O8" s="550">
        <f>C8*$C$12+D8*$D$12+E8*$E$12+F8*$F$12+G8*$G$12+H8*$H$12+I8*$I$12+J8*$J$12</f>
        <v>16.041176470588237</v>
      </c>
      <c r="P8" s="1285"/>
      <c r="Q8" s="1286"/>
      <c r="S8" s="540"/>
      <c r="T8" s="1282"/>
      <c r="U8" s="1282"/>
    </row>
    <row r="9" spans="1:21" s="531" customFormat="1" ht="17.45" customHeight="1" thickBot="1">
      <c r="A9" s="551" t="s">
        <v>243</v>
      </c>
      <c r="B9" s="552">
        <f>N40+'Eigen informatie GS &amp; warmtenet'!B12</f>
        <v>0</v>
      </c>
      <c r="C9" s="55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28491.211771382641</v>
      </c>
      <c r="C10" s="560">
        <f t="shared" ref="C10:L10" si="0">SUM(C8:C9)</f>
        <v>79.411764705882348</v>
      </c>
      <c r="D10" s="560">
        <f t="shared" si="0"/>
        <v>0</v>
      </c>
      <c r="E10" s="560">
        <f t="shared" si="0"/>
        <v>0</v>
      </c>
      <c r="F10" s="560">
        <f t="shared" si="0"/>
        <v>0</v>
      </c>
      <c r="G10" s="560">
        <f t="shared" si="0"/>
        <v>0</v>
      </c>
      <c r="H10" s="560">
        <f t="shared" si="0"/>
        <v>0</v>
      </c>
      <c r="I10" s="560">
        <f t="shared" si="0"/>
        <v>0</v>
      </c>
      <c r="J10" s="560">
        <f t="shared" si="0"/>
        <v>18997.411764705885</v>
      </c>
      <c r="K10" s="560">
        <f t="shared" si="0"/>
        <v>0</v>
      </c>
      <c r="L10" s="560">
        <f t="shared" si="0"/>
        <v>0</v>
      </c>
      <c r="M10" s="961"/>
      <c r="N10" s="961"/>
      <c r="O10" s="561">
        <f>SUM(O4:O9)</f>
        <v>16.041176470588237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O33</f>
        <v>23164.714285714286</v>
      </c>
      <c r="C17" s="576">
        <f>B53</f>
        <v>113.44537815126051</v>
      </c>
      <c r="D17" s="577"/>
      <c r="E17" s="577">
        <f>E53</f>
        <v>0</v>
      </c>
      <c r="F17" s="578"/>
      <c r="G17" s="579"/>
      <c r="H17" s="576">
        <f>I53</f>
        <v>0</v>
      </c>
      <c r="I17" s="577">
        <f>G53+F53</f>
        <v>0</v>
      </c>
      <c r="J17" s="577">
        <f>H53+D53+C53</f>
        <v>27139.15966386555</v>
      </c>
      <c r="K17" s="577"/>
      <c r="L17" s="577"/>
      <c r="M17" s="577"/>
      <c r="N17" s="962"/>
      <c r="O17" s="580">
        <f>C17*$C$22+E17*$E$22+H17*$H$22+I17*$I$22+J17*$J$22+D17*$D$22+F17*$F$22+G17*$G$22+K17*$K$22+L17*$L$22</f>
        <v>22.915966386554626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23164.714285714286</v>
      </c>
      <c r="C20" s="559">
        <f>SUM(C17:C19)</f>
        <v>113.44537815126051</v>
      </c>
      <c r="D20" s="559">
        <f t="shared" ref="D20:L20" si="1">SUM(D17:D19)</f>
        <v>0</v>
      </c>
      <c r="E20" s="559">
        <f t="shared" si="1"/>
        <v>0</v>
      </c>
      <c r="F20" s="559">
        <f t="shared" si="1"/>
        <v>0</v>
      </c>
      <c r="G20" s="559">
        <f t="shared" si="1"/>
        <v>0</v>
      </c>
      <c r="H20" s="559">
        <f t="shared" si="1"/>
        <v>0</v>
      </c>
      <c r="I20" s="559">
        <f t="shared" si="1"/>
        <v>0</v>
      </c>
      <c r="J20" s="559">
        <f t="shared" si="1"/>
        <v>27139.15966386555</v>
      </c>
      <c r="K20" s="559">
        <f t="shared" si="1"/>
        <v>0</v>
      </c>
      <c r="L20" s="559">
        <f t="shared" si="1"/>
        <v>0</v>
      </c>
      <c r="M20" s="559"/>
      <c r="N20" s="559"/>
      <c r="O20" s="585">
        <f>SUM(O17:O19)</f>
        <v>22.915966386554626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72004</v>
      </c>
      <c r="C28" s="787">
        <v>3960</v>
      </c>
      <c r="D28" s="637" t="s">
        <v>874</v>
      </c>
      <c r="E28" s="636" t="s">
        <v>875</v>
      </c>
      <c r="F28" s="636" t="s">
        <v>876</v>
      </c>
      <c r="G28" s="636" t="s">
        <v>877</v>
      </c>
      <c r="H28" s="636" t="s">
        <v>878</v>
      </c>
      <c r="I28" s="636" t="s">
        <v>875</v>
      </c>
      <c r="J28" s="786">
        <v>41068</v>
      </c>
      <c r="K28" s="786">
        <v>41275</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90" customFormat="1" ht="25.5">
      <c r="A29" s="589"/>
      <c r="B29" s="787">
        <v>72004</v>
      </c>
      <c r="C29" s="787">
        <v>3960</v>
      </c>
      <c r="D29" s="637" t="s">
        <v>880</v>
      </c>
      <c r="E29" s="636" t="s">
        <v>881</v>
      </c>
      <c r="F29" s="636" t="s">
        <v>882</v>
      </c>
      <c r="G29" s="636" t="s">
        <v>877</v>
      </c>
      <c r="H29" s="636" t="s">
        <v>878</v>
      </c>
      <c r="I29" s="636" t="s">
        <v>883</v>
      </c>
      <c r="J29" s="786">
        <v>41382</v>
      </c>
      <c r="K29" s="786">
        <v>41382</v>
      </c>
      <c r="L29" s="636" t="s">
        <v>879</v>
      </c>
      <c r="M29" s="636">
        <v>2380</v>
      </c>
      <c r="N29" s="636">
        <v>10710</v>
      </c>
      <c r="O29" s="636">
        <v>15300</v>
      </c>
      <c r="P29" s="636">
        <v>0</v>
      </c>
      <c r="Q29" s="636">
        <v>30600.000000000004</v>
      </c>
      <c r="R29" s="636">
        <v>0</v>
      </c>
      <c r="S29" s="636">
        <v>0</v>
      </c>
      <c r="T29" s="636">
        <v>0</v>
      </c>
      <c r="U29" s="636">
        <v>0</v>
      </c>
      <c r="V29" s="636">
        <v>0</v>
      </c>
      <c r="W29" s="636">
        <v>0</v>
      </c>
      <c r="X29" s="636">
        <v>10</v>
      </c>
      <c r="Y29" s="636" t="s">
        <v>111</v>
      </c>
      <c r="Z29" s="638" t="s">
        <v>111</v>
      </c>
    </row>
    <row r="30" spans="1:26" s="590" customFormat="1" ht="63.75">
      <c r="A30" s="589"/>
      <c r="B30" s="787">
        <v>72004</v>
      </c>
      <c r="C30" s="787">
        <v>3960</v>
      </c>
      <c r="D30" s="637" t="s">
        <v>884</v>
      </c>
      <c r="E30" s="636" t="s">
        <v>885</v>
      </c>
      <c r="F30" s="636" t="s">
        <v>886</v>
      </c>
      <c r="G30" s="636" t="s">
        <v>877</v>
      </c>
      <c r="H30" s="636" t="s">
        <v>878</v>
      </c>
      <c r="I30" s="636" t="s">
        <v>885</v>
      </c>
      <c r="J30" s="786">
        <v>41252</v>
      </c>
      <c r="K30" s="786">
        <v>41865</v>
      </c>
      <c r="L30" s="636" t="s">
        <v>879</v>
      </c>
      <c r="M30" s="636">
        <v>15</v>
      </c>
      <c r="N30" s="636">
        <v>67.5</v>
      </c>
      <c r="O30" s="636">
        <v>96.428571428571431</v>
      </c>
      <c r="P30" s="636">
        <v>192.85714285714286</v>
      </c>
      <c r="Q30" s="636">
        <v>0</v>
      </c>
      <c r="R30" s="636">
        <v>0</v>
      </c>
      <c r="S30" s="636">
        <v>0</v>
      </c>
      <c r="T30" s="636">
        <v>0</v>
      </c>
      <c r="U30" s="636">
        <v>0</v>
      </c>
      <c r="V30" s="636">
        <v>0</v>
      </c>
      <c r="W30" s="636">
        <v>0</v>
      </c>
      <c r="X30" s="636">
        <v>1600</v>
      </c>
      <c r="Y30" s="636" t="s">
        <v>49</v>
      </c>
      <c r="Z30" s="638" t="s">
        <v>155</v>
      </c>
    </row>
    <row r="31" spans="1:26" s="590" customFormat="1" ht="25.5">
      <c r="A31" s="589"/>
      <c r="B31" s="787">
        <v>72004</v>
      </c>
      <c r="C31" s="787">
        <v>3960</v>
      </c>
      <c r="D31" s="637" t="s">
        <v>887</v>
      </c>
      <c r="E31" s="636" t="s">
        <v>888</v>
      </c>
      <c r="F31" s="636" t="s">
        <v>889</v>
      </c>
      <c r="G31" s="636" t="s">
        <v>877</v>
      </c>
      <c r="H31" s="636" t="s">
        <v>878</v>
      </c>
      <c r="I31" s="636" t="s">
        <v>888</v>
      </c>
      <c r="J31" s="786">
        <v>41862</v>
      </c>
      <c r="K31" s="786">
        <v>41887</v>
      </c>
      <c r="L31" s="636" t="s">
        <v>879</v>
      </c>
      <c r="M31" s="636">
        <v>9.6999999999999993</v>
      </c>
      <c r="N31" s="636">
        <v>43.649999999999991</v>
      </c>
      <c r="O31" s="636">
        <v>62.357142857142847</v>
      </c>
      <c r="P31" s="636">
        <v>0</v>
      </c>
      <c r="Q31" s="636">
        <v>124.71428571428569</v>
      </c>
      <c r="R31" s="636">
        <v>0</v>
      </c>
      <c r="S31" s="636">
        <v>0</v>
      </c>
      <c r="T31" s="636">
        <v>0</v>
      </c>
      <c r="U31" s="636">
        <v>0</v>
      </c>
      <c r="V31" s="636">
        <v>0</v>
      </c>
      <c r="W31" s="636">
        <v>0</v>
      </c>
      <c r="X31" s="636">
        <v>10</v>
      </c>
      <c r="Y31" s="636" t="s">
        <v>111</v>
      </c>
      <c r="Z31" s="638" t="s">
        <v>111</v>
      </c>
    </row>
    <row r="32" spans="1:26" s="590" customFormat="1" ht="25.5">
      <c r="A32" s="589"/>
      <c r="B32" s="787">
        <v>72004</v>
      </c>
      <c r="C32" s="787">
        <v>3960</v>
      </c>
      <c r="D32" s="637"/>
      <c r="E32" s="636"/>
      <c r="F32" s="636" t="s">
        <v>890</v>
      </c>
      <c r="G32" s="636" t="s">
        <v>877</v>
      </c>
      <c r="H32" s="636" t="s">
        <v>878</v>
      </c>
      <c r="I32" s="636" t="s">
        <v>881</v>
      </c>
      <c r="J32" s="786">
        <v>42346</v>
      </c>
      <c r="K32" s="786">
        <v>42346</v>
      </c>
      <c r="L32" s="636" t="s">
        <v>879</v>
      </c>
      <c r="M32" s="636">
        <v>1189</v>
      </c>
      <c r="N32" s="636">
        <v>5350.5</v>
      </c>
      <c r="O32" s="636">
        <v>7643.5714285714284</v>
      </c>
      <c r="P32" s="636">
        <v>0</v>
      </c>
      <c r="Q32" s="636">
        <v>15287.142857142859</v>
      </c>
      <c r="R32" s="636">
        <v>0</v>
      </c>
      <c r="S32" s="636">
        <v>0</v>
      </c>
      <c r="T32" s="636">
        <v>0</v>
      </c>
      <c r="U32" s="636">
        <v>0</v>
      </c>
      <c r="V32" s="636">
        <v>0</v>
      </c>
      <c r="W32" s="636">
        <v>0</v>
      </c>
      <c r="X32" s="636">
        <v>10</v>
      </c>
      <c r="Y32" s="636" t="s">
        <v>111</v>
      </c>
      <c r="Z32" s="638" t="s">
        <v>111</v>
      </c>
    </row>
    <row r="33" spans="1:27" s="570" customFormat="1">
      <c r="A33" s="592" t="s">
        <v>275</v>
      </c>
      <c r="B33" s="593"/>
      <c r="C33" s="593"/>
      <c r="D33" s="593"/>
      <c r="E33" s="593"/>
      <c r="F33" s="593"/>
      <c r="G33" s="593"/>
      <c r="H33" s="593"/>
      <c r="I33" s="593"/>
      <c r="J33" s="593"/>
      <c r="K33" s="593"/>
      <c r="L33" s="594"/>
      <c r="M33" s="594">
        <f>SUM(M28:M32)</f>
        <v>3603.3999999999996</v>
      </c>
      <c r="N33" s="594">
        <f>SUM(N28:N32)</f>
        <v>16215.3</v>
      </c>
      <c r="O33" s="594">
        <f>SUM(O28:O32)</f>
        <v>23164.714285714286</v>
      </c>
      <c r="P33" s="594">
        <f>SUM(P28:P32)</f>
        <v>192.85714285714286</v>
      </c>
      <c r="Q33" s="594">
        <f>SUM(Q28:Q32)</f>
        <v>46136.571428571435</v>
      </c>
      <c r="R33" s="594">
        <f>SUM(R28:R32)</f>
        <v>0</v>
      </c>
      <c r="S33" s="594">
        <f>SUM(S28:S32)</f>
        <v>0</v>
      </c>
      <c r="T33" s="594">
        <f>SUM(T28:T32)</f>
        <v>0</v>
      </c>
      <c r="U33" s="594">
        <f>SUM(U28:U32)</f>
        <v>0</v>
      </c>
      <c r="V33" s="594">
        <f>SUM(V28:V32)</f>
        <v>0</v>
      </c>
      <c r="W33" s="594">
        <f>SUM(W28:W32)</f>
        <v>0</v>
      </c>
      <c r="X33" s="595"/>
      <c r="Y33" s="595"/>
      <c r="Z33" s="596"/>
    </row>
    <row r="34" spans="1:27" s="570" customFormat="1">
      <c r="A34" s="592" t="s">
        <v>282</v>
      </c>
      <c r="B34" s="593"/>
      <c r="C34" s="593"/>
      <c r="D34" s="593"/>
      <c r="E34" s="593"/>
      <c r="F34" s="593"/>
      <c r="G34" s="593"/>
      <c r="H34" s="593"/>
      <c r="I34" s="593"/>
      <c r="J34" s="593"/>
      <c r="K34" s="593"/>
      <c r="L34" s="594"/>
      <c r="M34" s="594">
        <f>SUMIF($Z$28:$Z$32,"industrie",M28:M32)</f>
        <v>0</v>
      </c>
      <c r="N34" s="594">
        <f>SUMIF($Z$28:$Z$32,"industrie",N28:N32)</f>
        <v>0</v>
      </c>
      <c r="O34" s="594">
        <f>SUMIF($Z$28:$Z$32,"industrie",O28:O32)</f>
        <v>0</v>
      </c>
      <c r="P34" s="594">
        <f>SUMIF($Z$28:$Z$32,"industrie",P28:P32)</f>
        <v>0</v>
      </c>
      <c r="Q34" s="594">
        <f>SUMIF($Z$28:$Z$32,"industrie",Q28:Q32)</f>
        <v>0</v>
      </c>
      <c r="R34" s="594">
        <f>SUMIF($Z$28:$Z$32,"industrie",R28:R32)</f>
        <v>0</v>
      </c>
      <c r="S34" s="594">
        <f>SUMIF($Z$28:$Z$32,"industrie",S28:S32)</f>
        <v>0</v>
      </c>
      <c r="T34" s="594">
        <f>SUMIF($Z$28:$Z$32,"industrie",T28:T32)</f>
        <v>0</v>
      </c>
      <c r="U34" s="594">
        <f>SUMIF($Z$28:$Z$32,"industrie",U28:U32)</f>
        <v>0</v>
      </c>
      <c r="V34" s="594">
        <f>SUMIF($Z$28:$Z$32,"industrie",V28:V32)</f>
        <v>0</v>
      </c>
      <c r="W34" s="594">
        <f>SUMIF($Z$28:$Z$32,"industrie",W28:W32)</f>
        <v>0</v>
      </c>
      <c r="X34" s="595"/>
      <c r="Y34" s="595"/>
      <c r="Z34" s="596"/>
    </row>
    <row r="35" spans="1:27" s="570" customFormat="1">
      <c r="A35" s="592" t="s">
        <v>283</v>
      </c>
      <c r="B35" s="593"/>
      <c r="C35" s="593"/>
      <c r="D35" s="593"/>
      <c r="E35" s="593"/>
      <c r="F35" s="593"/>
      <c r="G35" s="593"/>
      <c r="H35" s="593"/>
      <c r="I35" s="593"/>
      <c r="J35" s="593"/>
      <c r="K35" s="593"/>
      <c r="L35" s="594"/>
      <c r="M35" s="594">
        <f ca="1">SUMIF($Z$28:AC32,"tertiair",M28:M32)</f>
        <v>15</v>
      </c>
      <c r="N35" s="594">
        <f ca="1">SUMIF($Z$28:AD32,"tertiair",N28:N32)</f>
        <v>67.5</v>
      </c>
      <c r="O35" s="594">
        <f ca="1">SUMIF($Z$28:AE32,"tertiair",O28:O32)</f>
        <v>96.428571428571431</v>
      </c>
      <c r="P35" s="594">
        <f ca="1">SUMIF($Z$28:AF32,"tertiair",P28:P32)</f>
        <v>192.85714285714286</v>
      </c>
      <c r="Q35" s="594">
        <f ca="1">SUMIF($Z$28:AG32,"tertiair",Q28:Q32)</f>
        <v>0</v>
      </c>
      <c r="R35" s="594">
        <f ca="1">SUMIF($Z$28:AH32,"tertiair",R28:R32)</f>
        <v>0</v>
      </c>
      <c r="S35" s="594">
        <f ca="1">SUMIF($Z$28:AI32,"tertiair",S28:S32)</f>
        <v>0</v>
      </c>
      <c r="T35" s="594">
        <f ca="1">SUMIF($Z$28:AJ32,"tertiair",T28:T32)</f>
        <v>0</v>
      </c>
      <c r="U35" s="594">
        <f ca="1">SUMIF($Z$28:AK32,"tertiair",U28:U32)</f>
        <v>0</v>
      </c>
      <c r="V35" s="594">
        <f ca="1">SUMIF($Z$28:AL32,"tertiair",V28:V32)</f>
        <v>0</v>
      </c>
      <c r="W35" s="594">
        <f ca="1">SUMIF($Z$28:AM32,"tertiair",W28:W32)</f>
        <v>0</v>
      </c>
      <c r="X35" s="595"/>
      <c r="Y35" s="595"/>
      <c r="Z35" s="596"/>
    </row>
    <row r="36" spans="1:27" s="570" customFormat="1" ht="15.75" thickBot="1">
      <c r="A36" s="597" t="s">
        <v>284</v>
      </c>
      <c r="B36" s="598"/>
      <c r="C36" s="598"/>
      <c r="D36" s="598"/>
      <c r="E36" s="598"/>
      <c r="F36" s="598"/>
      <c r="G36" s="598"/>
      <c r="H36" s="598"/>
      <c r="I36" s="598"/>
      <c r="J36" s="598"/>
      <c r="K36" s="598"/>
      <c r="L36" s="599"/>
      <c r="M36" s="599">
        <f>SUMIF($Z$28:$Z$32,"landbouw",M28:M32)</f>
        <v>3588.3999999999996</v>
      </c>
      <c r="N36" s="599">
        <f>SUMIF($Z$28:$Z$32,"landbouw",N28:N32)</f>
        <v>16147.8</v>
      </c>
      <c r="O36" s="599">
        <f>SUMIF($Z$28:$Z$32,"landbouw",O28:O32)</f>
        <v>23068.285714285714</v>
      </c>
      <c r="P36" s="599">
        <f>SUMIF($Z$28:$Z$32,"landbouw",P28:P32)</f>
        <v>0</v>
      </c>
      <c r="Q36" s="599">
        <f>SUMIF($Z$28:$Z$32,"landbouw",Q28:Q32)</f>
        <v>46136.571428571435</v>
      </c>
      <c r="R36" s="599">
        <f>SUMIF($Z$28:$Z$32,"landbouw",R28:R32)</f>
        <v>0</v>
      </c>
      <c r="S36" s="599">
        <f>SUMIF($Z$28:$Z$32,"landbouw",S28:S32)</f>
        <v>0</v>
      </c>
      <c r="T36" s="599">
        <f>SUMIF($Z$28:$Z$32,"landbouw",T28:T32)</f>
        <v>0</v>
      </c>
      <c r="U36" s="599">
        <f>SUMIF($Z$28:$Z$32,"landbouw",U28:U32)</f>
        <v>0</v>
      </c>
      <c r="V36" s="599">
        <f>SUMIF($Z$28:$Z$32,"landbouw",V28:V32)</f>
        <v>0</v>
      </c>
      <c r="W36" s="599">
        <f>SUMIF($Z$28:$Z$32,"landbouw",W28:W32)</f>
        <v>0</v>
      </c>
      <c r="X36" s="600"/>
      <c r="Y36" s="600"/>
      <c r="Z36" s="601"/>
    </row>
    <row r="37" spans="1:27" s="531" customFormat="1" ht="15.75" thickBot="1">
      <c r="A37" s="602"/>
      <c r="B37" s="603"/>
      <c r="C37" s="603"/>
      <c r="D37" s="603"/>
      <c r="E37" s="603"/>
      <c r="F37" s="603"/>
      <c r="G37" s="603"/>
      <c r="H37" s="603"/>
      <c r="I37" s="603"/>
      <c r="J37" s="603"/>
      <c r="K37" s="603"/>
      <c r="L37" s="586"/>
      <c r="M37" s="586"/>
      <c r="N37" s="586"/>
      <c r="O37" s="587"/>
      <c r="P37" s="587"/>
    </row>
    <row r="38" spans="1:27" s="531" customFormat="1" ht="45">
      <c r="A38" s="604" t="s">
        <v>276</v>
      </c>
      <c r="B38" s="633" t="s">
        <v>89</v>
      </c>
      <c r="C38" s="633" t="s">
        <v>90</v>
      </c>
      <c r="D38" s="633" t="s">
        <v>91</v>
      </c>
      <c r="E38" s="633" t="s">
        <v>92</v>
      </c>
      <c r="F38" s="633" t="s">
        <v>93</v>
      </c>
      <c r="G38" s="633" t="s">
        <v>94</v>
      </c>
      <c r="H38" s="633" t="s">
        <v>95</v>
      </c>
      <c r="I38" s="633" t="s">
        <v>96</v>
      </c>
      <c r="J38" s="633" t="s">
        <v>97</v>
      </c>
      <c r="K38" s="633" t="s">
        <v>98</v>
      </c>
      <c r="L38" s="633" t="s">
        <v>99</v>
      </c>
      <c r="M38" s="634" t="s">
        <v>293</v>
      </c>
      <c r="N38" s="634" t="s">
        <v>100</v>
      </c>
      <c r="O38" s="634" t="s">
        <v>101</v>
      </c>
      <c r="P38" s="634" t="s">
        <v>517</v>
      </c>
      <c r="Q38" s="634" t="s">
        <v>102</v>
      </c>
      <c r="R38" s="634" t="s">
        <v>103</v>
      </c>
      <c r="S38" s="634" t="s">
        <v>104</v>
      </c>
      <c r="T38" s="634" t="s">
        <v>105</v>
      </c>
      <c r="U38" s="634" t="s">
        <v>106</v>
      </c>
      <c r="V38" s="634" t="s">
        <v>107</v>
      </c>
      <c r="W38" s="633" t="s">
        <v>108</v>
      </c>
      <c r="X38" s="633" t="s">
        <v>294</v>
      </c>
      <c r="Y38" s="633" t="s">
        <v>109</v>
      </c>
      <c r="Z38" s="635" t="s">
        <v>295</v>
      </c>
    </row>
    <row r="39" spans="1:27" s="605" customFormat="1" ht="12.75">
      <c r="A39" s="591"/>
      <c r="B39" s="787"/>
      <c r="C39" s="787"/>
      <c r="D39" s="639"/>
      <c r="E39" s="639"/>
      <c r="F39" s="639"/>
      <c r="G39" s="639"/>
      <c r="H39" s="639"/>
      <c r="I39" s="639"/>
      <c r="J39" s="786"/>
      <c r="K39" s="786"/>
      <c r="L39" s="639"/>
      <c r="M39" s="639"/>
      <c r="N39" s="639"/>
      <c r="O39" s="639"/>
      <c r="P39" s="639"/>
      <c r="Q39" s="639"/>
      <c r="R39" s="639"/>
      <c r="S39" s="639"/>
      <c r="T39" s="639"/>
      <c r="U39" s="639"/>
      <c r="V39" s="639"/>
      <c r="W39" s="639"/>
      <c r="X39" s="639"/>
      <c r="Y39" s="639"/>
      <c r="Z39" s="640"/>
    </row>
    <row r="40" spans="1:27" s="570" customFormat="1">
      <c r="A40" s="592" t="s">
        <v>275</v>
      </c>
      <c r="B40" s="593"/>
      <c r="C40" s="593"/>
      <c r="D40" s="593"/>
      <c r="E40" s="593"/>
      <c r="F40" s="593"/>
      <c r="G40" s="593"/>
      <c r="H40" s="593"/>
      <c r="I40" s="593"/>
      <c r="J40" s="593"/>
      <c r="K40" s="593"/>
      <c r="L40" s="594"/>
      <c r="M40" s="594">
        <f>SUM(M39:M39)</f>
        <v>0</v>
      </c>
      <c r="N40" s="594">
        <f>SUM(N39:N39)</f>
        <v>0</v>
      </c>
      <c r="O40" s="594">
        <f>SUM(O39:O39)</f>
        <v>0</v>
      </c>
      <c r="P40" s="594">
        <f>SUM(P39:P39)</f>
        <v>0</v>
      </c>
      <c r="Q40" s="594">
        <f>SUM(Q39:Q39)</f>
        <v>0</v>
      </c>
      <c r="R40" s="594">
        <f>SUM(R39:R39)</f>
        <v>0</v>
      </c>
      <c r="S40" s="594">
        <f>SUM(S39:S39)</f>
        <v>0</v>
      </c>
      <c r="T40" s="594">
        <f>SUM(T39:T39)</f>
        <v>0</v>
      </c>
      <c r="U40" s="594">
        <f>SUM(U39:U39)</f>
        <v>0</v>
      </c>
      <c r="V40" s="594">
        <f>SUM(V39:V39)</f>
        <v>0</v>
      </c>
      <c r="W40" s="594">
        <f>SUM(W39:W39)</f>
        <v>0</v>
      </c>
      <c r="X40" s="595"/>
      <c r="Y40" s="595"/>
      <c r="Z40" s="596"/>
    </row>
    <row r="41" spans="1:27" s="570" customFormat="1">
      <c r="A41" s="592" t="s">
        <v>282</v>
      </c>
      <c r="B41" s="593"/>
      <c r="C41" s="593"/>
      <c r="D41" s="593"/>
      <c r="E41" s="593"/>
      <c r="F41" s="593"/>
      <c r="G41" s="593"/>
      <c r="H41" s="593"/>
      <c r="I41" s="593"/>
      <c r="J41" s="593"/>
      <c r="K41" s="593"/>
      <c r="L41" s="594"/>
      <c r="M41" s="594">
        <f>SUMIF($Z$39:$Z$39,"industrie",M39:M39)</f>
        <v>0</v>
      </c>
      <c r="N41" s="594">
        <f>SUMIF($Z$39:$Z$39,"industrie",N39:N39)</f>
        <v>0</v>
      </c>
      <c r="O41" s="594">
        <f>SUMIF($Z$39:$Z$39,"industrie",O39:O39)</f>
        <v>0</v>
      </c>
      <c r="P41" s="594">
        <f>SUMIF($Z$39:$Z$39,"industrie",P39:P39)</f>
        <v>0</v>
      </c>
      <c r="Q41" s="594">
        <f>SUMIF($Z$39:$Z$39,"industrie",Q39:Q39)</f>
        <v>0</v>
      </c>
      <c r="R41" s="594">
        <f>SUMIF($Z$39:$Z$39,"industrie",R39:R39)</f>
        <v>0</v>
      </c>
      <c r="S41" s="594">
        <f>SUMIF($Z$39:$Z$39,"industrie",S39:S39)</f>
        <v>0</v>
      </c>
      <c r="T41" s="594">
        <f>SUMIF($Z$39:$Z$39,"industrie",T39:T39)</f>
        <v>0</v>
      </c>
      <c r="U41" s="594">
        <f>SUMIF($Z$39:$Z$39,"industrie",U39:U39)</f>
        <v>0</v>
      </c>
      <c r="V41" s="594">
        <f>SUMIF($Z$39:$Z$39,"industrie",V39:V39)</f>
        <v>0</v>
      </c>
      <c r="W41" s="594">
        <f>SUMIF($Z$39:$Z$39,"industrie",W39:W39)</f>
        <v>0</v>
      </c>
      <c r="X41" s="595"/>
      <c r="Y41" s="595"/>
      <c r="Z41" s="596"/>
    </row>
    <row r="42" spans="1:27" s="570" customFormat="1">
      <c r="A42" s="592" t="s">
        <v>283</v>
      </c>
      <c r="B42" s="593"/>
      <c r="C42" s="593"/>
      <c r="D42" s="593"/>
      <c r="E42" s="593"/>
      <c r="F42" s="593"/>
      <c r="G42" s="593"/>
      <c r="H42" s="593"/>
      <c r="I42" s="593"/>
      <c r="J42" s="593"/>
      <c r="K42" s="593"/>
      <c r="L42" s="594"/>
      <c r="M42" s="594">
        <f>SUMIF($Z$39:$Z$40,"tertiair",M39:M40)</f>
        <v>0</v>
      </c>
      <c r="N42" s="594">
        <f>SUMIF($Z$39:$Z$40,"tertiair",N39:N40)</f>
        <v>0</v>
      </c>
      <c r="O42" s="594">
        <f>SUMIF($Z$39:$Z$40,"tertiair",O39:O40)</f>
        <v>0</v>
      </c>
      <c r="P42" s="594">
        <f>SUMIF($Z$39:$Z$40,"tertiair",P39:P40)</f>
        <v>0</v>
      </c>
      <c r="Q42" s="594">
        <f>SUMIF($Z$39:$Z$40,"tertiair",Q39:Q40)</f>
        <v>0</v>
      </c>
      <c r="R42" s="594">
        <f>SUMIF($Z$39:$Z$40,"tertiair",R39:R40)</f>
        <v>0</v>
      </c>
      <c r="S42" s="594">
        <f>SUMIF($Z$39:$Z$40,"tertiair",S39:S40)</f>
        <v>0</v>
      </c>
      <c r="T42" s="594">
        <f>SUMIF($Z$39:$Z$40,"tertiair",T39:T40)</f>
        <v>0</v>
      </c>
      <c r="U42" s="594">
        <f>SUMIF($Z$39:$Z$40,"tertiair",U39:U40)</f>
        <v>0</v>
      </c>
      <c r="V42" s="594">
        <f>SUMIF($Z$39:$Z$40,"tertiair",V39:V40)</f>
        <v>0</v>
      </c>
      <c r="W42" s="594">
        <f>SUMIF($Z$39:$Z$40,"tertiair",W39:W40)</f>
        <v>0</v>
      </c>
      <c r="X42" s="595"/>
      <c r="Y42" s="595"/>
      <c r="Z42" s="596"/>
    </row>
    <row r="43" spans="1:27" s="570" customFormat="1" ht="15.75" thickBot="1">
      <c r="A43" s="597" t="s">
        <v>284</v>
      </c>
      <c r="B43" s="598"/>
      <c r="C43" s="598"/>
      <c r="D43" s="598"/>
      <c r="E43" s="598"/>
      <c r="F43" s="598"/>
      <c r="G43" s="598"/>
      <c r="H43" s="598"/>
      <c r="I43" s="598"/>
      <c r="J43" s="598"/>
      <c r="K43" s="598"/>
      <c r="L43" s="599"/>
      <c r="M43" s="599">
        <f>SUMIF($Z$39:$Z$41,"landbouw",M39:M41)</f>
        <v>0</v>
      </c>
      <c r="N43" s="599">
        <f>SUMIF($Z$39:$Z$41,"landbouw",N39:N41)</f>
        <v>0</v>
      </c>
      <c r="O43" s="599">
        <f>SUMIF($Z$39:$Z$41,"landbouw",O39:O41)</f>
        <v>0</v>
      </c>
      <c r="P43" s="599">
        <f>SUMIF($Z$39:$Z$41,"landbouw",P39:P41)</f>
        <v>0</v>
      </c>
      <c r="Q43" s="599">
        <f>SUMIF($Z$39:$Z$41,"landbouw",Q39:Q41)</f>
        <v>0</v>
      </c>
      <c r="R43" s="599">
        <f>SUMIF($Z$39:$Z$41,"landbouw",R39:R41)</f>
        <v>0</v>
      </c>
      <c r="S43" s="599">
        <f>SUMIF($Z$39:$Z$41,"landbouw",S39:S41)</f>
        <v>0</v>
      </c>
      <c r="T43" s="599">
        <f>SUMIF($Z$39:$Z$41,"landbouw",T39:T41)</f>
        <v>0</v>
      </c>
      <c r="U43" s="599">
        <f>SUMIF($Z$39:$Z$41,"landbouw",U39:U41)</f>
        <v>0</v>
      </c>
      <c r="V43" s="599">
        <f>SUMIF($Z$39:$Z$41,"landbouw",V39:V41)</f>
        <v>0</v>
      </c>
      <c r="W43" s="599">
        <f>SUMIF($Z$39:$Z$41,"landbouw",W39:W41)</f>
        <v>0</v>
      </c>
      <c r="X43" s="600"/>
      <c r="Y43" s="600"/>
      <c r="Z43" s="601"/>
    </row>
    <row r="44" spans="1:27" s="606" customForma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7" s="606" customFormat="1" ht="15.75" thickBo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row>
    <row r="46" spans="1:27">
      <c r="A46" s="607" t="s">
        <v>277</v>
      </c>
      <c r="B46" s="608"/>
      <c r="C46" s="608"/>
      <c r="D46" s="608"/>
      <c r="E46" s="608"/>
      <c r="F46" s="608"/>
      <c r="G46" s="608"/>
      <c r="H46" s="608"/>
      <c r="I46" s="609"/>
      <c r="J46" s="610"/>
      <c r="K46" s="610"/>
      <c r="L46" s="611"/>
      <c r="M46" s="611"/>
      <c r="N46" s="611"/>
      <c r="O46" s="611"/>
      <c r="P46" s="611"/>
    </row>
    <row r="47" spans="1:27">
      <c r="A47" s="613"/>
      <c r="B47" s="603"/>
      <c r="C47" s="603"/>
      <c r="D47" s="603"/>
      <c r="E47" s="603"/>
      <c r="F47" s="603"/>
      <c r="G47" s="603"/>
      <c r="H47" s="603"/>
      <c r="I47" s="614"/>
      <c r="J47" s="603"/>
      <c r="K47" s="603"/>
      <c r="L47" s="611"/>
      <c r="M47" s="611"/>
      <c r="N47" s="611"/>
      <c r="O47" s="611"/>
      <c r="P47" s="611"/>
    </row>
    <row r="48" spans="1:27">
      <c r="A48" s="615"/>
      <c r="B48" s="616" t="s">
        <v>278</v>
      </c>
      <c r="C48" s="616" t="s">
        <v>279</v>
      </c>
      <c r="D48" s="616"/>
      <c r="E48" s="616"/>
      <c r="F48" s="616"/>
      <c r="G48" s="616"/>
      <c r="H48" s="616"/>
      <c r="I48" s="617"/>
      <c r="J48" s="616"/>
      <c r="K48" s="616"/>
      <c r="L48" s="616"/>
      <c r="M48" s="616"/>
      <c r="N48" s="616"/>
      <c r="O48" s="616"/>
      <c r="P48" s="611"/>
    </row>
    <row r="49" spans="1:16">
      <c r="A49" s="613" t="s">
        <v>275</v>
      </c>
      <c r="B49" s="618">
        <f>IF(ISERROR(O33/(O33+N33)),0,O33/(O33+N33))</f>
        <v>0.58823529411764708</v>
      </c>
      <c r="C49" s="619">
        <f>IF(ISERROR(N33/(O33+N33)),0,N33/(N33+O33))</f>
        <v>0.41176470588235292</v>
      </c>
      <c r="D49" s="586"/>
      <c r="E49" s="586"/>
      <c r="F49" s="586"/>
      <c r="G49" s="586"/>
      <c r="H49" s="586"/>
      <c r="I49" s="620"/>
      <c r="J49" s="586"/>
      <c r="K49" s="586"/>
      <c r="L49" s="621"/>
      <c r="M49" s="621"/>
      <c r="N49" s="621"/>
      <c r="O49" s="621"/>
      <c r="P49" s="611"/>
    </row>
    <row r="50" spans="1:16">
      <c r="A50" s="613"/>
      <c r="B50" s="622"/>
      <c r="C50" s="622"/>
      <c r="D50" s="622"/>
      <c r="E50" s="622"/>
      <c r="F50" s="622"/>
      <c r="G50" s="622"/>
      <c r="H50" s="622"/>
      <c r="I50" s="623"/>
      <c r="J50" s="622"/>
      <c r="K50" s="622"/>
      <c r="L50" s="624"/>
      <c r="M50" s="624"/>
      <c r="N50" s="624"/>
      <c r="O50" s="624"/>
      <c r="P50" s="611"/>
    </row>
    <row r="51" spans="1:16" ht="30">
      <c r="A51" s="625"/>
      <c r="B51" s="626" t="s">
        <v>517</v>
      </c>
      <c r="C51" s="626" t="s">
        <v>102</v>
      </c>
      <c r="D51" s="626" t="s">
        <v>103</v>
      </c>
      <c r="E51" s="626" t="s">
        <v>104</v>
      </c>
      <c r="F51" s="626" t="s">
        <v>105</v>
      </c>
      <c r="G51" s="626" t="s">
        <v>106</v>
      </c>
      <c r="H51" s="626" t="s">
        <v>107</v>
      </c>
      <c r="I51" s="627" t="s">
        <v>108</v>
      </c>
      <c r="J51" s="616"/>
      <c r="K51" s="616"/>
      <c r="L51" s="624"/>
      <c r="M51" s="624"/>
      <c r="N51" s="624"/>
      <c r="O51" s="611"/>
      <c r="P51" s="611"/>
    </row>
    <row r="52" spans="1:16">
      <c r="A52" s="615" t="s">
        <v>280</v>
      </c>
      <c r="B52" s="628">
        <f t="shared" ref="B52:I52" si="2">$C$49*P33</f>
        <v>79.411764705882348</v>
      </c>
      <c r="C52" s="628">
        <f t="shared" si="2"/>
        <v>18997.411764705885</v>
      </c>
      <c r="D52" s="628">
        <f t="shared" si="2"/>
        <v>0</v>
      </c>
      <c r="E52" s="628">
        <f t="shared" si="2"/>
        <v>0</v>
      </c>
      <c r="F52" s="628">
        <f t="shared" si="2"/>
        <v>0</v>
      </c>
      <c r="G52" s="628">
        <f t="shared" si="2"/>
        <v>0</v>
      </c>
      <c r="H52" s="628">
        <f t="shared" si="2"/>
        <v>0</v>
      </c>
      <c r="I52" s="629">
        <f t="shared" si="2"/>
        <v>0</v>
      </c>
      <c r="J52" s="586"/>
      <c r="K52" s="586"/>
      <c r="L52" s="624"/>
      <c r="M52" s="624"/>
      <c r="N52" s="624"/>
      <c r="O52" s="611"/>
      <c r="P52" s="611"/>
    </row>
    <row r="53" spans="1:16" ht="15.75" thickBot="1">
      <c r="A53" s="630" t="s">
        <v>281</v>
      </c>
      <c r="B53" s="631">
        <f t="shared" ref="B53:I53" si="3">$B$49*P33</f>
        <v>113.44537815126051</v>
      </c>
      <c r="C53" s="631">
        <f t="shared" si="3"/>
        <v>27139.15966386555</v>
      </c>
      <c r="D53" s="631">
        <f t="shared" si="3"/>
        <v>0</v>
      </c>
      <c r="E53" s="631">
        <f t="shared" si="3"/>
        <v>0</v>
      </c>
      <c r="F53" s="631">
        <f t="shared" si="3"/>
        <v>0</v>
      </c>
      <c r="G53" s="631">
        <f t="shared" si="3"/>
        <v>0</v>
      </c>
      <c r="H53" s="631">
        <f t="shared" si="3"/>
        <v>0</v>
      </c>
      <c r="I53" s="632">
        <f t="shared" si="3"/>
        <v>0</v>
      </c>
      <c r="J53" s="586"/>
      <c r="K53" s="586"/>
      <c r="L53" s="624"/>
      <c r="M53" s="624"/>
      <c r="N53" s="624"/>
      <c r="O53" s="611"/>
      <c r="P53" s="611"/>
    </row>
    <row r="54" spans="1:16">
      <c r="J54" s="566"/>
      <c r="K54" s="566"/>
      <c r="L54" s="566"/>
      <c r="M54" s="566"/>
      <c r="N54" s="566"/>
    </row>
    <row r="55" spans="1:16">
      <c r="J55" s="566"/>
      <c r="K55" s="566"/>
      <c r="L55" s="566"/>
      <c r="M55" s="566"/>
      <c r="N5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2021-06-29T14:21:59Z</dcterms:modified>
</cp:coreProperties>
</file>