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C6" i="17" s="1"/>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22" i="59"/>
  <c r="C20" i="16"/>
  <c r="C22" i="16" s="1"/>
  <c r="D43" i="14" s="1"/>
  <c r="C10" i="17"/>
  <c r="C12" i="17" s="1"/>
  <c r="D54" i="14" s="1"/>
  <c r="D56" i="14" s="1"/>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<sst xmlns="http://schemas.openxmlformats.org/spreadsheetml/2006/main" count="2456" uniqueCount="887">
  <si>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</si>
  <si>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</si>
  <si>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</si>
  <si>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</si>
  <si>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</si>
  <si>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</si>
  <si>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</si>
  <si>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</si>
  <si>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</si>
  <si>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</si>
  <si>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</si>
  <si>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</si>
  <si>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</si>
  <si>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</si>
  <si>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</si>
  <si>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</si>
  <si>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</si>
  <si>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</si>
  <si>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</si>
  <si>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</si>
  <si>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</si>
  <si>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</si>
  <si>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</si>
  <si>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</si>
  <si>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</si>
  <si>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</si>
  <si>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</si>
  <si>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</si>
  <si>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</si>
  <si>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</si>
  <si>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</si>
  <si>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</si>
  <si>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</si>
  <si>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</si>
  <si>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</si>
  <si>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</si>
  <si>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</si>
  <si>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</si>
  <si>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</si>
  <si>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</si>
  <si>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</si>
  <si>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</si>
  <si>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</si>
  <si>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</si>
  <si>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</si>
  <si>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</si>
  <si>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</si>
  <si>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</si>
  <si>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</si>
  <si>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</si>
  <si>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</si>
  <si>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</si>
  <si>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</si>
  <si>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</si>
  <si>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</si>
  <si>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</si>
  <si>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</si>
  <si>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</si>
  <si>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</si>
  <si>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</si>
  <si>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</si>
  <si>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</si>
  <si>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</si>
  <si>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</si>
  <si>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</si>
  <si>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</si>
  <si>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</si>
  <si>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</si>
  <si>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</si>
  <si>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</si>
  <si>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</si>
  <si>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</si>
  <si>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</si>
  <si>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</si>
  <si>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</si>
  <si>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</si>
  <si>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</si>
  <si>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</si>
  <si>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</si>
  <si>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</si>
  <si>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</si>
  <si>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</si>
  <si>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</si>
  <si>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</si>
  <si>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</si>
  <si>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</si>
  <si>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</si>
  <si>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</si>
  <si>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</si>
  <si>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</si>
  <si>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</si>
  <si>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</si>
  <si>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</si>
  <si>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</si>
  <si>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</si>
  <si>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</si>
  <si>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</si>
  <si>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</si>
  <si>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</si>
  <si>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</si>
  <si>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</si>
  <si>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</si>
  <si>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</si>
  <si>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</si>
  <si>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</si>
  <si>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</si>
  <si>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</si>
  <si>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</si>
  <si>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</si>
  <si>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</si>
  <si>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</si>
  <si>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</si>
  <si>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</si>
  <si>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</si>
  <si>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</si>
  <si>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</si>
  <si>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</si>
  <si>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</si>
  <si>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</si>
  <si>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</si>
  <si>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</si>
  <si>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</si>
  <si>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</si>
  <si>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</si>
  <si>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</si>
  <si>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</si>
  <si>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</si>
  <si>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</si>
  <si>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</si>
  <si>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</si>
  <si>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</si>
  <si>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</si>
  <si>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</si>
  <si>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</si>
  <si>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</si>
  <si>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</si>
  <si>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</si>
  <si>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</si>
  <si>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</si>
  <si>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</si>
  <si>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</si>
  <si>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</si>
  <si>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</si>
  <si>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</si>
  <si>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</si>
  <si>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</si>
  <si>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</si>
  <si>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</si>
  <si>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</si>
  <si>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</si>
  <si>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</si>
  <si>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</si>
  <si>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</si>
  <si>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</si>
  <si>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</si>
  <si>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</si>
  <si>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</si>
  <si>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</si>
  <si>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</si>
  <si>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</si>
  <si>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</si>
  <si>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</si>
  <si>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</si>
  <si>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</si>
  <si>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</si>
  <si>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</si>
  <si>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</si>
  <si>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</si>
  <si>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</si>
  <si>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</si>
  <si>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</si>
  <si>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</si>
  <si>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</si>
  <si>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</si>
  <si>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</si>
  <si>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</si>
  <si>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</si>
  <si>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</si>
  <si>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</si>
  <si>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</si>
  <si>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</si>
  <si>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</si>
  <si>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</si>
  <si>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</si>
  <si>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</si>
  <si>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</si>
  <si>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</si>
  <si>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</si>
  <si>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</si>
  <si>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</si>
  <si>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</si>
  <si>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</si>
  <si>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</si>
  <si>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</si>
  <si>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</si>
  <si>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</si>
  <si>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</si>
  <si>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</si>
  <si>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</si>
  <si>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</si>
  <si>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</si>
  <si>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</si>
  <si>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</si>
  <si>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</si>
  <si>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</si>
  <si>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</si>
  <si>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</si>
  <si>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</si>
  <si>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</si>
  <si>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</si>
  <si>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</si>
  <si>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</si>
  <si>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</si>
  <si>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</si>
  <si>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</si>
  <si>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</si>
  <si>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</si>
  <si>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</si>
  <si>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</si>
  <si>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</si>
  <si>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</si>
  <si>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</si>
  <si>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</si>
  <si>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</si>
  <si>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</si>
  <si>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</si>
  <si>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</si>
  <si>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</si>
  <si>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</si>
  <si>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</si>
  <si>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</si>
  <si>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</si>
  <si>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</si>
  <si>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</si>
  <si>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</si>
  <si>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</si>
  <si>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</si>
  <si>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</si>
  <si>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</si>
  <si>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</si>
  <si>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</si>
  <si>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</si>
  <si>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</si>
  <si>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</si>
  <si>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</si>
  <si>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</si>
  <si>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</si>
  <si>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</si>
  <si>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</si>
  <si>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</si>
  <si>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</si>
  <si>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</si>
  <si>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</si>
  <si>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</si>
  <si>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</si>
  <si>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</si>
  <si>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</si>
  <si>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</si>
  <si>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</si>
  <si>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</si>
  <si>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</si>
  <si>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</si>
  <si>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</si>
  <si>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</si>
  <si>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</si>
  <si>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</si>
  <si>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</si>
  <si>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</si>
  <si>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</si>
  <si>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</si>
  <si>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</si>
  <si>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</si>
  <si>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</si>
  <si>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</si>
  <si>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</si>
  <si>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</si>
  <si>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</si>
  <si>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</si>
  <si>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</si>
  <si>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</si>
  <si>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</si>
  <si>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</si>
  <si>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</si>
  <si>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</si>
  <si>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</si>
  <si>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</si>
  <si>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</si>
  <si>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</si>
  <si>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</si>
  <si>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</si>
  <si>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</si>
  <si>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</si>
  <si>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</si>
  <si>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</si>
  <si>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</si>
  <si>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</si>
  <si>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</si>
  <si>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</si>
  <si>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</si>
  <si>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</si>
  <si>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</si>
  <si>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</si>
  <si>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</si>
  <si>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</si>
  <si>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</si>
  <si>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</si>
  <si>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</si>
  <si>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</si>
  <si>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</si>
  <si>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</si>
  <si>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</si>
  <si>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</si>
  <si>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</si>
  <si>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</si>
  <si>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</si>
  <si>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</si>
  <si>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</si>
  <si>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</si>
  <si>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</si>
  <si>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</si>
  <si>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</si>
  <si>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</si>
  <si>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</si>
  <si>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</si>
  <si>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</si>
  <si>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</si>
  <si>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</si>
  <si>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</si>
  <si>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</si>
  <si>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</si>
  <si>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</si>
  <si>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</si>
  <si>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</si>
  <si>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</si>
  <si>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</si>
  <si>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</si>
  <si>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</si>
  <si>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</si>
  <si>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</si>
  <si>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</si>
  <si>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</si>
  <si>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</si>
  <si>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</si>
  <si>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</si>
  <si>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</si>
  <si>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</si>
  <si>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</si>
  <si>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</si>
  <si>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</si>
  <si>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</si>
  <si>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</si>
  <si>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</si>
  <si>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</si>
  <si>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</si>
  <si>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</si>
  <si>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</si>
  <si>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</si>
  <si>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</si>
  <si>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</si>
  <si>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</si>
  <si>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</si>
  <si>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</si>
  <si>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</si>
  <si>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</si>
  <si>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</si>
  <si>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</si>
  <si>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</si>
  <si>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</si>
  <si>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</si>
  <si>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</si>
  <si>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</si>
  <si>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</si>
  <si>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</si>
  <si>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</si>
  <si>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</si>
  <si>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</si>
  <si>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</si>
  <si>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</si>
  <si>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</si>
  <si>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</si>
  <si>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</si>
  <si>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</si>
  <si>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</si>
  <si>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</si>
  <si>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</si>
  <si>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</si>
  <si>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</si>
  <si>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</si>
  <si>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</si>
  <si>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</si>
  <si>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</si>
  <si>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</si>
  <si>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</si>
  <si>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</si>
  <si>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</si>
  <si>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</si>
  <si>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</si>
  <si>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</si>
  <si>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</si>
  <si>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</si>
  <si>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</si>
  <si>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</si>
  <si>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</si>
  <si>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</si>
  <si>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</si>
  <si>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</si>
  <si>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</si>
  <si>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</si>
  <si>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</si>
  <si>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</si>
  <si>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</si>
  <si>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</si>
  <si>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</si>
  <si>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</si>
  <si>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</si>
  <si>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</si>
  <si>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</si>
  <si>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</si>
  <si>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</si>
  <si>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</si>
  <si>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</si>
  <si>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</si>
  <si>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</si>
  <si>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</si>
  <si>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</si>
  <si>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</si>
  <si>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</si>
  <si>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</si>
  <si>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</si>
  <si>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</si>
  <si>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</si>
  <si>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</si>
  <si>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</si>
  <si>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</si>
  <si>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</si>
  <si>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</si>
  <si>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</si>
  <si>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</si>
  <si>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</si>
  <si>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</si>
  <si>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</si>
  <si>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</si>
  <si>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</si>
  <si>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</si>
  <si>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</si>
  <si>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</si>
  <si>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</si>
  <si>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</si>
  <si>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</si>
  <si>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</si>
  <si>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</si>
  <si>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</si>
  <si>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</si>
  <si>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</si>
  <si>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</si>
  <si>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</si>
  <si>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</si>
  <si>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</si>
  <si>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</si>
  <si>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</si>
  <si>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</si>
  <si>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</si>
  <si>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</si>
  <si>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</si>
  <si>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</si>
  <si>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</si>
  <si>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</si>
  <si>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</si>
  <si>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</si>
  <si>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</si>
  <si>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</si>
  <si>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</si>
  <si>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</si>
  <si>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</si>
  <si>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</si>
  <si>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</si>
  <si>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</si>
  <si>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</si>
  <si>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</si>
  <si>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</si>
  <si>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</si>
  <si>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</si>
  <si>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</si>
  <si>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</si>
  <si>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</si>
  <si>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</si>
  <si>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</si>
  <si>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</si>
  <si>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</si>
  <si>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</si>
  <si>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</si>
  <si>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</si>
  <si>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</si>
  <si>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</si>
  <si>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</si>
  <si>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</si>
  <si>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</si>
  <si>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</si>
  <si>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</si>
  <si>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</si>
  <si>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</si>
  <si>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</si>
  <si>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</si>
  <si>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</si>
  <si>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</si>
  <si>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</si>
  <si>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</si>
  <si>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</si>
  <si>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</si>
  <si>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</si>
  <si>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</si>
  <si>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</si>
  <si>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</si>
  <si>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</si>
  <si>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</si>
  <si>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</si>
  <si>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</si>
  <si>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</si>
  <si>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</si>
  <si>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</si>
  <si>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</si>
  <si>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</si>
  <si>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</si>
  <si>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</si>
  <si>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</si>
  <si>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</si>
  <si>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</si>
  <si>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</si>
  <si>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</si>
  <si>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</si>
  <si>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</si>
  <si>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</si>
  <si>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</si>
  <si>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</si>
  <si>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</si>
  <si>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</si>
  <si>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</si>
  <si>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</si>
  <si>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</si>
  <si>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</si>
  <si>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</si>
  <si>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</si>
  <si>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</si>
  <si>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</si>
  <si>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</si>
  <si>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</si>
  <si>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</si>
  <si>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</si>
  <si>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</si>
  <si>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</si>
  <si>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</si>
  <si>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</si>
  <si>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</si>
  <si>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</si>
  <si>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</si>
  <si>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</si>
  <si>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</si>
  <si>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</si>
  <si>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</si>
  <si>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</si>
  <si>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</si>
  <si>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</si>
  <si>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</si>
  <si>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</si>
  <si>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</si>
  <si>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</si>
  <si>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</si>
  <si>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</si>
  <si>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</si>
  <si>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</si>
  <si>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</si>
  <si>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</si>
  <si>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</si>
  <si>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</si>
  <si>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</si>
  <si>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</si>
  <si>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</si>
  <si>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</si>
  <si>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</si>
  <si>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</si>
  <si>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</si>
  <si>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</si>
  <si>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</si>
  <si>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</si>
  <si>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</si>
  <si>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</si>
  <si>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</si>
  <si>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</si>
  <si>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</si>
  <si>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</si>
  <si>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</si>
  <si>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</si>
  <si>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</si>
  <si>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</si>
  <si>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</si>
  <si>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</si>
  <si>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</si>
  <si>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</si>
  <si>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</si>
  <si>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</si>
  <si>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</si>
  <si>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</si>
  <si>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</si>
  <si>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</si>
  <si>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</si>
  <si>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</si>
  <si>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</si>
  <si>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</si>
  <si>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</si>
  <si>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</si>
  <si>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</si>
  <si>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</si>
  <si>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</si>
  <si>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</si>
  <si>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</si>
  <si>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</si>
  <si>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</si>
  <si>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</si>
  <si>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</si>
  <si>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</si>
  <si>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</si>
  <si>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</si>
  <si>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</si>
  <si>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</si>
  <si>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</si>
  <si>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</si>
  <si>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</si>
  <si>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</si>
  <si>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</si>
  <si>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</si>
  <si>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</si>
  <si>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</si>
  <si>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</si>
  <si>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</si>
  <si>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</si>
  <si>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</si>
  <si>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</si>
  <si>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</si>
  <si>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</si>
  <si>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</si>
  <si>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</si>
  <si>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</si>
  <si>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</si>
  <si>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</si>
  <si>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</si>
  <si>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</si>
  <si>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</si>
  <si>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</si>
  <si>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</si>
  <si>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</si>
  <si>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</si>
  <si>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</si>
  <si>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</si>
  <si>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</si>
  <si>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</si>
  <si>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</si>
  <si>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</si>
  <si>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</si>
  <si>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</si>
  <si>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</si>
  <si>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</si>
  <si>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</si>
  <si>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</si>
  <si>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</si>
  <si>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</si>
  <si>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</si>
  <si>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</si>
  <si>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</si>
  <si>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</si>
  <si>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</si>
  <si>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</si>
  <si>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</si>
  <si>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</si>
  <si>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</si>
  <si>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</si>
  <si>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</si>
  <si>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</si>
  <si>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</si>
  <si>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</si>
  <si>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</si>
  <si>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</si>
  <si>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</si>
  <si>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</si>
  <si>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</si>
  <si>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</si>
  <si>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</si>
  <si>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</si>
  <si>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</si>
  <si>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</si>
  <si>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</si>
  <si>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</si>
  <si>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</si>
  <si>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</si>
  <si>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</si>
  <si>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</si>
  <si>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</si>
  <si>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</si>
  <si>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</si>
  <si>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</si>
  <si>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</si>
  <si>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</si>
  <si>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</si>
  <si>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</si>
  <si>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</si>
  <si>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</si>
  <si>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</si>
  <si>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</si>
  <si>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</si>
  <si>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</si>
  <si>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</si>
  <si>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</si>
  <si>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</si>
  <si>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</si>
  <si>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</si>
  <si>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</si>
  <si>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</si>
  <si>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</si>
  <si>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</si>
  <si>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</si>
  <si>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</si>
  <si>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</si>
  <si>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</si>
  <si>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</si>
  <si>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</si>
  <si>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</si>
  <si>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</si>
  <si>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</si>
  <si>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</si>
  <si>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</si>
  <si>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</si>
  <si>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</si>
  <si>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</si>
  <si>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</si>
  <si>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</si>
  <si>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</si>
  <si>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</si>
  <si>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</si>
  <si>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</si>
  <si>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</si>
  <si>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</si>
  <si>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</si>
  <si>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</si>
  <si>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</si>
  <si>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</si>
  <si>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</si>
  <si>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</si>
  <si>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</si>
  <si>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</si>
  <si>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</si>
  <si>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</si>
  <si>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</si>
  <si>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</si>
  <si>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</si>
  <si>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</si>
  <si>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</si>
  <si>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</si>
  <si>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</si>
  <si>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</si>
  <si>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</si>
  <si>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</si>
  <si>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</si>
  <si>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</si>
  <si>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</si>
  <si>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</si>
  <si>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</si>
  <si>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</si>
  <si>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</si>
  <si>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</si>
  <si>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</si>
  <si>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</si>
  <si>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</si>
  <si>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</si>
  <si>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</si>
  <si>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</si>
  <si>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</si>
  <si>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</si>
  <si>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</si>
  <si>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</si>
  <si>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</si>
  <si>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</si>
  <si>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</si>
  <si>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</si>
  <si>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</si>
  <si>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</si>
  <si>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</si>
  <si>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</si>
  <si>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</si>
  <si>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</si>
  <si>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</si>
  <si>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</si>
  <si>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</si>
  <si>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</si>
  <si>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</si>
  <si>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</si>
  <si>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</si>
  <si>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</si>
  <si>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</si>
  <si>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</si>
  <si>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</si>
  <si>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</si>
  <si>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</si>
  <si>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</si>
  <si>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</si>
  <si>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</si>
  <si>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</si>
  <si>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</si>
  <si>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</si>
  <si>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</si>
  <si>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</si>
  <si>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</si>
  <si>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</si>
  <si>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</si>
  <si>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</si>
  <si>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</si>
  <si>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</si>
  <si>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</si>
  <si>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</si>
  <si>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</si>
  <si>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</si>
  <si>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</si>
  <si>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</si>
  <si>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</si>
  <si>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</si>
  <si>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</si>
  <si>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</si>
  <si>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</si>
  <si>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</si>
  <si>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</si>
  <si>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</si>
  <si>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</si>
  <si>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</si>
  <si>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</si>
  <si>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</si>
  <si>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</si>
  <si>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</si>
  <si>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</si>
  <si>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</si>
  <si>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</si>
  <si>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</si>
  <si>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</si>
  <si>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</si>
  <si>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</si>
  <si>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</si>
  <si>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</si>
  <si>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</si>
  <si>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</si>
  <si>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</si>
  <si>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</si>
  <si>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</si>
  <si>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</si>
  <si>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</si>
  <si>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</si>
  <si>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</si>
  <si>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</si>
  <si>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</si>
  <si>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</si>
  <si>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</si>
  <si>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</si>
  <si>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</si>
  <si>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</si>
  <si>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</si>
  <si>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</si>
  <si>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</si>
  <si>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</si>
  <si>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</si>
  <si>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</si>
  <si>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</si>
  <si>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</si>
  <si>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</si>
  <si>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</si>
  <si>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72003</t>
  </si>
  <si>
    <t>BOCHOLT</t>
  </si>
  <si>
    <t>referentietaak LNE (2017); Jaarverslag De Lijn</t>
  </si>
  <si>
    <t>waterkracht</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</si>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</sst>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106755.47400220817</c:v>
                </c:pt>
                <c:pt idx="1">
                  <c:v>67334.560636032737</c:v>
                </c:pt>
                <c:pt idx="2">
                  <c:v>952.38955700000008</c:v>
                </c:pt>
                <c:pt idx="3">
                  <c:v>16334.295046899306</c:v>
                </c:pt>
                <c:pt idx="4">
                  <c:v>135997.68966497143</c:v>
                </c:pt>
                <c:pt idx="5">
                  <c:v>60120.892442932753</c:v>
                </c:pt>
                <c:pt idx="6">
                  <c:v>979.55709114900696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106755.47400220817</c:v>
                </c:pt>
                <c:pt idx="1">
                  <c:v>67334.560636032737</c:v>
                </c:pt>
                <c:pt idx="2">
                  <c:v>952.38955700000008</c:v>
                </c:pt>
                <c:pt idx="3">
                  <c:v>16334.295046899306</c:v>
                </c:pt>
                <c:pt idx="4">
                  <c:v>135997.68966497143</c:v>
                </c:pt>
                <c:pt idx="5">
                  <c:v>60120.892442932753</c:v>
                </c:pt>
                <c:pt idx="6">
                  <c:v>979.55709114900696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21489.725889886595</c:v>
                </c:pt>
                <c:pt idx="1">
                  <c:v>9080.9706114131404</c:v>
                </c:pt>
                <c:pt idx="2">
                  <c:v>163.06251478960772</c:v>
                </c:pt>
                <c:pt idx="3">
                  <c:v>4051.812788736298</c:v>
                </c:pt>
                <c:pt idx="4">
                  <c:v>25719.336922350365</c:v>
                </c:pt>
                <c:pt idx="5">
                  <c:v>14888.550000596848</c:v>
                </c:pt>
                <c:pt idx="6">
                  <c:v>246.15507205952429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21489.725889886595</c:v>
                </c:pt>
                <c:pt idx="1">
                  <c:v>9080.9706114131404</c:v>
                </c:pt>
                <c:pt idx="2">
                  <c:v>163.06251478960772</c:v>
                </c:pt>
                <c:pt idx="3">
                  <c:v>4051.812788736298</c:v>
                </c:pt>
                <c:pt idx="4">
                  <c:v>25719.336922350365</c:v>
                </c:pt>
                <c:pt idx="5">
                  <c:v>14888.550000596848</c:v>
                </c:pt>
                <c:pt idx="6">
                  <c:v>246.15507205952429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72003</v>
      </c>
      <c r="B6" s="386"/>
      <c r="C6" s="387"/>
    </row>
    <row r="7" spans="1:7" s="384" customFormat="1" ht="15.75" customHeight="1">
      <c r="A7" s="388" t="str">
        <f>txtMunicipality</f>
        <v>BOCHOLT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26596.356102999998</v>
      </c>
      <c r="D10" s="683">
        <f ca="1">tertiair!C16</f>
        <v>19118.571428571428</v>
      </c>
      <c r="E10" s="683">
        <f ca="1">tertiair!D16</f>
        <v>19742.172355878</v>
      </c>
      <c r="F10" s="683">
        <f>tertiair!E16</f>
        <v>47.287233847939028</v>
      </c>
      <c r="G10" s="683">
        <f ca="1">tertiair!F16</f>
        <v>2590.6465090063593</v>
      </c>
      <c r="H10" s="683">
        <f>tertiair!G16</f>
        <v>0</v>
      </c>
      <c r="I10" s="683">
        <f>tertiair!H16</f>
        <v>0</v>
      </c>
      <c r="J10" s="683">
        <f>tertiair!I16</f>
        <v>0</v>
      </c>
      <c r="K10" s="683">
        <f>tertiair!J16</f>
        <v>1.8322448635841079E-2</v>
      </c>
      <c r="L10" s="683">
        <f>tertiair!K16</f>
        <v>0</v>
      </c>
      <c r="M10" s="683">
        <f ca="1">tertiair!L16</f>
        <v>0</v>
      </c>
      <c r="N10" s="683">
        <f>tertiair!M16</f>
        <v>0</v>
      </c>
      <c r="O10" s="683">
        <f ca="1">tertiair!N16</f>
        <v>0</v>
      </c>
      <c r="P10" s="683">
        <f>tertiair!O16</f>
        <v>34.280825360888088</v>
      </c>
      <c r="Q10" s="684">
        <f>tertiair!P16</f>
        <v>157.61741491948504</v>
      </c>
      <c r="R10" s="686">
        <f ca="1">SUM(C10:Q10)</f>
        <v>68286.950193032724</v>
      </c>
      <c r="S10" s="67"/>
    </row>
    <row r="11" spans="1:19" s="445" customFormat="1">
      <c r="A11" s="804" t="s">
        <v>220</v>
      </c>
      <c r="B11" s="809"/>
      <c r="C11" s="683">
        <f>huishoudens!B8</f>
        <v>23588.11564213131</v>
      </c>
      <c r="D11" s="683">
        <f>huishoudens!C8</f>
        <v>0</v>
      </c>
      <c r="E11" s="683">
        <f>huishoudens!D8</f>
        <v>36018.900141671911</v>
      </c>
      <c r="F11" s="683">
        <f>huishoudens!E8</f>
        <v>1662.558530279274</v>
      </c>
      <c r="G11" s="683">
        <f>huishoudens!F8</f>
        <v>36421.013470256665</v>
      </c>
      <c r="H11" s="683">
        <f>huishoudens!G8</f>
        <v>0</v>
      </c>
      <c r="I11" s="683">
        <f>huishoudens!H8</f>
        <v>0</v>
      </c>
      <c r="J11" s="683">
        <f>huishoudens!I8</f>
        <v>0</v>
      </c>
      <c r="K11" s="683">
        <f>huishoudens!J8</f>
        <v>207.56733927011513</v>
      </c>
      <c r="L11" s="683">
        <f>huishoudens!K8</f>
        <v>0</v>
      </c>
      <c r="M11" s="683">
        <f>huishoudens!L8</f>
        <v>0</v>
      </c>
      <c r="N11" s="683">
        <f>huishoudens!M8</f>
        <v>0</v>
      </c>
      <c r="O11" s="683">
        <f>huishoudens!N8</f>
        <v>7487.0107012142835</v>
      </c>
      <c r="P11" s="683">
        <f>huishoudens!O8</f>
        <v>495.98955484675793</v>
      </c>
      <c r="Q11" s="684">
        <f>huishoudens!P8</f>
        <v>874.31862253785675</v>
      </c>
      <c r="R11" s="686">
        <f>SUM(C11:Q11)</f>
        <v>106755.47400220817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51549.81279299999</v>
      </c>
      <c r="D13" s="683">
        <f>industrie!C18</f>
        <v>0</v>
      </c>
      <c r="E13" s="683">
        <f>industrie!D18</f>
        <v>78233.585428949984</v>
      </c>
      <c r="F13" s="683">
        <f>industrie!E18</f>
        <v>128.33765841523342</v>
      </c>
      <c r="G13" s="683">
        <f>industrie!F18</f>
        <v>3958.0923575376073</v>
      </c>
      <c r="H13" s="683">
        <f>industrie!G18</f>
        <v>0</v>
      </c>
      <c r="I13" s="683">
        <f>industrie!H18</f>
        <v>0</v>
      </c>
      <c r="J13" s="683">
        <f>industrie!I18</f>
        <v>0</v>
      </c>
      <c r="K13" s="683">
        <f>industrie!J18</f>
        <v>11.736958615422179</v>
      </c>
      <c r="L13" s="683">
        <f>industrie!K18</f>
        <v>0</v>
      </c>
      <c r="M13" s="683">
        <f>industrie!L18</f>
        <v>0</v>
      </c>
      <c r="N13" s="683">
        <f>industrie!M18</f>
        <v>0</v>
      </c>
      <c r="O13" s="683">
        <f>industrie!N18</f>
        <v>2116.1244684532039</v>
      </c>
      <c r="P13" s="683">
        <f>industrie!O18</f>
        <v>0</v>
      </c>
      <c r="Q13" s="684">
        <f>industrie!P18</f>
        <v>0</v>
      </c>
      <c r="R13" s="686">
        <f>SUM(C13:Q13)</f>
        <v>135997.68966497143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101734.28453813129</v>
      </c>
      <c r="D16" s="719">
        <f t="shared" ref="D16:R16" ca="1" si="0">SUM(D9:D15)</f>
        <v>19118.571428571428</v>
      </c>
      <c r="E16" s="719">
        <f t="shared" ca="1" si="0"/>
        <v>133994.6579264999</v>
      </c>
      <c r="F16" s="719">
        <f t="shared" si="0"/>
        <v>1838.1834225424464</v>
      </c>
      <c r="G16" s="719">
        <f t="shared" ca="1" si="0"/>
        <v>42969.75233680063</v>
      </c>
      <c r="H16" s="719">
        <f t="shared" si="0"/>
        <v>0</v>
      </c>
      <c r="I16" s="719">
        <f t="shared" si="0"/>
        <v>0</v>
      </c>
      <c r="J16" s="719">
        <f t="shared" si="0"/>
        <v>0</v>
      </c>
      <c r="K16" s="719">
        <f t="shared" si="0"/>
        <v>219.32262033417314</v>
      </c>
      <c r="L16" s="719">
        <f t="shared" si="0"/>
        <v>0</v>
      </c>
      <c r="M16" s="719">
        <f t="shared" ca="1" si="0"/>
        <v>0</v>
      </c>
      <c r="N16" s="719">
        <f t="shared" si="0"/>
        <v>0</v>
      </c>
      <c r="O16" s="719">
        <f t="shared" ca="1" si="0"/>
        <v>9603.1351696674865</v>
      </c>
      <c r="P16" s="719">
        <f t="shared" si="0"/>
        <v>530.27038020764599</v>
      </c>
      <c r="Q16" s="719">
        <f t="shared" si="0"/>
        <v>1031.9360374573419</v>
      </c>
      <c r="R16" s="719">
        <f t="shared" ca="1" si="0"/>
        <v>311040.11386021232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14.577273850382515</v>
      </c>
      <c r="D19" s="683">
        <f>transport!C54</f>
        <v>0</v>
      </c>
      <c r="E19" s="683">
        <f>transport!D54</f>
        <v>0</v>
      </c>
      <c r="F19" s="683">
        <f>transport!E54</f>
        <v>0</v>
      </c>
      <c r="G19" s="683">
        <f>transport!F54</f>
        <v>0</v>
      </c>
      <c r="H19" s="683">
        <f>transport!G54</f>
        <v>912.58141321930907</v>
      </c>
      <c r="I19" s="683">
        <f>transport!H54</f>
        <v>0</v>
      </c>
      <c r="J19" s="683">
        <f>transport!I54</f>
        <v>0</v>
      </c>
      <c r="K19" s="683">
        <f>transport!J54</f>
        <v>0</v>
      </c>
      <c r="L19" s="683">
        <f>transport!K54</f>
        <v>0</v>
      </c>
      <c r="M19" s="683">
        <f>transport!L54</f>
        <v>0</v>
      </c>
      <c r="N19" s="683">
        <f>transport!M54</f>
        <v>52.398404079315306</v>
      </c>
      <c r="O19" s="683">
        <f>transport!N54</f>
        <v>0</v>
      </c>
      <c r="P19" s="683">
        <f>transport!O54</f>
        <v>0</v>
      </c>
      <c r="Q19" s="684">
        <f>transport!P54</f>
        <v>0</v>
      </c>
      <c r="R19" s="686">
        <f>SUM(C19:Q19)</f>
        <v>979.55709114900696</v>
      </c>
      <c r="S19" s="67"/>
    </row>
    <row r="20" spans="1:19" s="445" customFormat="1">
      <c r="A20" s="804" t="s">
        <v>302</v>
      </c>
      <c r="B20" s="809"/>
      <c r="C20" s="683">
        <f>transport!B14</f>
        <v>134.65620451110442</v>
      </c>
      <c r="D20" s="683">
        <f>transport!C14</f>
        <v>0</v>
      </c>
      <c r="E20" s="683">
        <f>transport!D14</f>
        <v>254.26539127681136</v>
      </c>
      <c r="F20" s="683">
        <f>transport!E14</f>
        <v>98.908002918271251</v>
      </c>
      <c r="G20" s="683">
        <f>transport!F14</f>
        <v>0</v>
      </c>
      <c r="H20" s="683">
        <f>transport!G14</f>
        <v>43818.567470552778</v>
      </c>
      <c r="I20" s="683">
        <f>transport!H14</f>
        <v>12418.167551209383</v>
      </c>
      <c r="J20" s="683">
        <f>transport!I14</f>
        <v>0</v>
      </c>
      <c r="K20" s="683">
        <f>transport!J14</f>
        <v>0</v>
      </c>
      <c r="L20" s="683">
        <f>transport!K14</f>
        <v>0</v>
      </c>
      <c r="M20" s="683">
        <f>transport!L14</f>
        <v>0</v>
      </c>
      <c r="N20" s="683">
        <f>transport!M14</f>
        <v>3396.3278224644123</v>
      </c>
      <c r="O20" s="683">
        <f>transport!N14</f>
        <v>0</v>
      </c>
      <c r="P20" s="683">
        <f>transport!O14</f>
        <v>0</v>
      </c>
      <c r="Q20" s="684">
        <f>transport!P14</f>
        <v>0</v>
      </c>
      <c r="R20" s="686">
        <f>SUM(C20:Q20)</f>
        <v>60120.892442932753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149.23347836148693</v>
      </c>
      <c r="D22" s="807">
        <f t="shared" ref="D22:R22" si="1">SUM(D18:D21)</f>
        <v>0</v>
      </c>
      <c r="E22" s="807">
        <f t="shared" si="1"/>
        <v>254.26539127681136</v>
      </c>
      <c r="F22" s="807">
        <f t="shared" si="1"/>
        <v>98.908002918271251</v>
      </c>
      <c r="G22" s="807">
        <f t="shared" si="1"/>
        <v>0</v>
      </c>
      <c r="H22" s="807">
        <f t="shared" si="1"/>
        <v>44731.14888377209</v>
      </c>
      <c r="I22" s="807">
        <f t="shared" si="1"/>
        <v>12418.167551209383</v>
      </c>
      <c r="J22" s="807">
        <f t="shared" si="1"/>
        <v>0</v>
      </c>
      <c r="K22" s="807">
        <f t="shared" si="1"/>
        <v>0</v>
      </c>
      <c r="L22" s="807">
        <f t="shared" si="1"/>
        <v>0</v>
      </c>
      <c r="M22" s="807">
        <f t="shared" si="1"/>
        <v>0</v>
      </c>
      <c r="N22" s="807">
        <f t="shared" si="1"/>
        <v>3448.7262265437275</v>
      </c>
      <c r="O22" s="807">
        <f t="shared" si="1"/>
        <v>0</v>
      </c>
      <c r="P22" s="807">
        <f t="shared" si="1"/>
        <v>0</v>
      </c>
      <c r="Q22" s="807">
        <f t="shared" si="1"/>
        <v>0</v>
      </c>
      <c r="R22" s="807">
        <f t="shared" si="1"/>
        <v>61100.449534081759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3627.3873799999997</v>
      </c>
      <c r="D24" s="683">
        <f>+landbouw!C8</f>
        <v>124.71428571428569</v>
      </c>
      <c r="E24" s="683">
        <f>+landbouw!D8</f>
        <v>73.533494223000005</v>
      </c>
      <c r="F24" s="683">
        <f>+landbouw!E8</f>
        <v>103.89451322651011</v>
      </c>
      <c r="G24" s="683">
        <f>+landbouw!F8</f>
        <v>11482.434671641942</v>
      </c>
      <c r="H24" s="683">
        <f>+landbouw!G8</f>
        <v>0</v>
      </c>
      <c r="I24" s="683">
        <f>+landbouw!H8</f>
        <v>0</v>
      </c>
      <c r="J24" s="683">
        <f>+landbouw!I8</f>
        <v>0</v>
      </c>
      <c r="K24" s="683">
        <f>+landbouw!J8</f>
        <v>922.33070209356868</v>
      </c>
      <c r="L24" s="683">
        <f>+landbouw!K8</f>
        <v>0</v>
      </c>
      <c r="M24" s="683">
        <f>+landbouw!L8</f>
        <v>0</v>
      </c>
      <c r="N24" s="683">
        <f>+landbouw!M8</f>
        <v>0</v>
      </c>
      <c r="O24" s="683">
        <f>+landbouw!N8</f>
        <v>0</v>
      </c>
      <c r="P24" s="683">
        <f>+landbouw!O8</f>
        <v>0</v>
      </c>
      <c r="Q24" s="684">
        <f>+landbouw!P8</f>
        <v>0</v>
      </c>
      <c r="R24" s="686">
        <f>SUM(C24:Q24)</f>
        <v>16334.295046899306</v>
      </c>
      <c r="S24" s="67"/>
    </row>
    <row r="25" spans="1:19" s="445" customFormat="1" ht="15" thickBot="1">
      <c r="A25" s="826" t="s">
        <v>696</v>
      </c>
      <c r="B25" s="939"/>
      <c r="C25" s="940">
        <f>IF(Onbekend_ele_kWh="---",0,Onbekend_ele_kWh)/1000+IF(REST_rest_ele_kWh="---",0,REST_rest_ele_kWh)/1000</f>
        <v>497.53200599999997</v>
      </c>
      <c r="D25" s="940"/>
      <c r="E25" s="940">
        <f>IF(onbekend_gas_kWh="---",0,onbekend_gas_kWh)/1000+IF(REST_rest_gas_kWh="---",0,REST_rest_gas_kWh)/1000</f>
        <v>854.04153099999996</v>
      </c>
      <c r="F25" s="940"/>
      <c r="G25" s="940"/>
      <c r="H25" s="940"/>
      <c r="I25" s="940"/>
      <c r="J25" s="940"/>
      <c r="K25" s="940"/>
      <c r="L25" s="940"/>
      <c r="M25" s="940"/>
      <c r="N25" s="940"/>
      <c r="O25" s="940"/>
      <c r="P25" s="940"/>
      <c r="Q25" s="941"/>
      <c r="R25" s="686">
        <f>SUM(C25:Q25)</f>
        <v>1351.573537</v>
      </c>
      <c r="S25" s="67"/>
    </row>
    <row r="26" spans="1:19" s="445" customFormat="1" ht="15.75" thickBot="1">
      <c r="A26" s="691" t="s">
        <v>697</v>
      </c>
      <c r="B26" s="812"/>
      <c r="C26" s="807">
        <f>SUM(C24:C25)</f>
        <v>4124.9193859999996</v>
      </c>
      <c r="D26" s="807">
        <f t="shared" ref="D26:R26" si="2">SUM(D24:D25)</f>
        <v>124.71428571428569</v>
      </c>
      <c r="E26" s="807">
        <f t="shared" si="2"/>
        <v>927.57502522300001</v>
      </c>
      <c r="F26" s="807">
        <f t="shared" si="2"/>
        <v>103.89451322651011</v>
      </c>
      <c r="G26" s="807">
        <f t="shared" si="2"/>
        <v>11482.434671641942</v>
      </c>
      <c r="H26" s="807">
        <f t="shared" si="2"/>
        <v>0</v>
      </c>
      <c r="I26" s="807">
        <f t="shared" si="2"/>
        <v>0</v>
      </c>
      <c r="J26" s="807">
        <f t="shared" si="2"/>
        <v>0</v>
      </c>
      <c r="K26" s="807">
        <f t="shared" si="2"/>
        <v>922.33070209356868</v>
      </c>
      <c r="L26" s="807">
        <f t="shared" si="2"/>
        <v>0</v>
      </c>
      <c r="M26" s="807">
        <f t="shared" si="2"/>
        <v>0</v>
      </c>
      <c r="N26" s="807">
        <f t="shared" si="2"/>
        <v>0</v>
      </c>
      <c r="O26" s="807">
        <f t="shared" si="2"/>
        <v>0</v>
      </c>
      <c r="P26" s="807">
        <f t="shared" si="2"/>
        <v>0</v>
      </c>
      <c r="Q26" s="807">
        <f t="shared" si="2"/>
        <v>0</v>
      </c>
      <c r="R26" s="807">
        <f t="shared" si="2"/>
        <v>17685.868583899304</v>
      </c>
      <c r="S26" s="67"/>
    </row>
    <row r="27" spans="1:19" s="445" customFormat="1" ht="17.25" thickTop="1" thickBot="1">
      <c r="A27" s="692" t="s">
        <v>115</v>
      </c>
      <c r="B27" s="799"/>
      <c r="C27" s="693">
        <f ca="1">C22+C16+C26</f>
        <v>106008.43740249278</v>
      </c>
      <c r="D27" s="693">
        <f t="shared" ref="D27:R27" ca="1" si="3">D22+D16+D26</f>
        <v>19243.285714285714</v>
      </c>
      <c r="E27" s="693">
        <f t="shared" ca="1" si="3"/>
        <v>135176.49834299969</v>
      </c>
      <c r="F27" s="693">
        <f t="shared" si="3"/>
        <v>2040.9859386872276</v>
      </c>
      <c r="G27" s="693">
        <f t="shared" ca="1" si="3"/>
        <v>54452.187008442575</v>
      </c>
      <c r="H27" s="693">
        <f t="shared" si="3"/>
        <v>44731.14888377209</v>
      </c>
      <c r="I27" s="693">
        <f t="shared" si="3"/>
        <v>12418.167551209383</v>
      </c>
      <c r="J27" s="693">
        <f t="shared" si="3"/>
        <v>0</v>
      </c>
      <c r="K27" s="693">
        <f t="shared" si="3"/>
        <v>1141.6533224277418</v>
      </c>
      <c r="L27" s="693">
        <f t="shared" si="3"/>
        <v>0</v>
      </c>
      <c r="M27" s="693">
        <f t="shared" ca="1" si="3"/>
        <v>0</v>
      </c>
      <c r="N27" s="693">
        <f t="shared" si="3"/>
        <v>3448.7262265437275</v>
      </c>
      <c r="O27" s="693">
        <f t="shared" ca="1" si="3"/>
        <v>9603.1351696674865</v>
      </c>
      <c r="P27" s="693">
        <f t="shared" si="3"/>
        <v>530.27038020764599</v>
      </c>
      <c r="Q27" s="693">
        <f t="shared" si="3"/>
        <v>1031.9360374573419</v>
      </c>
      <c r="R27" s="693">
        <f t="shared" ca="1" si="3"/>
        <v>389826.43197819334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4553.6710041803944</v>
      </c>
      <c r="D40" s="683">
        <f ca="1">tertiair!C20</f>
        <v>0</v>
      </c>
      <c r="E40" s="683">
        <f ca="1">tertiair!D20</f>
        <v>3987.9188158873562</v>
      </c>
      <c r="F40" s="683">
        <f>tertiair!E20</f>
        <v>10.73420208348216</v>
      </c>
      <c r="G40" s="683">
        <f ca="1">tertiair!F20</f>
        <v>691.70261790469795</v>
      </c>
      <c r="H40" s="683">
        <f>tertiair!G20</f>
        <v>0</v>
      </c>
      <c r="I40" s="683">
        <f>tertiair!H20</f>
        <v>0</v>
      </c>
      <c r="J40" s="683">
        <f>tertiair!I20</f>
        <v>0</v>
      </c>
      <c r="K40" s="683">
        <f>tertiair!J20</f>
        <v>6.486146817087742E-3</v>
      </c>
      <c r="L40" s="683">
        <f>tertiair!K20</f>
        <v>0</v>
      </c>
      <c r="M40" s="683">
        <f ca="1">tertiair!L20</f>
        <v>0</v>
      </c>
      <c r="N40" s="683">
        <f>tertiair!M20</f>
        <v>0</v>
      </c>
      <c r="O40" s="683">
        <f ca="1">tertiair!N20</f>
        <v>0</v>
      </c>
      <c r="P40" s="683">
        <f>tertiair!O20</f>
        <v>0</v>
      </c>
      <c r="Q40" s="766">
        <f>tertiair!P20</f>
        <v>0</v>
      </c>
      <c r="R40" s="845">
        <f t="shared" ca="1" si="4"/>
        <v>9244.0331262027466</v>
      </c>
    </row>
    <row r="41" spans="1:18">
      <c r="A41" s="817" t="s">
        <v>220</v>
      </c>
      <c r="B41" s="824"/>
      <c r="C41" s="683">
        <f ca="1">huishoudens!B12</f>
        <v>4038.6178402353207</v>
      </c>
      <c r="D41" s="683">
        <f ca="1">huishoudens!C12</f>
        <v>0</v>
      </c>
      <c r="E41" s="683">
        <f>huishoudens!D12</f>
        <v>7275.8178286177263</v>
      </c>
      <c r="F41" s="683">
        <f>huishoudens!E12</f>
        <v>377.40078637339519</v>
      </c>
      <c r="G41" s="683">
        <f>huishoudens!F12</f>
        <v>9724.4105965585295</v>
      </c>
      <c r="H41" s="683">
        <f>huishoudens!G12</f>
        <v>0</v>
      </c>
      <c r="I41" s="683">
        <f>huishoudens!H12</f>
        <v>0</v>
      </c>
      <c r="J41" s="683">
        <f>huishoudens!I12</f>
        <v>0</v>
      </c>
      <c r="K41" s="683">
        <f>huishoudens!J12</f>
        <v>73.478838101620752</v>
      </c>
      <c r="L41" s="683">
        <f>huishoudens!K12</f>
        <v>0</v>
      </c>
      <c r="M41" s="683">
        <f>huishoudens!L12</f>
        <v>0</v>
      </c>
      <c r="N41" s="683">
        <f>huishoudens!M12</f>
        <v>0</v>
      </c>
      <c r="O41" s="683">
        <f>huishoudens!N12</f>
        <v>0</v>
      </c>
      <c r="P41" s="683">
        <f>huishoudens!O12</f>
        <v>0</v>
      </c>
      <c r="Q41" s="766">
        <f>huishoudens!P12</f>
        <v>0</v>
      </c>
      <c r="R41" s="845">
        <f t="shared" ca="1" si="4"/>
        <v>21489.725889886595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8826.0544744298059</v>
      </c>
      <c r="D43" s="683">
        <f ca="1">industrie!C22</f>
        <v>0</v>
      </c>
      <c r="E43" s="683">
        <f>industrie!D22</f>
        <v>15803.184256647897</v>
      </c>
      <c r="F43" s="683">
        <f>industrie!E22</f>
        <v>29.132648460257986</v>
      </c>
      <c r="G43" s="683">
        <f>industrie!F22</f>
        <v>1056.8106594625413</v>
      </c>
      <c r="H43" s="683">
        <f>industrie!G22</f>
        <v>0</v>
      </c>
      <c r="I43" s="683">
        <f>industrie!H22</f>
        <v>0</v>
      </c>
      <c r="J43" s="683">
        <f>industrie!I22</f>
        <v>0</v>
      </c>
      <c r="K43" s="683">
        <f>industrie!J22</f>
        <v>4.1548833498594506</v>
      </c>
      <c r="L43" s="683">
        <f>industrie!K22</f>
        <v>0</v>
      </c>
      <c r="M43" s="683">
        <f>industrie!L22</f>
        <v>0</v>
      </c>
      <c r="N43" s="683">
        <f>industrie!M22</f>
        <v>0</v>
      </c>
      <c r="O43" s="683">
        <f>industrie!N22</f>
        <v>0</v>
      </c>
      <c r="P43" s="683">
        <f>industrie!O22</f>
        <v>0</v>
      </c>
      <c r="Q43" s="766">
        <f>industrie!P22</f>
        <v>0</v>
      </c>
      <c r="R43" s="844">
        <f t="shared" ca="1" si="4"/>
        <v>25719.336922350365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17418.34331884552</v>
      </c>
      <c r="D46" s="719">
        <f t="shared" ref="D46:Q46" ca="1" si="5">SUM(D39:D45)</f>
        <v>0</v>
      </c>
      <c r="E46" s="719">
        <f t="shared" ca="1" si="5"/>
        <v>27066.920901152982</v>
      </c>
      <c r="F46" s="719">
        <f t="shared" si="5"/>
        <v>417.26763691713535</v>
      </c>
      <c r="G46" s="719">
        <f t="shared" ca="1" si="5"/>
        <v>11472.923873925769</v>
      </c>
      <c r="H46" s="719">
        <f t="shared" si="5"/>
        <v>0</v>
      </c>
      <c r="I46" s="719">
        <f t="shared" si="5"/>
        <v>0</v>
      </c>
      <c r="J46" s="719">
        <f t="shared" si="5"/>
        <v>0</v>
      </c>
      <c r="K46" s="719">
        <f t="shared" si="5"/>
        <v>77.64020759829728</v>
      </c>
      <c r="L46" s="719">
        <f t="shared" si="5"/>
        <v>0</v>
      </c>
      <c r="M46" s="719">
        <f t="shared" ca="1" si="5"/>
        <v>0</v>
      </c>
      <c r="N46" s="719">
        <f t="shared" si="5"/>
        <v>0</v>
      </c>
      <c r="O46" s="719">
        <f t="shared" ca="1" si="5"/>
        <v>0</v>
      </c>
      <c r="P46" s="719">
        <f t="shared" si="5"/>
        <v>0</v>
      </c>
      <c r="Q46" s="719">
        <f t="shared" si="5"/>
        <v>0</v>
      </c>
      <c r="R46" s="719">
        <f ca="1">SUM(R39:R45)</f>
        <v>56453.095938439707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2.4958347299687587</v>
      </c>
      <c r="D49" s="683">
        <f ca="1">transport!C58</f>
        <v>0</v>
      </c>
      <c r="E49" s="683">
        <f>transport!D58</f>
        <v>0</v>
      </c>
      <c r="F49" s="683">
        <f>transport!E58</f>
        <v>0</v>
      </c>
      <c r="G49" s="683">
        <f>transport!F58</f>
        <v>0</v>
      </c>
      <c r="H49" s="683">
        <f>transport!G58</f>
        <v>243.65923732955554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246.15507205952429</v>
      </c>
    </row>
    <row r="50" spans="1:18">
      <c r="A50" s="820" t="s">
        <v>302</v>
      </c>
      <c r="B50" s="830"/>
      <c r="C50" s="689">
        <f ca="1">transport!B18</f>
        <v>23.055040007756411</v>
      </c>
      <c r="D50" s="689">
        <f>transport!C18</f>
        <v>0</v>
      </c>
      <c r="E50" s="689">
        <f>transport!D18</f>
        <v>51.361609037915898</v>
      </c>
      <c r="F50" s="689">
        <f>transport!E18</f>
        <v>22.452116662447576</v>
      </c>
      <c r="G50" s="689">
        <f>transport!F18</f>
        <v>0</v>
      </c>
      <c r="H50" s="689">
        <f>transport!G18</f>
        <v>11699.557514637592</v>
      </c>
      <c r="I50" s="689">
        <f>transport!H18</f>
        <v>3092.1237202511361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14888.550000596848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25.55087473772517</v>
      </c>
      <c r="D52" s="719">
        <f t="shared" ref="D52:Q52" ca="1" si="6">SUM(D48:D51)</f>
        <v>0</v>
      </c>
      <c r="E52" s="719">
        <f t="shared" si="6"/>
        <v>51.361609037915898</v>
      </c>
      <c r="F52" s="719">
        <f t="shared" si="6"/>
        <v>22.452116662447576</v>
      </c>
      <c r="G52" s="719">
        <f t="shared" si="6"/>
        <v>0</v>
      </c>
      <c r="H52" s="719">
        <f t="shared" si="6"/>
        <v>11943.216751967148</v>
      </c>
      <c r="I52" s="719">
        <f t="shared" si="6"/>
        <v>3092.1237202511361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15134.705072656372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621.05984253131237</v>
      </c>
      <c r="D54" s="689">
        <f ca="1">+landbouw!C12</f>
        <v>0</v>
      </c>
      <c r="E54" s="689">
        <f>+landbouw!D12</f>
        <v>14.853765833046001</v>
      </c>
      <c r="F54" s="689">
        <f>+landbouw!E12</f>
        <v>23.584054502417796</v>
      </c>
      <c r="G54" s="689">
        <f>+landbouw!F12</f>
        <v>3065.8100573283987</v>
      </c>
      <c r="H54" s="689">
        <f>+landbouw!G12</f>
        <v>0</v>
      </c>
      <c r="I54" s="689">
        <f>+landbouw!H12</f>
        <v>0</v>
      </c>
      <c r="J54" s="689">
        <f>+landbouw!I12</f>
        <v>0</v>
      </c>
      <c r="K54" s="689">
        <f>+landbouw!J12</f>
        <v>326.50506854112331</v>
      </c>
      <c r="L54" s="689">
        <f>+landbouw!K12</f>
        <v>0</v>
      </c>
      <c r="M54" s="689">
        <f>+landbouw!L12</f>
        <v>0</v>
      </c>
      <c r="N54" s="689">
        <f>+landbouw!M12</f>
        <v>0</v>
      </c>
      <c r="O54" s="689">
        <f>+landbouw!N12</f>
        <v>0</v>
      </c>
      <c r="P54" s="689">
        <f>+landbouw!O12</f>
        <v>0</v>
      </c>
      <c r="Q54" s="690">
        <f>+landbouw!P12</f>
        <v>0</v>
      </c>
      <c r="R54" s="718">
        <f ca="1">SUM(C54:Q54)</f>
        <v>4051.812788736298</v>
      </c>
    </row>
    <row r="55" spans="1:18" ht="15" thickBot="1">
      <c r="A55" s="820" t="s">
        <v>696</v>
      </c>
      <c r="B55" s="830"/>
      <c r="C55" s="689">
        <f ca="1">C25*'EF ele_warmte'!B12</f>
        <v>85.184491461909417</v>
      </c>
      <c r="D55" s="689"/>
      <c r="E55" s="689">
        <f>E25*EF_CO2_aardgas</f>
        <v>172.51638926199999</v>
      </c>
      <c r="F55" s="689"/>
      <c r="G55" s="689"/>
      <c r="H55" s="689"/>
      <c r="I55" s="689"/>
      <c r="J55" s="689"/>
      <c r="K55" s="689"/>
      <c r="L55" s="689"/>
      <c r="M55" s="689"/>
      <c r="N55" s="689"/>
      <c r="O55" s="689"/>
      <c r="P55" s="689"/>
      <c r="Q55" s="690"/>
      <c r="R55" s="718">
        <f ca="1">SUM(C55:Q55)</f>
        <v>257.70088072390939</v>
      </c>
    </row>
    <row r="56" spans="1:18" ht="15.75" thickBot="1">
      <c r="A56" s="818" t="s">
        <v>697</v>
      </c>
      <c r="B56" s="831"/>
      <c r="C56" s="719">
        <f ca="1">SUM(C54:C55)</f>
        <v>706.24433399322174</v>
      </c>
      <c r="D56" s="719">
        <f t="shared" ref="D56:Q56" ca="1" si="7">SUM(D54:D55)</f>
        <v>0</v>
      </c>
      <c r="E56" s="719">
        <f t="shared" si="7"/>
        <v>187.37015509504599</v>
      </c>
      <c r="F56" s="719">
        <f t="shared" si="7"/>
        <v>23.584054502417796</v>
      </c>
      <c r="G56" s="719">
        <f t="shared" si="7"/>
        <v>3065.8100573283987</v>
      </c>
      <c r="H56" s="719">
        <f t="shared" si="7"/>
        <v>0</v>
      </c>
      <c r="I56" s="719">
        <f t="shared" si="7"/>
        <v>0</v>
      </c>
      <c r="J56" s="719">
        <f t="shared" si="7"/>
        <v>0</v>
      </c>
      <c r="K56" s="719">
        <f t="shared" si="7"/>
        <v>326.50506854112331</v>
      </c>
      <c r="L56" s="719">
        <f t="shared" si="7"/>
        <v>0</v>
      </c>
      <c r="M56" s="719">
        <f t="shared" si="7"/>
        <v>0</v>
      </c>
      <c r="N56" s="719">
        <f t="shared" si="7"/>
        <v>0</v>
      </c>
      <c r="O56" s="719">
        <f t="shared" si="7"/>
        <v>0</v>
      </c>
      <c r="P56" s="719">
        <f t="shared" si="7"/>
        <v>0</v>
      </c>
      <c r="Q56" s="720">
        <f t="shared" si="7"/>
        <v>0</v>
      </c>
      <c r="R56" s="721">
        <f ca="1">SUM(R54:R55)</f>
        <v>4309.513669460207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18150.138527576466</v>
      </c>
      <c r="D61" s="727">
        <f t="shared" ref="D61:Q61" ca="1" si="8">D46+D52+D56</f>
        <v>0</v>
      </c>
      <c r="E61" s="727">
        <f t="shared" ca="1" si="8"/>
        <v>27305.652665285943</v>
      </c>
      <c r="F61" s="727">
        <f t="shared" si="8"/>
        <v>463.30380808200073</v>
      </c>
      <c r="G61" s="727">
        <f t="shared" ca="1" si="8"/>
        <v>14538.733931254168</v>
      </c>
      <c r="H61" s="727">
        <f t="shared" si="8"/>
        <v>11943.216751967148</v>
      </c>
      <c r="I61" s="727">
        <f t="shared" si="8"/>
        <v>3092.1237202511361</v>
      </c>
      <c r="J61" s="727">
        <f t="shared" si="8"/>
        <v>0</v>
      </c>
      <c r="K61" s="727">
        <f t="shared" si="8"/>
        <v>404.14527613942062</v>
      </c>
      <c r="L61" s="727">
        <f t="shared" si="8"/>
        <v>0</v>
      </c>
      <c r="M61" s="727">
        <f t="shared" ca="1" si="8"/>
        <v>0</v>
      </c>
      <c r="N61" s="727">
        <f t="shared" si="8"/>
        <v>0</v>
      </c>
      <c r="O61" s="727">
        <f t="shared" ca="1" si="8"/>
        <v>0</v>
      </c>
      <c r="P61" s="727">
        <f t="shared" si="8"/>
        <v>0</v>
      </c>
      <c r="Q61" s="727">
        <f t="shared" si="8"/>
        <v>0</v>
      </c>
      <c r="R61" s="727">
        <f ca="1">R46+R52+R56</f>
        <v>75897.314680556286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0.17121409363543422</v>
      </c>
      <c r="D63" s="773">
        <f t="shared" ca="1" si="9"/>
        <v>0</v>
      </c>
      <c r="E63" s="965">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152.10727946748594</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10258.706468833139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13470.3</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15847.411764705885</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23881.113748300624</v>
      </c>
      <c r="C78" s="745">
        <f>SUM(C72:C77)</f>
        <v>0</v>
      </c>
      <c r="D78" s="746">
        <f t="shared" ref="D78:H78" si="10">SUM(D76:D77)</f>
        <v>0</v>
      </c>
      <c r="E78" s="746">
        <f t="shared" si="10"/>
        <v>0</v>
      </c>
      <c r="F78" s="746">
        <f t="shared" si="10"/>
        <v>0</v>
      </c>
      <c r="G78" s="746">
        <f t="shared" si="10"/>
        <v>0</v>
      </c>
      <c r="H78" s="746">
        <f t="shared" si="10"/>
        <v>0</v>
      </c>
      <c r="I78" s="746">
        <f>SUM(I76:I77)</f>
        <v>0</v>
      </c>
      <c r="J78" s="746">
        <f>SUM(J76:J77)</f>
        <v>15847.411764705885</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19243.285714285714</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22639.15966386555</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19243.285714285714</v>
      </c>
      <c r="C90" s="745">
        <f>SUM(C87:C89)</f>
        <v>0</v>
      </c>
      <c r="D90" s="745">
        <f t="shared" ref="D90:H90" si="12">SUM(D87:D89)</f>
        <v>0</v>
      </c>
      <c r="E90" s="745">
        <f t="shared" si="12"/>
        <v>0</v>
      </c>
      <c r="F90" s="745">
        <f t="shared" si="12"/>
        <v>0</v>
      </c>
      <c r="G90" s="745">
        <f t="shared" si="12"/>
        <v>0</v>
      </c>
      <c r="H90" s="745">
        <f t="shared" si="12"/>
        <v>0</v>
      </c>
      <c r="I90" s="745">
        <f>SUM(I87:I89)</f>
        <v>0</v>
      </c>
      <c r="J90" s="745">
        <f>SUM(J87:J89)</f>
        <v>22639.15966386555</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23588.11564213131</v>
      </c>
      <c r="C4" s="449">
        <f>huishoudens!C8</f>
        <v>0</v>
      </c>
      <c r="D4" s="449">
        <f>huishoudens!D8</f>
        <v>36018.900141671911</v>
      </c>
      <c r="E4" s="449">
        <f>huishoudens!E8</f>
        <v>1662.558530279274</v>
      </c>
      <c r="F4" s="449">
        <f>huishoudens!F8</f>
        <v>36421.013470256665</v>
      </c>
      <c r="G4" s="449">
        <f>huishoudens!G8</f>
        <v>0</v>
      </c>
      <c r="H4" s="449">
        <f>huishoudens!H8</f>
        <v>0</v>
      </c>
      <c r="I4" s="449">
        <f>huishoudens!I8</f>
        <v>0</v>
      </c>
      <c r="J4" s="449">
        <f>huishoudens!J8</f>
        <v>207.56733927011513</v>
      </c>
      <c r="K4" s="449">
        <f>huishoudens!K8</f>
        <v>0</v>
      </c>
      <c r="L4" s="449">
        <f>huishoudens!L8</f>
        <v>0</v>
      </c>
      <c r="M4" s="449">
        <f>huishoudens!M8</f>
        <v>0</v>
      </c>
      <c r="N4" s="449">
        <f>huishoudens!N8</f>
        <v>7487.0107012142835</v>
      </c>
      <c r="O4" s="449">
        <f>huishoudens!O8</f>
        <v>495.98955484675793</v>
      </c>
      <c r="P4" s="450">
        <f>huishoudens!P8</f>
        <v>874.31862253785675</v>
      </c>
      <c r="Q4" s="451">
        <f>SUM(B4:P4)</f>
        <v>106755.47400220817</v>
      </c>
    </row>
    <row r="5" spans="1:17">
      <c r="A5" s="448" t="s">
        <v>155</v>
      </c>
      <c r="B5" s="449">
        <f ca="1">tertiair!B16</f>
        <v>25643.966546</v>
      </c>
      <c r="C5" s="449">
        <f ca="1">tertiair!C16</f>
        <v>19118.571428571428</v>
      </c>
      <c r="D5" s="449">
        <f ca="1">tertiair!D16</f>
        <v>19742.172355878</v>
      </c>
      <c r="E5" s="449">
        <f>tertiair!E16</f>
        <v>47.287233847939028</v>
      </c>
      <c r="F5" s="449">
        <f ca="1">tertiair!F16</f>
        <v>2590.6465090063593</v>
      </c>
      <c r="G5" s="449">
        <f>tertiair!G16</f>
        <v>0</v>
      </c>
      <c r="H5" s="449">
        <f>tertiair!H16</f>
        <v>0</v>
      </c>
      <c r="I5" s="449">
        <f>tertiair!I16</f>
        <v>0</v>
      </c>
      <c r="J5" s="449">
        <f>tertiair!J16</f>
        <v>1.8322448635841079E-2</v>
      </c>
      <c r="K5" s="449">
        <f>tertiair!K16</f>
        <v>0</v>
      </c>
      <c r="L5" s="449">
        <f ca="1">tertiair!L16</f>
        <v>0</v>
      </c>
      <c r="M5" s="449">
        <f>tertiair!M16</f>
        <v>0</v>
      </c>
      <c r="N5" s="449">
        <f ca="1">tertiair!N16</f>
        <v>0</v>
      </c>
      <c r="O5" s="449">
        <f>tertiair!O16</f>
        <v>34.280825360888088</v>
      </c>
      <c r="P5" s="450">
        <f>tertiair!P16</f>
        <v>157.61741491948504</v>
      </c>
      <c r="Q5" s="448">
        <f t="shared" ref="Q5:Q14" ca="1" si="0">SUM(B5:P5)</f>
        <v>67334.560636032737</v>
      </c>
    </row>
    <row r="6" spans="1:17">
      <c r="A6" s="448" t="s">
        <v>193</v>
      </c>
      <c r="B6" s="449">
        <f>'openbare verlichting'!B8</f>
        <v>952.38955700000008</v>
      </c>
      <c r="C6" s="449"/>
      <c r="D6" s="449"/>
      <c r="E6" s="449"/>
      <c r="F6" s="449"/>
      <c r="G6" s="449"/>
      <c r="H6" s="449"/>
      <c r="I6" s="449"/>
      <c r="J6" s="449"/>
      <c r="K6" s="449"/>
      <c r="L6" s="449"/>
      <c r="M6" s="449"/>
      <c r="N6" s="449"/>
      <c r="O6" s="449"/>
      <c r="P6" s="450"/>
      <c r="Q6" s="448">
        <f t="shared" si="0"/>
        <v>952.38955700000008</v>
      </c>
    </row>
    <row r="7" spans="1:17">
      <c r="A7" s="448" t="s">
        <v>111</v>
      </c>
      <c r="B7" s="449">
        <f>landbouw!B8</f>
        <v>3627.3873799999997</v>
      </c>
      <c r="C7" s="449">
        <f>landbouw!C8</f>
        <v>124.71428571428569</v>
      </c>
      <c r="D7" s="449">
        <f>landbouw!D8</f>
        <v>73.533494223000005</v>
      </c>
      <c r="E7" s="449">
        <f>landbouw!E8</f>
        <v>103.89451322651011</v>
      </c>
      <c r="F7" s="449">
        <f>landbouw!F8</f>
        <v>11482.434671641942</v>
      </c>
      <c r="G7" s="449">
        <f>landbouw!G8</f>
        <v>0</v>
      </c>
      <c r="H7" s="449">
        <f>landbouw!H8</f>
        <v>0</v>
      </c>
      <c r="I7" s="449">
        <f>landbouw!I8</f>
        <v>0</v>
      </c>
      <c r="J7" s="449">
        <f>landbouw!J8</f>
        <v>922.33070209356868</v>
      </c>
      <c r="K7" s="449">
        <f>landbouw!K8</f>
        <v>0</v>
      </c>
      <c r="L7" s="449">
        <f>landbouw!L8</f>
        <v>0</v>
      </c>
      <c r="M7" s="449">
        <f>landbouw!M8</f>
        <v>0</v>
      </c>
      <c r="N7" s="449">
        <f>landbouw!N8</f>
        <v>0</v>
      </c>
      <c r="O7" s="449">
        <f>landbouw!O8</f>
        <v>0</v>
      </c>
      <c r="P7" s="450">
        <f>landbouw!P8</f>
        <v>0</v>
      </c>
      <c r="Q7" s="448">
        <f t="shared" si="0"/>
        <v>16334.295046899306</v>
      </c>
    </row>
    <row r="8" spans="1:17">
      <c r="A8" s="448" t="s">
        <v>617</v>
      </c>
      <c r="B8" s="449">
        <f>industrie!B18</f>
        <v>51549.81279299999</v>
      </c>
      <c r="C8" s="449">
        <f>industrie!C18</f>
        <v>0</v>
      </c>
      <c r="D8" s="449">
        <f>industrie!D18</f>
        <v>78233.585428949984</v>
      </c>
      <c r="E8" s="449">
        <f>industrie!E18</f>
        <v>128.33765841523342</v>
      </c>
      <c r="F8" s="449">
        <f>industrie!F18</f>
        <v>3958.0923575376073</v>
      </c>
      <c r="G8" s="449">
        <f>industrie!G18</f>
        <v>0</v>
      </c>
      <c r="H8" s="449">
        <f>industrie!H18</f>
        <v>0</v>
      </c>
      <c r="I8" s="449">
        <f>industrie!I18</f>
        <v>0</v>
      </c>
      <c r="J8" s="449">
        <f>industrie!J18</f>
        <v>11.736958615422179</v>
      </c>
      <c r="K8" s="449">
        <f>industrie!K18</f>
        <v>0</v>
      </c>
      <c r="L8" s="449">
        <f>industrie!L18</f>
        <v>0</v>
      </c>
      <c r="M8" s="449">
        <f>industrie!M18</f>
        <v>0</v>
      </c>
      <c r="N8" s="449">
        <f>industrie!N18</f>
        <v>2116.1244684532039</v>
      </c>
      <c r="O8" s="449">
        <f>industrie!O18</f>
        <v>0</v>
      </c>
      <c r="P8" s="450">
        <f>industrie!P18</f>
        <v>0</v>
      </c>
      <c r="Q8" s="448">
        <f t="shared" si="0"/>
        <v>135997.68966497143</v>
      </c>
    </row>
    <row r="9" spans="1:17" s="454" customFormat="1">
      <c r="A9" s="452" t="s">
        <v>543</v>
      </c>
      <c r="B9" s="453">
        <f>transport!B14</f>
        <v>134.65620451110442</v>
      </c>
      <c r="C9" s="453">
        <f>transport!C14</f>
        <v>0</v>
      </c>
      <c r="D9" s="453">
        <f>transport!D14</f>
        <v>254.26539127681136</v>
      </c>
      <c r="E9" s="453">
        <f>transport!E14</f>
        <v>98.908002918271251</v>
      </c>
      <c r="F9" s="453">
        <f>transport!F14</f>
        <v>0</v>
      </c>
      <c r="G9" s="453">
        <f>transport!G14</f>
        <v>43818.567470552778</v>
      </c>
      <c r="H9" s="453">
        <f>transport!H14</f>
        <v>12418.167551209383</v>
      </c>
      <c r="I9" s="453">
        <f>transport!I14</f>
        <v>0</v>
      </c>
      <c r="J9" s="453">
        <f>transport!J14</f>
        <v>0</v>
      </c>
      <c r="K9" s="453">
        <f>transport!K14</f>
        <v>0</v>
      </c>
      <c r="L9" s="453">
        <f>transport!L14</f>
        <v>0</v>
      </c>
      <c r="M9" s="453">
        <f>transport!M14</f>
        <v>3396.3278224644123</v>
      </c>
      <c r="N9" s="453">
        <f>transport!N14</f>
        <v>0</v>
      </c>
      <c r="O9" s="453">
        <f>transport!O14</f>
        <v>0</v>
      </c>
      <c r="P9" s="453">
        <f>transport!P14</f>
        <v>0</v>
      </c>
      <c r="Q9" s="452">
        <f>SUM(B9:P9)</f>
        <v>60120.892442932753</v>
      </c>
    </row>
    <row r="10" spans="1:17">
      <c r="A10" s="448" t="s">
        <v>533</v>
      </c>
      <c r="B10" s="449">
        <f>transport!B54</f>
        <v>14.577273850382515</v>
      </c>
      <c r="C10" s="449">
        <f>transport!C54</f>
        <v>0</v>
      </c>
      <c r="D10" s="449">
        <f>transport!D54</f>
        <v>0</v>
      </c>
      <c r="E10" s="449">
        <f>transport!E54</f>
        <v>0</v>
      </c>
      <c r="F10" s="449">
        <f>transport!F54</f>
        <v>0</v>
      </c>
      <c r="G10" s="449">
        <f>transport!G54</f>
        <v>912.58141321930907</v>
      </c>
      <c r="H10" s="449">
        <f>transport!H54</f>
        <v>0</v>
      </c>
      <c r="I10" s="449">
        <f>transport!I54</f>
        <v>0</v>
      </c>
      <c r="J10" s="449">
        <f>transport!J54</f>
        <v>0</v>
      </c>
      <c r="K10" s="449">
        <f>transport!K54</f>
        <v>0</v>
      </c>
      <c r="L10" s="449">
        <f>transport!L54</f>
        <v>0</v>
      </c>
      <c r="M10" s="449">
        <f>transport!M54</f>
        <v>52.398404079315306</v>
      </c>
      <c r="N10" s="449">
        <f>transport!N54</f>
        <v>0</v>
      </c>
      <c r="O10" s="449">
        <f>transport!O54</f>
        <v>0</v>
      </c>
      <c r="P10" s="450">
        <f>transport!P54</f>
        <v>0</v>
      </c>
      <c r="Q10" s="448">
        <f t="shared" si="0"/>
        <v>979.55709114900696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497.53200599999997</v>
      </c>
      <c r="C14" s="456"/>
      <c r="D14" s="456">
        <f>'SEAP template'!E25</f>
        <v>854.04153099999996</v>
      </c>
      <c r="E14" s="456"/>
      <c r="F14" s="456"/>
      <c r="G14" s="456"/>
      <c r="H14" s="456"/>
      <c r="I14" s="456"/>
      <c r="J14" s="456"/>
      <c r="K14" s="456"/>
      <c r="L14" s="456"/>
      <c r="M14" s="456"/>
      <c r="N14" s="456"/>
      <c r="O14" s="456"/>
      <c r="P14" s="457"/>
      <c r="Q14" s="448">
        <f t="shared" si="0"/>
        <v>1351.573537</v>
      </c>
    </row>
    <row r="15" spans="1:17" s="460" customFormat="1">
      <c r="A15" s="458" t="s">
        <v>537</v>
      </c>
      <c r="B15" s="459">
        <f ca="1">SUM(B4:B14)</f>
        <v>106008.43740249278</v>
      </c>
      <c r="C15" s="459">
        <f t="shared" ref="C15:Q15" ca="1" si="1">SUM(C4:C14)</f>
        <v>19243.285714285714</v>
      </c>
      <c r="D15" s="459">
        <f t="shared" ca="1" si="1"/>
        <v>135176.49834299969</v>
      </c>
      <c r="E15" s="459">
        <f t="shared" si="1"/>
        <v>2040.9859386872276</v>
      </c>
      <c r="F15" s="459">
        <f t="shared" ca="1" si="1"/>
        <v>54452.187008442575</v>
      </c>
      <c r="G15" s="459">
        <f t="shared" si="1"/>
        <v>44731.14888377209</v>
      </c>
      <c r="H15" s="459">
        <f t="shared" si="1"/>
        <v>12418.167551209383</v>
      </c>
      <c r="I15" s="459">
        <f t="shared" si="1"/>
        <v>0</v>
      </c>
      <c r="J15" s="459">
        <f t="shared" si="1"/>
        <v>1141.6533224277418</v>
      </c>
      <c r="K15" s="459">
        <f t="shared" si="1"/>
        <v>0</v>
      </c>
      <c r="L15" s="459">
        <f t="shared" ca="1" si="1"/>
        <v>0</v>
      </c>
      <c r="M15" s="459">
        <f t="shared" si="1"/>
        <v>3448.7262265437275</v>
      </c>
      <c r="N15" s="459">
        <f t="shared" ca="1" si="1"/>
        <v>9603.1351696674865</v>
      </c>
      <c r="O15" s="459">
        <f t="shared" si="1"/>
        <v>530.27038020764599</v>
      </c>
      <c r="P15" s="459">
        <f t="shared" si="1"/>
        <v>1031.9360374573419</v>
      </c>
      <c r="Q15" s="459">
        <f t="shared" ca="1" si="1"/>
        <v>389826.4319781934</v>
      </c>
    </row>
    <row r="17" spans="1:17">
      <c r="A17" s="461" t="s">
        <v>538</v>
      </c>
      <c r="B17" s="778">
        <f ca="1">huishoudens!B10</f>
        <v>0.17121409363543422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4038.6178402353207</v>
      </c>
      <c r="C22" s="449">
        <f t="shared" ref="C22:C32" ca="1" si="3">C4*$C$17</f>
        <v>0</v>
      </c>
      <c r="D22" s="449">
        <f t="shared" ref="D22:D32" si="4">D4*$D$17</f>
        <v>7275.8178286177263</v>
      </c>
      <c r="E22" s="449">
        <f t="shared" ref="E22:E32" si="5">E4*$E$17</f>
        <v>377.40078637339519</v>
      </c>
      <c r="F22" s="449">
        <f t="shared" ref="F22:F32" si="6">F4*$F$17</f>
        <v>9724.4105965585295</v>
      </c>
      <c r="G22" s="449">
        <f t="shared" ref="G22:G32" si="7">G4*$G$17</f>
        <v>0</v>
      </c>
      <c r="H22" s="449">
        <f t="shared" ref="H22:H32" si="8">H4*$H$17</f>
        <v>0</v>
      </c>
      <c r="I22" s="449">
        <f t="shared" ref="I22:I32" si="9">I4*$I$17</f>
        <v>0</v>
      </c>
      <c r="J22" s="449">
        <f t="shared" ref="J22:J32" si="10">J4*$J$17</f>
        <v>73.478838101620752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21489.725889886595</v>
      </c>
    </row>
    <row r="23" spans="1:17">
      <c r="A23" s="448" t="s">
        <v>155</v>
      </c>
      <c r="B23" s="449">
        <f t="shared" ca="1" si="2"/>
        <v>4390.6084893907864</v>
      </c>
      <c r="C23" s="449">
        <f t="shared" ca="1" si="3"/>
        <v>0</v>
      </c>
      <c r="D23" s="449">
        <f t="shared" ca="1" si="4"/>
        <v>3987.9188158873562</v>
      </c>
      <c r="E23" s="449">
        <f t="shared" si="5"/>
        <v>10.73420208348216</v>
      </c>
      <c r="F23" s="449">
        <f t="shared" ca="1" si="6"/>
        <v>691.70261790469795</v>
      </c>
      <c r="G23" s="449">
        <f t="shared" si="7"/>
        <v>0</v>
      </c>
      <c r="H23" s="449">
        <f t="shared" si="8"/>
        <v>0</v>
      </c>
      <c r="I23" s="449">
        <f t="shared" si="9"/>
        <v>0</v>
      </c>
      <c r="J23" s="449">
        <f t="shared" si="10"/>
        <v>6.486146817087742E-3</v>
      </c>
      <c r="K23" s="449">
        <f t="shared" si="11"/>
        <v>0</v>
      </c>
      <c r="L23" s="449">
        <f t="shared" ca="1" si="12"/>
        <v>0</v>
      </c>
      <c r="M23" s="449">
        <f t="shared" si="13"/>
        <v>0</v>
      </c>
      <c r="N23" s="449">
        <f t="shared" ca="1" si="14"/>
        <v>0</v>
      </c>
      <c r="O23" s="449">
        <f t="shared" si="15"/>
        <v>0</v>
      </c>
      <c r="P23" s="450">
        <f t="shared" si="16"/>
        <v>0</v>
      </c>
      <c r="Q23" s="448">
        <f t="shared" ref="Q23:Q31" ca="1" si="17">SUM(B23:P23)</f>
        <v>9080.9706114131404</v>
      </c>
    </row>
    <row r="24" spans="1:17">
      <c r="A24" s="448" t="s">
        <v>193</v>
      </c>
      <c r="B24" s="449">
        <f t="shared" ca="1" si="2"/>
        <v>163.06251478960772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163.06251478960772</v>
      </c>
    </row>
    <row r="25" spans="1:17">
      <c r="A25" s="448" t="s">
        <v>111</v>
      </c>
      <c r="B25" s="449">
        <f t="shared" ca="1" si="2"/>
        <v>621.05984253131237</v>
      </c>
      <c r="C25" s="449">
        <f t="shared" ca="1" si="3"/>
        <v>0</v>
      </c>
      <c r="D25" s="449">
        <f t="shared" si="4"/>
        <v>14.853765833046001</v>
      </c>
      <c r="E25" s="449">
        <f t="shared" si="5"/>
        <v>23.584054502417796</v>
      </c>
      <c r="F25" s="449">
        <f t="shared" si="6"/>
        <v>3065.8100573283987</v>
      </c>
      <c r="G25" s="449">
        <f t="shared" si="7"/>
        <v>0</v>
      </c>
      <c r="H25" s="449">
        <f t="shared" si="8"/>
        <v>0</v>
      </c>
      <c r="I25" s="449">
        <f t="shared" si="9"/>
        <v>0</v>
      </c>
      <c r="J25" s="449">
        <f t="shared" si="10"/>
        <v>326.50506854112331</v>
      </c>
      <c r="K25" s="449">
        <f t="shared" si="11"/>
        <v>0</v>
      </c>
      <c r="L25" s="449">
        <f t="shared" si="12"/>
        <v>0</v>
      </c>
      <c r="M25" s="449">
        <f t="shared" si="13"/>
        <v>0</v>
      </c>
      <c r="N25" s="449">
        <f t="shared" si="14"/>
        <v>0</v>
      </c>
      <c r="O25" s="449">
        <f t="shared" si="15"/>
        <v>0</v>
      </c>
      <c r="P25" s="450">
        <f t="shared" si="16"/>
        <v>0</v>
      </c>
      <c r="Q25" s="448">
        <f t="shared" ca="1" si="17"/>
        <v>4051.812788736298</v>
      </c>
    </row>
    <row r="26" spans="1:17">
      <c r="A26" s="448" t="s">
        <v>617</v>
      </c>
      <c r="B26" s="449">
        <f t="shared" ca="1" si="2"/>
        <v>8826.0544744298059</v>
      </c>
      <c r="C26" s="449">
        <f t="shared" ca="1" si="3"/>
        <v>0</v>
      </c>
      <c r="D26" s="449">
        <f t="shared" si="4"/>
        <v>15803.184256647897</v>
      </c>
      <c r="E26" s="449">
        <f t="shared" si="5"/>
        <v>29.132648460257986</v>
      </c>
      <c r="F26" s="449">
        <f t="shared" si="6"/>
        <v>1056.8106594625413</v>
      </c>
      <c r="G26" s="449">
        <f t="shared" si="7"/>
        <v>0</v>
      </c>
      <c r="H26" s="449">
        <f t="shared" si="8"/>
        <v>0</v>
      </c>
      <c r="I26" s="449">
        <f t="shared" si="9"/>
        <v>0</v>
      </c>
      <c r="J26" s="449">
        <f t="shared" si="10"/>
        <v>4.1548833498594506</v>
      </c>
      <c r="K26" s="449">
        <f t="shared" si="11"/>
        <v>0</v>
      </c>
      <c r="L26" s="449">
        <f t="shared" si="12"/>
        <v>0</v>
      </c>
      <c r="M26" s="449">
        <f t="shared" si="13"/>
        <v>0</v>
      </c>
      <c r="N26" s="449">
        <f t="shared" si="14"/>
        <v>0</v>
      </c>
      <c r="O26" s="449">
        <f t="shared" si="15"/>
        <v>0</v>
      </c>
      <c r="P26" s="450">
        <f t="shared" si="16"/>
        <v>0</v>
      </c>
      <c r="Q26" s="448">
        <f t="shared" ca="1" si="17"/>
        <v>25719.336922350365</v>
      </c>
    </row>
    <row r="27" spans="1:17" s="454" customFormat="1">
      <c r="A27" s="452" t="s">
        <v>543</v>
      </c>
      <c r="B27" s="772">
        <f t="shared" ca="1" si="2"/>
        <v>23.055040007756411</v>
      </c>
      <c r="C27" s="453">
        <f t="shared" ca="1" si="3"/>
        <v>0</v>
      </c>
      <c r="D27" s="453">
        <f t="shared" si="4"/>
        <v>51.361609037915898</v>
      </c>
      <c r="E27" s="453">
        <f t="shared" si="5"/>
        <v>22.452116662447576</v>
      </c>
      <c r="F27" s="453">
        <f t="shared" si="6"/>
        <v>0</v>
      </c>
      <c r="G27" s="453">
        <f t="shared" si="7"/>
        <v>11699.557514637592</v>
      </c>
      <c r="H27" s="453">
        <f t="shared" si="8"/>
        <v>3092.1237202511361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14888.550000596848</v>
      </c>
    </row>
    <row r="28" spans="1:17" ht="16.5" customHeight="1">
      <c r="A28" s="448" t="s">
        <v>533</v>
      </c>
      <c r="B28" s="449">
        <f t="shared" ca="1" si="2"/>
        <v>2.4958347299687587</v>
      </c>
      <c r="C28" s="449">
        <f t="shared" ca="1" si="3"/>
        <v>0</v>
      </c>
      <c r="D28" s="449">
        <f t="shared" si="4"/>
        <v>0</v>
      </c>
      <c r="E28" s="449">
        <f t="shared" si="5"/>
        <v>0</v>
      </c>
      <c r="F28" s="449">
        <f t="shared" si="6"/>
        <v>0</v>
      </c>
      <c r="G28" s="449">
        <f t="shared" si="7"/>
        <v>243.65923732955554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246.15507205952429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85.184491461909417</v>
      </c>
      <c r="C32" s="449">
        <f t="shared" ca="1" si="3"/>
        <v>0</v>
      </c>
      <c r="D32" s="449">
        <f t="shared" si="4"/>
        <v>172.51638926199999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257.70088072390939</v>
      </c>
    </row>
    <row r="33" spans="1:17" s="460" customFormat="1">
      <c r="A33" s="458" t="s">
        <v>537</v>
      </c>
      <c r="B33" s="459">
        <f ca="1">SUM(B22:B32)</f>
        <v>18150.13852757647</v>
      </c>
      <c r="C33" s="459">
        <f t="shared" ref="C33:Q33" ca="1" si="19">SUM(C22:C32)</f>
        <v>0</v>
      </c>
      <c r="D33" s="459">
        <f t="shared" ca="1" si="19"/>
        <v>27305.652665285943</v>
      </c>
      <c r="E33" s="459">
        <f t="shared" si="19"/>
        <v>463.30380808200073</v>
      </c>
      <c r="F33" s="459">
        <f t="shared" ca="1" si="19"/>
        <v>14538.733931254168</v>
      </c>
      <c r="G33" s="459">
        <f t="shared" si="19"/>
        <v>11943.216751967148</v>
      </c>
      <c r="H33" s="459">
        <f t="shared" si="19"/>
        <v>3092.1237202511361</v>
      </c>
      <c r="I33" s="459">
        <f t="shared" si="19"/>
        <v>0</v>
      </c>
      <c r="J33" s="459">
        <f t="shared" si="19"/>
        <v>404.14527613942062</v>
      </c>
      <c r="K33" s="459">
        <f t="shared" si="19"/>
        <v>0</v>
      </c>
      <c r="L33" s="459">
        <f t="shared" ca="1" si="19"/>
        <v>0</v>
      </c>
      <c r="M33" s="459">
        <f t="shared" si="19"/>
        <v>0</v>
      </c>
      <c r="N33" s="459">
        <f t="shared" ca="1" si="19"/>
        <v>0</v>
      </c>
      <c r="O33" s="459">
        <f t="shared" si="19"/>
        <v>0</v>
      </c>
      <c r="P33" s="459">
        <f t="shared" si="19"/>
        <v>0</v>
      </c>
      <c r="Q33" s="459">
        <f t="shared" ca="1" si="19"/>
        <v>75897.314680556286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152.10727946748594</v>
      </c>
      <c r="C5" s="1016"/>
      <c r="D5" s="1016"/>
      <c r="E5" s="1016"/>
      <c r="F5" s="1016"/>
      <c r="G5" s="1016"/>
      <c r="H5" s="1016"/>
      <c r="I5" s="1016"/>
      <c r="J5" s="1016"/>
      <c r="K5" s="1016"/>
      <c r="L5" s="1016"/>
      <c r="M5" s="1016"/>
      <c r="N5" s="1016"/>
      <c r="O5" s="1016"/>
      <c r="P5" s="1017">
        <f>'SEAP template'!Q73</f>
        <v>0</v>
      </c>
    </row>
    <row r="6" spans="1:16">
      <c r="A6" s="1021" t="s">
        <v>246</v>
      </c>
      <c r="B6" s="1016">
        <f>'SEAP template'!B74</f>
        <v>10258.706468833139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13470.3</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15847.411764705885</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23881.113748300624</v>
      </c>
      <c r="C10" s="1018">
        <f>SUM(C4:C9)</f>
        <v>0</v>
      </c>
      <c r="D10" s="1018">
        <f t="shared" ref="D10:H10" si="0">SUM(D8:D9)</f>
        <v>0</v>
      </c>
      <c r="E10" s="1018">
        <f t="shared" si="0"/>
        <v>0</v>
      </c>
      <c r="F10" s="1018">
        <f t="shared" si="0"/>
        <v>0</v>
      </c>
      <c r="G10" s="1018">
        <f t="shared" si="0"/>
        <v>0</v>
      </c>
      <c r="H10" s="1018">
        <f t="shared" si="0"/>
        <v>0</v>
      </c>
      <c r="I10" s="1018">
        <f>SUM(I8:I9)</f>
        <v>0</v>
      </c>
      <c r="J10" s="1018">
        <f>SUM(J8:J9)</f>
        <v>15847.411764705885</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0.17121409363543422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19243.285714285714</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22639.15966386555</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19243.285714285714</v>
      </c>
      <c r="C20" s="1018">
        <f>SUM(C17:C19)</f>
        <v>0</v>
      </c>
      <c r="D20" s="1018">
        <f t="shared" ref="D20:H20" si="2">SUM(D17:D19)</f>
        <v>0</v>
      </c>
      <c r="E20" s="1018">
        <f t="shared" si="2"/>
        <v>0</v>
      </c>
      <c r="F20" s="1018">
        <f t="shared" si="2"/>
        <v>0</v>
      </c>
      <c r="G20" s="1018">
        <f t="shared" si="2"/>
        <v>0</v>
      </c>
      <c r="H20" s="1018">
        <f t="shared" si="2"/>
        <v>0</v>
      </c>
      <c r="I20" s="1018">
        <f>SUM(I17:I19)</f>
        <v>0</v>
      </c>
      <c r="J20" s="1018">
        <f>SUM(J17:J19)</f>
        <v>22639.15966386555</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0.17121409363543422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0.17121409363543422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0.17121409363543422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3082.76</v>
      </c>
      <c r="C14" s="326"/>
      <c r="D14" s="326"/>
      <c r="E14" s="326"/>
      <c r="F14" s="326"/>
    </row>
    <row r="15" spans="1:6">
      <c r="A15" s="1312" t="s">
        <v>183</v>
      </c>
      <c r="B15" s="1313">
        <v>90</v>
      </c>
      <c r="C15" s="326"/>
      <c r="D15" s="326"/>
      <c r="E15" s="326"/>
      <c r="F15" s="326"/>
    </row>
    <row r="16" spans="1:6">
      <c r="A16" s="1312" t="s">
        <v>6</v>
      </c>
      <c r="B16" s="1313">
        <v>3639</v>
      </c>
      <c r="C16" s="326"/>
      <c r="D16" s="326"/>
      <c r="E16" s="326"/>
      <c r="F16" s="326"/>
    </row>
    <row r="17" spans="1:6">
      <c r="A17" s="1312" t="s">
        <v>7</v>
      </c>
      <c r="B17" s="1313">
        <v>283</v>
      </c>
      <c r="C17" s="326"/>
      <c r="D17" s="326"/>
      <c r="E17" s="326"/>
      <c r="F17" s="326"/>
    </row>
    <row r="18" spans="1:6">
      <c r="A18" s="1312" t="s">
        <v>8</v>
      </c>
      <c r="B18" s="1313">
        <v>1734</v>
      </c>
      <c r="C18" s="326"/>
      <c r="D18" s="326"/>
      <c r="E18" s="326"/>
      <c r="F18" s="326"/>
    </row>
    <row r="19" spans="1:6">
      <c r="A19" s="1312" t="s">
        <v>9</v>
      </c>
      <c r="B19" s="1313">
        <v>1964</v>
      </c>
      <c r="C19" s="326"/>
      <c r="D19" s="326"/>
      <c r="E19" s="326"/>
      <c r="F19" s="326"/>
    </row>
    <row r="20" spans="1:6">
      <c r="A20" s="1312" t="s">
        <v>10</v>
      </c>
      <c r="B20" s="1313">
        <v>825</v>
      </c>
      <c r="C20" s="326"/>
      <c r="D20" s="326"/>
      <c r="E20" s="326"/>
      <c r="F20" s="326"/>
    </row>
    <row r="21" spans="1:6">
      <c r="A21" s="1312" t="s">
        <v>11</v>
      </c>
      <c r="B21" s="1313">
        <v>9325</v>
      </c>
      <c r="C21" s="326"/>
      <c r="D21" s="326"/>
      <c r="E21" s="326"/>
      <c r="F21" s="326"/>
    </row>
    <row r="22" spans="1:6">
      <c r="A22" s="1312" t="s">
        <v>12</v>
      </c>
      <c r="B22" s="1313">
        <v>23009</v>
      </c>
      <c r="C22" s="326"/>
      <c r="D22" s="326"/>
      <c r="E22" s="326"/>
      <c r="F22" s="326"/>
    </row>
    <row r="23" spans="1:6">
      <c r="A23" s="1312" t="s">
        <v>13</v>
      </c>
      <c r="B23" s="1313">
        <v>371</v>
      </c>
      <c r="C23" s="326"/>
      <c r="D23" s="326"/>
      <c r="E23" s="326"/>
      <c r="F23" s="326"/>
    </row>
    <row r="24" spans="1:6">
      <c r="A24" s="1312" t="s">
        <v>14</v>
      </c>
      <c r="B24" s="1313">
        <v>107</v>
      </c>
      <c r="C24" s="326"/>
      <c r="D24" s="326"/>
      <c r="E24" s="326"/>
      <c r="F24" s="326"/>
    </row>
    <row r="25" spans="1:6">
      <c r="A25" s="1312" t="s">
        <v>15</v>
      </c>
      <c r="B25" s="1313">
        <v>2259</v>
      </c>
      <c r="C25" s="326"/>
      <c r="D25" s="326"/>
      <c r="E25" s="326"/>
      <c r="F25" s="326"/>
    </row>
    <row r="26" spans="1:6">
      <c r="A26" s="1312" t="s">
        <v>16</v>
      </c>
      <c r="B26" s="1313">
        <v>33</v>
      </c>
      <c r="C26" s="326"/>
      <c r="D26" s="326"/>
      <c r="E26" s="326"/>
      <c r="F26" s="326"/>
    </row>
    <row r="27" spans="1:6">
      <c r="A27" s="1312" t="s">
        <v>17</v>
      </c>
      <c r="B27" s="1313">
        <v>31</v>
      </c>
      <c r="C27" s="326"/>
      <c r="D27" s="326"/>
      <c r="E27" s="326"/>
      <c r="F27" s="326"/>
    </row>
    <row r="28" spans="1:6" s="43" customFormat="1">
      <c r="A28" s="1314" t="s">
        <v>18</v>
      </c>
      <c r="B28" s="1315">
        <v>261824</v>
      </c>
      <c r="C28" s="332"/>
      <c r="D28" s="332"/>
      <c r="E28" s="332"/>
      <c r="F28" s="332"/>
    </row>
    <row r="29" spans="1:6">
      <c r="A29" s="1314" t="s">
        <v>684</v>
      </c>
      <c r="B29" s="1315">
        <v>339</v>
      </c>
      <c r="C29" s="332"/>
      <c r="D29" s="332"/>
      <c r="E29" s="332"/>
      <c r="F29" s="332"/>
    </row>
    <row r="30" spans="1:6">
      <c r="A30" s="1307" t="s">
        <v>685</v>
      </c>
      <c r="B30" s="1316">
        <v>92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13</v>
      </c>
      <c r="F36" s="1313">
        <v>54797.404000000002</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26882</v>
      </c>
    </row>
    <row r="39" spans="1:6">
      <c r="A39" s="1312" t="s">
        <v>29</v>
      </c>
      <c r="B39" s="1312" t="s">
        <v>30</v>
      </c>
      <c r="C39" s="1313">
        <v>2903</v>
      </c>
      <c r="D39" s="1313">
        <v>39888040.0239999</v>
      </c>
      <c r="E39" s="1313">
        <v>5465</v>
      </c>
      <c r="F39" s="1313">
        <v>16786216.947000001</v>
      </c>
    </row>
    <row r="40" spans="1:6">
      <c r="A40" s="1312" t="s">
        <v>29</v>
      </c>
      <c r="B40" s="1312" t="s">
        <v>28</v>
      </c>
      <c r="C40" s="1313">
        <v>0</v>
      </c>
      <c r="D40" s="1313">
        <v>0</v>
      </c>
      <c r="E40" s="1313">
        <v>0</v>
      </c>
      <c r="F40" s="1313">
        <v>0</v>
      </c>
    </row>
    <row r="41" spans="1:6">
      <c r="A41" s="1312" t="s">
        <v>31</v>
      </c>
      <c r="B41" s="1312" t="s">
        <v>32</v>
      </c>
      <c r="C41" s="1313">
        <v>110</v>
      </c>
      <c r="D41" s="1313">
        <v>1236922.4140000001</v>
      </c>
      <c r="E41" s="1313">
        <v>136</v>
      </c>
      <c r="F41" s="1313">
        <v>4416067.6569999997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4005443.7779999999</v>
      </c>
      <c r="E44" s="1313">
        <v>25</v>
      </c>
      <c r="F44" s="1313">
        <v>3323257.3220000002</v>
      </c>
    </row>
    <row r="45" spans="1:6">
      <c r="A45" s="1312" t="s">
        <v>31</v>
      </c>
      <c r="B45" s="1312" t="s">
        <v>36</v>
      </c>
      <c r="C45" s="1313">
        <v>0</v>
      </c>
      <c r="D45" s="1313">
        <v>0</v>
      </c>
      <c r="E45" s="1313">
        <v>3</v>
      </c>
      <c r="F45" s="1313">
        <v>250092.75099999999</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6</v>
      </c>
      <c r="D48" s="1313">
        <v>210759.34999999998</v>
      </c>
      <c r="E48" s="1313">
        <v>2</v>
      </c>
      <c r="F48" s="1313">
        <v>11943.022000000001</v>
      </c>
    </row>
    <row r="49" spans="1:6">
      <c r="A49" s="1312" t="s">
        <v>31</v>
      </c>
      <c r="B49" s="1312" t="s">
        <v>39</v>
      </c>
      <c r="C49" s="1313">
        <v>0</v>
      </c>
      <c r="D49" s="1313">
        <v>0</v>
      </c>
      <c r="E49" s="1313">
        <v>5</v>
      </c>
      <c r="F49" s="1313">
        <v>95297.036999999997</v>
      </c>
    </row>
    <row r="50" spans="1:6">
      <c r="A50" s="1312" t="s">
        <v>31</v>
      </c>
      <c r="B50" s="1312" t="s">
        <v>40</v>
      </c>
      <c r="C50" s="1313">
        <v>8</v>
      </c>
      <c r="D50" s="1313">
        <v>81184289.107999995</v>
      </c>
      <c r="E50" s="1313">
        <v>12</v>
      </c>
      <c r="F50" s="1313">
        <v>43453155.004000001</v>
      </c>
    </row>
    <row r="51" spans="1:6">
      <c r="A51" s="1312" t="s">
        <v>41</v>
      </c>
      <c r="B51" s="1312" t="s">
        <v>42</v>
      </c>
      <c r="C51" s="1313">
        <v>5</v>
      </c>
      <c r="D51" s="1313">
        <v>81432.441000000006</v>
      </c>
      <c r="E51" s="1313">
        <v>134</v>
      </c>
      <c r="F51" s="1313">
        <v>3627387.38</v>
      </c>
    </row>
    <row r="52" spans="1:6">
      <c r="A52" s="1312" t="s">
        <v>41</v>
      </c>
      <c r="B52" s="1312" t="s">
        <v>28</v>
      </c>
      <c r="C52" s="1313">
        <v>0</v>
      </c>
      <c r="D52" s="1313">
        <v>0</v>
      </c>
      <c r="E52" s="1313">
        <v>0</v>
      </c>
      <c r="F52" s="1313">
        <v>0</v>
      </c>
    </row>
    <row r="53" spans="1:6">
      <c r="A53" s="1312" t="s">
        <v>43</v>
      </c>
      <c r="B53" s="1312" t="s">
        <v>44</v>
      </c>
      <c r="C53" s="1313">
        <v>32</v>
      </c>
      <c r="D53" s="1313">
        <v>854041.53099999996</v>
      </c>
      <c r="E53" s="1313">
        <v>88</v>
      </c>
      <c r="F53" s="1313">
        <v>497532.00599999999</v>
      </c>
    </row>
    <row r="54" spans="1:6">
      <c r="A54" s="1312" t="s">
        <v>45</v>
      </c>
      <c r="B54" s="1312" t="s">
        <v>46</v>
      </c>
      <c r="C54" s="1313">
        <v>0</v>
      </c>
      <c r="D54" s="1313">
        <v>0</v>
      </c>
      <c r="E54" s="1313">
        <v>3</v>
      </c>
      <c r="F54" s="1313">
        <v>952389.55700000003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28</v>
      </c>
      <c r="D57" s="1313">
        <v>1501957.3130000001</v>
      </c>
      <c r="E57" s="1313">
        <v>89</v>
      </c>
      <c r="F57" s="1313">
        <v>1811561.878</v>
      </c>
    </row>
    <row r="58" spans="1:6">
      <c r="A58" s="1312" t="s">
        <v>48</v>
      </c>
      <c r="B58" s="1312" t="s">
        <v>50</v>
      </c>
      <c r="C58" s="1313">
        <v>14</v>
      </c>
      <c r="D58" s="1313">
        <v>1647081.8470000001</v>
      </c>
      <c r="E58" s="1313">
        <v>24</v>
      </c>
      <c r="F58" s="1313">
        <v>613117.12100000004</v>
      </c>
    </row>
    <row r="59" spans="1:6">
      <c r="A59" s="1312" t="s">
        <v>48</v>
      </c>
      <c r="B59" s="1312" t="s">
        <v>51</v>
      </c>
      <c r="C59" s="1313">
        <v>45</v>
      </c>
      <c r="D59" s="1313">
        <v>16062383.297</v>
      </c>
      <c r="E59" s="1313">
        <v>104</v>
      </c>
      <c r="F59" s="1313">
        <v>2830625.0819999999</v>
      </c>
    </row>
    <row r="60" spans="1:6">
      <c r="A60" s="1312" t="s">
        <v>48</v>
      </c>
      <c r="B60" s="1312" t="s">
        <v>52</v>
      </c>
      <c r="C60" s="1313">
        <v>30</v>
      </c>
      <c r="D60" s="1313">
        <v>978053.81499999994</v>
      </c>
      <c r="E60" s="1313">
        <v>67</v>
      </c>
      <c r="F60" s="1313">
        <v>1953093.3189999999</v>
      </c>
    </row>
    <row r="61" spans="1:6">
      <c r="A61" s="1312" t="s">
        <v>48</v>
      </c>
      <c r="B61" s="1312" t="s">
        <v>53</v>
      </c>
      <c r="C61" s="1313">
        <v>63</v>
      </c>
      <c r="D61" s="1313">
        <v>1189154.23</v>
      </c>
      <c r="E61" s="1313">
        <v>175</v>
      </c>
      <c r="F61" s="1313">
        <v>4928451.1560000004</v>
      </c>
    </row>
    <row r="62" spans="1:6">
      <c r="A62" s="1312" t="s">
        <v>48</v>
      </c>
      <c r="B62" s="1312" t="s">
        <v>54</v>
      </c>
      <c r="C62" s="1313">
        <v>10</v>
      </c>
      <c r="D62" s="1313">
        <v>484240.32400000002</v>
      </c>
      <c r="E62" s="1313">
        <v>11</v>
      </c>
      <c r="F62" s="1313">
        <v>124117.99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14856.915999999999</v>
      </c>
      <c r="E65" s="1313">
        <v>0</v>
      </c>
      <c r="F65" s="1313">
        <v>0</v>
      </c>
    </row>
    <row r="66" spans="1:6">
      <c r="A66" s="1312" t="s">
        <v>55</v>
      </c>
      <c r="B66" s="1312" t="s">
        <v>57</v>
      </c>
      <c r="C66" s="1313">
        <v>0</v>
      </c>
      <c r="D66" s="1313">
        <v>0</v>
      </c>
      <c r="E66" s="1313">
        <v>5</v>
      </c>
      <c r="F66" s="1313">
        <v>86062.120999999999</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80947.491999999998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43619713</v>
      </c>
      <c r="E73" s="447"/>
      <c r="F73" s="326"/>
    </row>
    <row r="74" spans="1:6">
      <c r="A74" s="1312" t="s">
        <v>63</v>
      </c>
      <c r="B74" s="1312" t="s">
        <v>638</v>
      </c>
      <c r="C74" s="1326" t="s">
        <v>640</v>
      </c>
      <c r="D74" s="1327">
        <v>5365140.0461747134</v>
      </c>
      <c r="E74" s="447"/>
      <c r="F74" s="326"/>
    </row>
    <row r="75" spans="1:6">
      <c r="A75" s="1312" t="s">
        <v>64</v>
      </c>
      <c r="B75" s="1312" t="s">
        <v>637</v>
      </c>
      <c r="C75" s="1326" t="s">
        <v>641</v>
      </c>
      <c r="D75" s="1327">
        <v>20289318</v>
      </c>
      <c r="E75" s="447"/>
      <c r="F75" s="326"/>
    </row>
    <row r="76" spans="1:6">
      <c r="A76" s="1312" t="s">
        <v>64</v>
      </c>
      <c r="B76" s="1312" t="s">
        <v>638</v>
      </c>
      <c r="C76" s="1326" t="s">
        <v>642</v>
      </c>
      <c r="D76" s="1327">
        <v>231885.046174713</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271897.90765057399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152.10727946748594</v>
      </c>
      <c r="C89" s="326"/>
      <c r="D89" s="326"/>
      <c r="E89" s="326"/>
      <c r="F89" s="326"/>
    </row>
    <row r="90" spans="1:6">
      <c r="A90" s="1312" t="s">
        <v>531</v>
      </c>
      <c r="B90" s="1313">
        <v>0</v>
      </c>
      <c r="C90" s="326"/>
      <c r="D90" s="326"/>
      <c r="E90" s="326"/>
      <c r="F90" s="326"/>
    </row>
    <row r="91" spans="1:6">
      <c r="A91" s="1312" t="s">
        <v>67</v>
      </c>
      <c r="B91" s="1313">
        <v>6801.8986951313091</v>
      </c>
      <c r="C91" s="326"/>
      <c r="D91" s="326"/>
      <c r="E91" s="326"/>
      <c r="F91" s="326"/>
    </row>
    <row r="92" spans="1:6">
      <c r="A92" s="1307" t="s">
        <v>68</v>
      </c>
      <c r="B92" s="1308">
        <v>3456.8077737018298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538</v>
      </c>
      <c r="C97" s="326"/>
      <c r="D97" s="326"/>
      <c r="E97" s="326"/>
      <c r="F97" s="326"/>
    </row>
    <row r="98" spans="1:6">
      <c r="A98" s="1312" t="s">
        <v>71</v>
      </c>
      <c r="B98" s="1313">
        <v>6</v>
      </c>
      <c r="C98" s="326"/>
      <c r="D98" s="326"/>
      <c r="E98" s="326"/>
      <c r="F98" s="326"/>
    </row>
    <row r="99" spans="1:6">
      <c r="A99" s="1312" t="s">
        <v>72</v>
      </c>
      <c r="B99" s="1313">
        <v>56</v>
      </c>
      <c r="C99" s="326"/>
      <c r="D99" s="326"/>
      <c r="E99" s="326"/>
      <c r="F99" s="326"/>
    </row>
    <row r="100" spans="1:6">
      <c r="A100" s="1312" t="s">
        <v>73</v>
      </c>
      <c r="B100" s="1313">
        <v>172</v>
      </c>
      <c r="C100" s="326"/>
      <c r="D100" s="326"/>
      <c r="E100" s="326"/>
      <c r="F100" s="326"/>
    </row>
    <row r="101" spans="1:6">
      <c r="A101" s="1312" t="s">
        <v>74</v>
      </c>
      <c r="B101" s="1313">
        <v>69</v>
      </c>
      <c r="C101" s="326"/>
      <c r="D101" s="326"/>
      <c r="E101" s="326"/>
      <c r="F101" s="326"/>
    </row>
    <row r="102" spans="1:6">
      <c r="A102" s="1312" t="s">
        <v>75</v>
      </c>
      <c r="B102" s="1313">
        <v>50</v>
      </c>
      <c r="C102" s="326"/>
      <c r="D102" s="326"/>
      <c r="E102" s="326"/>
      <c r="F102" s="326"/>
    </row>
    <row r="103" spans="1:6">
      <c r="A103" s="1312" t="s">
        <v>76</v>
      </c>
      <c r="B103" s="1313">
        <v>73</v>
      </c>
      <c r="C103" s="326"/>
      <c r="D103" s="326"/>
      <c r="E103" s="326"/>
      <c r="F103" s="326"/>
    </row>
    <row r="104" spans="1:6">
      <c r="A104" s="1312" t="s">
        <v>77</v>
      </c>
      <c r="B104" s="1313">
        <v>3316</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38</v>
      </c>
      <c r="C123" s="1313">
        <v>33</v>
      </c>
      <c r="D123" s="326"/>
      <c r="E123" s="326"/>
      <c r="F123" s="326"/>
    </row>
    <row r="124" spans="1:6" s="43" customFormat="1">
      <c r="A124" s="1314" t="s">
        <v>88</v>
      </c>
      <c r="B124" s="1335">
        <v>2</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215</v>
      </c>
      <c r="C129" s="326"/>
      <c r="D129" s="326"/>
      <c r="E129" s="326"/>
      <c r="F129" s="326"/>
    </row>
    <row r="130" spans="1:6">
      <c r="A130" s="1312" t="s">
        <v>290</v>
      </c>
      <c r="B130" s="1313">
        <v>7</v>
      </c>
      <c r="C130" s="326"/>
      <c r="D130" s="326"/>
      <c r="E130" s="326"/>
      <c r="F130" s="326"/>
    </row>
    <row r="131" spans="1:6">
      <c r="A131" s="1312" t="s">
        <v>291</v>
      </c>
      <c r="B131" s="1313">
        <v>2</v>
      </c>
      <c r="C131" s="326"/>
      <c r="D131" s="326"/>
      <c r="E131" s="326"/>
      <c r="F131" s="326"/>
    </row>
    <row r="132" spans="1:6">
      <c r="A132" s="1307" t="s">
        <v>292</v>
      </c>
      <c r="B132" s="1308">
        <v>43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106008.43740249278</v>
      </c>
      <c r="C3" s="43" t="s">
        <v>169</v>
      </c>
      <c r="D3" s="43"/>
      <c r="E3" s="154"/>
      <c r="F3" s="43"/>
      <c r="G3" s="43"/>
      <c r="H3" s="43"/>
      <c r="I3" s="43"/>
      <c r="J3" s="43"/>
      <c r="K3" s="96"/>
    </row>
    <row r="4" spans="1:11">
      <c r="A4" s="354" t="s">
        <v>170</v>
      </c>
      <c r="B4" s="49">
        <f>IF(ISERROR('SEAP template'!B78+'SEAP template'!C78),0,'SEAP template'!B78+'SEAP template'!C78)</f>
        <v>23881.113748300624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0.17121409363543422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19243.285714285714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952.38955700000008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952.38955700000008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0.17121409363543422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163.06251478960772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16786.216947000001</v>
      </c>
      <c r="C5" s="17">
        <f>IF(ISERROR('Eigen informatie GS &amp; warmtenet'!B59),0,'Eigen informatie GS &amp; warmtenet'!B59)</f>
        <v>0</v>
      </c>
      <c r="D5" s="30">
        <f>(SUM(HH_hh_gas_kWh,HH_rest_gas_kWh)/1000)*0.903</f>
        <v>36018.900141671911</v>
      </c>
      <c r="E5" s="17">
        <f>B32*B41</f>
        <v>1662.558530279274</v>
      </c>
      <c r="F5" s="17">
        <f>B36*B45</f>
        <v>36421.013470256665</v>
      </c>
      <c r="G5" s="18"/>
      <c r="H5" s="17"/>
      <c r="I5" s="17"/>
      <c r="J5" s="17">
        <f>B35*B44+C35*C44</f>
        <v>207.56733927011513</v>
      </c>
      <c r="K5" s="17"/>
      <c r="L5" s="17"/>
      <c r="M5" s="17"/>
      <c r="N5" s="17">
        <f>B34*B43+C34*C43</f>
        <v>7487.0107012142835</v>
      </c>
      <c r="O5" s="17">
        <f>B52*B53*B54</f>
        <v>495.98955484675793</v>
      </c>
      <c r="P5" s="17">
        <f>B60*B61*B62/1000-B60*B61*B62/1000/B63</f>
        <v>874.31862253785675</v>
      </c>
    </row>
    <row r="6" spans="1:16">
      <c r="A6" s="16" t="s">
        <v>603</v>
      </c>
      <c r="B6" s="780">
        <f>kWh_PV_kleiner_dan_10kW</f>
        <v>6801.8986951313091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23588.11564213131</v>
      </c>
      <c r="C8" s="21">
        <f>C5</f>
        <v>0</v>
      </c>
      <c r="D8" s="21">
        <f>D5</f>
        <v>36018.900141671911</v>
      </c>
      <c r="E8" s="21">
        <f>E5</f>
        <v>1662.558530279274</v>
      </c>
      <c r="F8" s="21">
        <f>F5</f>
        <v>36421.013470256665</v>
      </c>
      <c r="G8" s="21"/>
      <c r="H8" s="21"/>
      <c r="I8" s="21"/>
      <c r="J8" s="21">
        <f>J5</f>
        <v>207.56733927011513</v>
      </c>
      <c r="K8" s="21"/>
      <c r="L8" s="21">
        <f>L5</f>
        <v>0</v>
      </c>
      <c r="M8" s="21">
        <f>M5</f>
        <v>0</v>
      </c>
      <c r="N8" s="21">
        <f>N5</f>
        <v>7487.0107012142835</v>
      </c>
      <c r="O8" s="21">
        <f>O5</f>
        <v>495.98955484675793</v>
      </c>
      <c r="P8" s="21">
        <f>P5</f>
        <v>874.31862253785675</v>
      </c>
    </row>
    <row r="9" spans="1:16">
      <c r="B9" s="19"/>
      <c r="C9" s="19"/>
      <c r="D9" s="254"/>
      <c r="E9" s="19"/>
      <c r="F9" s="19"/>
      <c r="G9" s="19"/>
      <c r="H9" s="19"/>
      <c r="I9" s="19"/>
      <c r="J9" s="19"/>
      <c r="K9" s="19"/>
      <c r="L9" s="19"/>
      <c r="M9" s="19"/>
      <c r="N9" s="19"/>
      <c r="O9" s="19"/>
      <c r="P9" s="19"/>
    </row>
    <row r="10" spans="1:16">
      <c r="A10" s="24" t="s">
        <v>213</v>
      </c>
      <c r="B10" s="25">
        <f ca="1">'EF ele_warmte'!B12</f>
        <v>0.17121409363543422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4038.6178402353207</v>
      </c>
      <c r="C12" s="23">
        <f ca="1">C10*C8</f>
        <v>0</v>
      </c>
      <c r="D12" s="23">
        <f>D8*D10</f>
        <v>7275.8178286177263</v>
      </c>
      <c r="E12" s="23">
        <f>E10*E8</f>
        <v>377.40078637339519</v>
      </c>
      <c r="F12" s="23">
        <f>F10*F8</f>
        <v>9724.4105965585295</v>
      </c>
      <c r="G12" s="23"/>
      <c r="H12" s="23"/>
      <c r="I12" s="23"/>
      <c r="J12" s="23">
        <f>J10*J8</f>
        <v>73.478838101620752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5460</v>
      </c>
      <c r="C26" s="36"/>
      <c r="D26" s="225"/>
    </row>
    <row r="27" spans="1:5" s="15" customFormat="1">
      <c r="A27" s="227" t="s">
        <v>866</v>
      </c>
      <c r="B27" s="37">
        <f>SUM(HH_hh_gas_aantal,HH_rest_gas_aantal)</f>
        <v>2903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2757.85</v>
      </c>
      <c r="C31" s="34" t="s">
        <v>110</v>
      </c>
      <c r="D31" s="171"/>
    </row>
    <row r="32" spans="1:5">
      <c r="A32" s="168" t="s">
        <v>72</v>
      </c>
      <c r="B32" s="33">
        <f>IF((B21*($B$26-($B$27-0.05*$B$27)-$B$60))&lt;0,0,(B21*($B$26-($B$27-0.05*$B$27)-$B$60)))</f>
        <v>41.579526659219063</v>
      </c>
      <c r="C32" s="34" t="s">
        <v>110</v>
      </c>
      <c r="D32" s="171"/>
    </row>
    <row r="33" spans="1:6">
      <c r="A33" s="168" t="s">
        <v>73</v>
      </c>
      <c r="B33" s="33">
        <f>IF((B22*($B$26-($B$27-0.05*$B$27)-$B$60))&lt;0,0,B22*($B$26-($B$27-0.05*$B$27)-$B$60))</f>
        <v>675.16916378931387</v>
      </c>
      <c r="C33" s="34" t="s">
        <v>110</v>
      </c>
      <c r="D33" s="171"/>
    </row>
    <row r="34" spans="1:6">
      <c r="A34" s="168" t="s">
        <v>74</v>
      </c>
      <c r="B34" s="33">
        <f>IF((B24*($B$26-($B$27-0.05*$B$27)-$B$60))&lt;0,0,B24*($B$26-($B$27-0.05*$B$27)-$B$60))</f>
        <v>129.43896412550455</v>
      </c>
      <c r="C34" s="33">
        <f>B26*C24</f>
        <v>1118.7864313437312</v>
      </c>
      <c r="D34" s="230"/>
    </row>
    <row r="35" spans="1:6">
      <c r="A35" s="168" t="s">
        <v>76</v>
      </c>
      <c r="B35" s="33">
        <f>IF((B19*($B$26-($B$27-0.05*$B$27)-$B$60))&lt;0,0,B19*($B$26-($B$27-0.05*$B$27)-$B$60))</f>
        <v>18.074521110457692</v>
      </c>
      <c r="C35" s="33">
        <f>B35/2</f>
        <v>9.0372605552288459</v>
      </c>
      <c r="D35" s="230"/>
    </row>
    <row r="36" spans="1:6">
      <c r="A36" s="168" t="s">
        <v>77</v>
      </c>
      <c r="B36" s="33">
        <f>IF((B18*($B$26-($B$27-0.05*$B$27)-$B$60))&lt;0,0,B18*($B$26-($B$27-0.05*$B$27)-$B$60))</f>
        <v>1754.8878243155043</v>
      </c>
      <c r="C36" s="34" t="s">
        <v>110</v>
      </c>
      <c r="D36" s="171"/>
    </row>
    <row r="37" spans="1:6">
      <c r="A37" s="168" t="s">
        <v>78</v>
      </c>
      <c r="B37" s="33">
        <f>B60</f>
        <v>83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12260.966546</v>
      </c>
      <c r="C5" s="17">
        <f>IF(ISERROR('Eigen informatie GS &amp; warmtenet'!B60),0,'Eigen informatie GS &amp; warmtenet'!B60)</f>
        <v>0</v>
      </c>
      <c r="D5" s="30">
        <f>SUM(D6:D12)</f>
        <v>19742.172355878</v>
      </c>
      <c r="E5" s="17">
        <f>SUM(E6:E12)</f>
        <v>47.287233847939028</v>
      </c>
      <c r="F5" s="17">
        <f>SUM(F6:F12)</f>
        <v>2590.6465090063593</v>
      </c>
      <c r="G5" s="18"/>
      <c r="H5" s="17"/>
      <c r="I5" s="17"/>
      <c r="J5" s="17">
        <f>SUM(J6:J12)</f>
        <v>1.8322448635841079E-2</v>
      </c>
      <c r="K5" s="17"/>
      <c r="L5" s="17"/>
      <c r="M5" s="17"/>
      <c r="N5" s="17">
        <f>SUM(N6:N12)</f>
        <v>705.88010696940853</v>
      </c>
      <c r="O5" s="17">
        <f>B38*B39*B40</f>
        <v>34.280825360888088</v>
      </c>
      <c r="P5" s="17">
        <f>B46*B47*B48/1000-B46*B47*B48/1000/B49</f>
        <v>157.61741491948504</v>
      </c>
      <c r="R5" s="32"/>
    </row>
    <row r="6" spans="1:18">
      <c r="A6" s="32" t="s">
        <v>53</v>
      </c>
      <c r="B6" s="37">
        <f>B26</f>
        <v>4928.4511560000001</v>
      </c>
      <c r="C6" s="33"/>
      <c r="D6" s="37">
        <f>IF(ISERROR(TER_kantoor_gas_kWh/1000),0,TER_kantoor_gas_kWh/1000)*0.903</f>
        <v>1073.8062696899999</v>
      </c>
      <c r="E6" s="33">
        <f>$C$26*'E Balans VL '!I12/100/3.6*1000000</f>
        <v>1.1743046459653386</v>
      </c>
      <c r="F6" s="33">
        <f>$C$26*('E Balans VL '!L12+'E Balans VL '!N12)/100/3.6*1000000</f>
        <v>428.08426274021485</v>
      </c>
      <c r="G6" s="34"/>
      <c r="H6" s="33"/>
      <c r="I6" s="33"/>
      <c r="J6" s="33">
        <f>$C$26*('E Balans VL '!D12+'E Balans VL '!E12)/100/3.6*1000000</f>
        <v>0</v>
      </c>
      <c r="K6" s="33"/>
      <c r="L6" s="33"/>
      <c r="M6" s="33"/>
      <c r="N6" s="33">
        <f>$C$26*'E Balans VL '!Y12/100/3.6*1000000</f>
        <v>6.5875644612917386</v>
      </c>
      <c r="O6" s="33"/>
      <c r="P6" s="33"/>
      <c r="R6" s="32"/>
    </row>
    <row r="7" spans="1:18">
      <c r="A7" s="32" t="s">
        <v>52</v>
      </c>
      <c r="B7" s="37">
        <f t="shared" ref="B7:B12" si="0">B27</f>
        <v>1953.0933189999998</v>
      </c>
      <c r="C7" s="33"/>
      <c r="D7" s="37">
        <f>IF(ISERROR(TER_horeca_gas_kWh/1000),0,TER_horeca_gas_kWh/1000)*0.903</f>
        <v>883.18259494500001</v>
      </c>
      <c r="E7" s="33">
        <f>$C$27*'E Balans VL '!I9/100/3.6*1000000</f>
        <v>0</v>
      </c>
      <c r="F7" s="33">
        <f>$C$27*('E Balans VL '!L9+'E Balans VL '!N9)/100/3.6*1000000</f>
        <v>159.14175955847895</v>
      </c>
      <c r="G7" s="34"/>
      <c r="H7" s="33"/>
      <c r="I7" s="33"/>
      <c r="J7" s="33">
        <f>$C$27*('E Balans VL '!D9+'E Balans VL '!E9)/100/3.6*1000000</f>
        <v>0</v>
      </c>
      <c r="K7" s="33"/>
      <c r="L7" s="33"/>
      <c r="M7" s="33"/>
      <c r="N7" s="33">
        <f>$C$27*'E Balans VL '!Y9/100/3.6*1000000</f>
        <v>0.54097048793958835</v>
      </c>
      <c r="O7" s="33"/>
      <c r="P7" s="33"/>
      <c r="R7" s="32"/>
    </row>
    <row r="8" spans="1:18">
      <c r="A8" s="6" t="s">
        <v>51</v>
      </c>
      <c r="B8" s="37">
        <f t="shared" si="0"/>
        <v>2830.625082</v>
      </c>
      <c r="C8" s="33"/>
      <c r="D8" s="37">
        <f>IF(ISERROR(TER_handel_gas_kWh/1000),0,TER_handel_gas_kWh/1000)*0.903</f>
        <v>14504.332117191001</v>
      </c>
      <c r="E8" s="33">
        <f>$C$28*'E Balans VL '!I13/100/3.6*1000000</f>
        <v>22.626925978693755</v>
      </c>
      <c r="F8" s="33">
        <f>$C$28*('E Balans VL '!L13+'E Balans VL '!N13)/100/3.6*1000000</f>
        <v>281.20500570454362</v>
      </c>
      <c r="G8" s="34"/>
      <c r="H8" s="33"/>
      <c r="I8" s="33"/>
      <c r="J8" s="33">
        <f>$C$28*('E Balans VL '!D13+'E Balans VL '!E13)/100/3.6*1000000</f>
        <v>0</v>
      </c>
      <c r="K8" s="33"/>
      <c r="L8" s="33"/>
      <c r="M8" s="33"/>
      <c r="N8" s="33">
        <f>$C$28*'E Balans VL '!Y13/100/3.6*1000000</f>
        <v>1.0574069581471652</v>
      </c>
      <c r="O8" s="33"/>
      <c r="P8" s="33"/>
      <c r="R8" s="32"/>
    </row>
    <row r="9" spans="1:18">
      <c r="A9" s="32" t="s">
        <v>50</v>
      </c>
      <c r="B9" s="37">
        <f t="shared" si="0"/>
        <v>613.117121</v>
      </c>
      <c r="C9" s="33"/>
      <c r="D9" s="37">
        <f>IF(ISERROR(TER_gezond_gas_kWh/1000),0,TER_gezond_gas_kWh/1000)*0.903</f>
        <v>1487.3149078410001</v>
      </c>
      <c r="E9" s="33">
        <f>$C$29*'E Balans VL '!I10/100/3.6*1000000</f>
        <v>0</v>
      </c>
      <c r="F9" s="33">
        <f>$C$29*('E Balans VL '!L10+'E Balans VL '!N10)/100/3.6*1000000</f>
        <v>55.895616749766972</v>
      </c>
      <c r="G9" s="34"/>
      <c r="H9" s="33"/>
      <c r="I9" s="33"/>
      <c r="J9" s="33">
        <f>$C$29*('E Balans VL '!D10+'E Balans VL '!E10)/100/3.6*1000000</f>
        <v>0</v>
      </c>
      <c r="K9" s="33"/>
      <c r="L9" s="33"/>
      <c r="M9" s="33"/>
      <c r="N9" s="33">
        <f>$C$29*'E Balans VL '!Y10/100/3.6*1000000</f>
        <v>4.4813367034440263</v>
      </c>
      <c r="O9" s="33"/>
      <c r="P9" s="33"/>
      <c r="R9" s="32"/>
    </row>
    <row r="10" spans="1:18">
      <c r="A10" s="32" t="s">
        <v>49</v>
      </c>
      <c r="B10" s="37">
        <f t="shared" si="0"/>
        <v>1811.561878</v>
      </c>
      <c r="C10" s="33"/>
      <c r="D10" s="37">
        <f>IF(ISERROR(TER_ander_gas_kWh/1000),0,TER_ander_gas_kWh/1000)*0.903</f>
        <v>1356.2674536390002</v>
      </c>
      <c r="E10" s="33">
        <f>$C$30*'E Balans VL '!I14/100/3.6*1000000</f>
        <v>23.486003223279933</v>
      </c>
      <c r="F10" s="33">
        <f>$C$30*('E Balans VL '!L14+'E Balans VL '!N14)/100/3.6*1000000</f>
        <v>1661.4565902430318</v>
      </c>
      <c r="G10" s="34"/>
      <c r="H10" s="33"/>
      <c r="I10" s="33"/>
      <c r="J10" s="33">
        <f>$C$30*('E Balans VL '!D14+'E Balans VL '!E14)/100/3.6*1000000</f>
        <v>1.8322448635841079E-2</v>
      </c>
      <c r="K10" s="33"/>
      <c r="L10" s="33"/>
      <c r="M10" s="33"/>
      <c r="N10" s="33">
        <f>$C$30*'E Balans VL '!Y14/100/3.6*1000000</f>
        <v>692.82195014189335</v>
      </c>
      <c r="O10" s="33"/>
      <c r="P10" s="33"/>
      <c r="R10" s="32"/>
    </row>
    <row r="11" spans="1:18">
      <c r="A11" s="32" t="s">
        <v>54</v>
      </c>
      <c r="B11" s="37">
        <f t="shared" si="0"/>
        <v>124.11799000000001</v>
      </c>
      <c r="C11" s="33"/>
      <c r="D11" s="37">
        <f>IF(ISERROR(TER_onderwijs_gas_kWh/1000),0,TER_onderwijs_gas_kWh/1000)*0.903</f>
        <v>437.26901257200007</v>
      </c>
      <c r="E11" s="33">
        <f>$C$31*'E Balans VL '!I11/100/3.6*1000000</f>
        <v>0</v>
      </c>
      <c r="F11" s="33">
        <f>$C$31*('E Balans VL '!L11+'E Balans VL '!N11)/100/3.6*1000000</f>
        <v>4.8632740103229795</v>
      </c>
      <c r="G11" s="34"/>
      <c r="H11" s="33"/>
      <c r="I11" s="33"/>
      <c r="J11" s="33">
        <f>$C$31*('E Balans VL '!D11+'E Balans VL '!E11)/100/3.6*1000000</f>
        <v>0</v>
      </c>
      <c r="K11" s="33"/>
      <c r="L11" s="33"/>
      <c r="M11" s="33"/>
      <c r="N11" s="33">
        <f>$C$31*'E Balans VL '!Y11/100/3.6*1000000</f>
        <v>0.39087821669259587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13383</v>
      </c>
      <c r="C13" s="243">
        <f ca="1">'lokale energieproductie'!O40+'lokale energieproductie'!O33</f>
        <v>19118.571428571428</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-38237.142857142862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25643.966546</v>
      </c>
      <c r="C16" s="21">
        <f t="shared" ca="1" si="1"/>
        <v>19118.571428571428</v>
      </c>
      <c r="D16" s="21">
        <f t="shared" ca="1" si="1"/>
        <v>19742.172355878</v>
      </c>
      <c r="E16" s="21">
        <f t="shared" si="1"/>
        <v>47.287233847939028</v>
      </c>
      <c r="F16" s="21">
        <f t="shared" ca="1" si="1"/>
        <v>2590.6465090063593</v>
      </c>
      <c r="G16" s="21">
        <f t="shared" si="1"/>
        <v>0</v>
      </c>
      <c r="H16" s="21">
        <f t="shared" si="1"/>
        <v>0</v>
      </c>
      <c r="I16" s="21">
        <f t="shared" si="1"/>
        <v>0</v>
      </c>
      <c r="J16" s="21">
        <f t="shared" si="1"/>
        <v>1.8322448635841079E-2</v>
      </c>
      <c r="K16" s="21">
        <f t="shared" si="1"/>
        <v>0</v>
      </c>
      <c r="L16" s="21">
        <f t="shared" ca="1" si="1"/>
        <v>0</v>
      </c>
      <c r="M16" s="21">
        <f t="shared" si="1"/>
        <v>0</v>
      </c>
      <c r="N16" s="21">
        <f t="shared" ca="1" si="1"/>
        <v>0</v>
      </c>
      <c r="O16" s="21">
        <f>O5</f>
        <v>34.280825360888088</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0.17121409363543422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4390.6084893907864</v>
      </c>
      <c r="C20" s="23">
        <f t="shared" ref="C20:P20" ca="1" si="2">C16*C18</f>
        <v>0</v>
      </c>
      <c r="D20" s="23">
        <f t="shared" ca="1" si="2"/>
        <v>3987.9188158873562</v>
      </c>
      <c r="E20" s="23">
        <f t="shared" si="2"/>
        <v>10.73420208348216</v>
      </c>
      <c r="F20" s="23">
        <f t="shared" ca="1" si="2"/>
        <v>691.70261790469795</v>
      </c>
      <c r="G20" s="23">
        <f t="shared" si="2"/>
        <v>0</v>
      </c>
      <c r="H20" s="23">
        <f t="shared" si="2"/>
        <v>0</v>
      </c>
      <c r="I20" s="23">
        <f t="shared" si="2"/>
        <v>0</v>
      </c>
      <c r="J20" s="23">
        <f t="shared" si="2"/>
        <v>6.486146817087742E-3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4928.4511560000001</v>
      </c>
      <c r="C26" s="39">
        <f>IF(ISERROR(B26*3.6/1000000/'E Balans VL '!Z12*100),0,B26*3.6/1000000/'E Balans VL '!Z12*100)</f>
        <v>0.14139679987321987</v>
      </c>
      <c r="D26" s="233" t="s">
        <v>841</v>
      </c>
      <c r="F26" s="6"/>
    </row>
    <row r="27" spans="1:18" ht="30">
      <c r="A27" s="228" t="s">
        <v>52</v>
      </c>
      <c r="B27" s="33">
        <f>IF(ISERROR(TER_horeca_ele_kWh/1000),0,TER_horeca_ele_kWh/1000)</f>
        <v>1953.0933189999998</v>
      </c>
      <c r="C27" s="39">
        <f>IF(ISERROR(B27*3.6/1000000/'E Balans VL '!Z9*100),0,B27*3.6/1000000/'E Balans VL '!Z9*100)</f>
        <v>0.14308430801442698</v>
      </c>
      <c r="D27" s="233" t="s">
        <v>841</v>
      </c>
      <c r="F27" s="6"/>
    </row>
    <row r="28" spans="1:18" ht="30">
      <c r="A28" s="168" t="s">
        <v>51</v>
      </c>
      <c r="B28" s="33">
        <f>IF(ISERROR(TER_handel_ele_kWh/1000),0,TER_handel_ele_kWh/1000)</f>
        <v>2830.625082</v>
      </c>
      <c r="C28" s="39">
        <f>IF(ISERROR(B28*3.6/1000000/'E Balans VL '!Z13*100),0,B28*3.6/1000000/'E Balans VL '!Z13*100)</f>
        <v>8.7468702528309086E-2</v>
      </c>
      <c r="D28" s="233" t="s">
        <v>841</v>
      </c>
      <c r="F28" s="6"/>
    </row>
    <row r="29" spans="1:18" ht="30">
      <c r="A29" s="228" t="s">
        <v>50</v>
      </c>
      <c r="B29" s="33">
        <f>IF(ISERROR(TER_gezond_ele_kWh/1000),0,TER_gezond_ele_kWh/1000)</f>
        <v>613.117121</v>
      </c>
      <c r="C29" s="39">
        <f>IF(ISERROR(B29*3.6/1000000/'E Balans VL '!Z10*100),0,B29*3.6/1000000/'E Balans VL '!Z10*100)</f>
        <v>6.0089247887585989E-2</v>
      </c>
      <c r="D29" s="233" t="s">
        <v>841</v>
      </c>
      <c r="F29" s="6"/>
    </row>
    <row r="30" spans="1:18" ht="30">
      <c r="A30" s="228" t="s">
        <v>49</v>
      </c>
      <c r="B30" s="33">
        <f>IF(ISERROR(TER_ander_ele_kWh/1000),0,TER_ander_ele_kWh/1000)</f>
        <v>1811.561878</v>
      </c>
      <c r="C30" s="39">
        <f>IF(ISERROR(B30*3.6/1000000/'E Balans VL '!Z14*100),0,B30*3.6/1000000/'E Balans VL '!Z14*100)</f>
        <v>7.5040745266243325E-2</v>
      </c>
      <c r="D30" s="233" t="s">
        <v>841</v>
      </c>
      <c r="F30" s="6"/>
    </row>
    <row r="31" spans="1:18" ht="30">
      <c r="A31" s="228" t="s">
        <v>54</v>
      </c>
      <c r="B31" s="33">
        <f>IF(ISERROR(TER_onderwijs_ele_kWh/1000),0,TER_onderwijs_ele_kWh/1000)</f>
        <v>124.11799000000001</v>
      </c>
      <c r="C31" s="39">
        <f>IF(ISERROR(B31*3.6/1000000/'E Balans VL '!Z11*100),0,B31*3.6/1000000/'E Balans VL '!Z11*100)</f>
        <v>3.8137684814904267E-2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51549.81279299999</v>
      </c>
      <c r="C5" s="17">
        <f>IF(ISERROR('Eigen informatie GS &amp; warmtenet'!B61),0,'Eigen informatie GS &amp; warmtenet'!B61)</f>
        <v>0</v>
      </c>
      <c r="D5" s="30">
        <f>SUM(D6:D15)</f>
        <v>78233.585428949984</v>
      </c>
      <c r="E5" s="17">
        <f>SUM(E6:E15)</f>
        <v>128.33765841523342</v>
      </c>
      <c r="F5" s="17">
        <f>SUM(F6:F15)</f>
        <v>3958.0923575376073</v>
      </c>
      <c r="G5" s="18"/>
      <c r="H5" s="17"/>
      <c r="I5" s="17"/>
      <c r="J5" s="17">
        <f>SUM(J6:J15)</f>
        <v>11.736958615422179</v>
      </c>
      <c r="K5" s="17"/>
      <c r="L5" s="17"/>
      <c r="M5" s="17"/>
      <c r="N5" s="17">
        <f>SUM(N6:N15)</f>
        <v>2116.1244684532039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3323.2573220000004</v>
      </c>
      <c r="C8" s="33"/>
      <c r="D8" s="37">
        <f>IF( ISERROR(IND_metaal_Gas_kWH/1000),0,IND_metaal_Gas_kWH/1000)*0.903</f>
        <v>3616.9157315339999</v>
      </c>
      <c r="E8" s="33">
        <f>C30*'E Balans VL '!I18/100/3.6*1000000</f>
        <v>18.115593949032821</v>
      </c>
      <c r="F8" s="33">
        <f>C30*'E Balans VL '!L18/100/3.6*1000000+C30*'E Balans VL '!N18/100/3.6*1000000</f>
        <v>214.0180253761722</v>
      </c>
      <c r="G8" s="34"/>
      <c r="H8" s="33"/>
      <c r="I8" s="33"/>
      <c r="J8" s="40">
        <f>C30*'E Balans VL '!D18/100/3.6*1000000+C30*'E Balans VL '!E18/100/3.6*1000000</f>
        <v>2.7221531123555529</v>
      </c>
      <c r="K8" s="33"/>
      <c r="L8" s="33"/>
      <c r="M8" s="33"/>
      <c r="N8" s="33">
        <f>C30*'E Balans VL '!Y18/100/3.6*1000000</f>
        <v>71.796778443682115</v>
      </c>
      <c r="O8" s="33"/>
      <c r="P8" s="33"/>
      <c r="R8" s="32"/>
    </row>
    <row r="9" spans="1:18">
      <c r="A9" s="6" t="s">
        <v>32</v>
      </c>
      <c r="B9" s="37">
        <f t="shared" si="0"/>
        <v>4416.0676569999996</v>
      </c>
      <c r="C9" s="33"/>
      <c r="D9" s="37">
        <f>IF( ISERROR(IND_andere_gas_kWh/1000),0,IND_andere_gas_kWh/1000)*0.903</f>
        <v>1116.940939842</v>
      </c>
      <c r="E9" s="33">
        <f>C31*'E Balans VL '!I19/100/3.6*1000000</f>
        <v>14.25581845557172</v>
      </c>
      <c r="F9" s="33">
        <f>C31*'E Balans VL '!L19/100/3.6*1000000+C31*'E Balans VL '!N19/100/3.6*1000000</f>
        <v>2855.4640134185365</v>
      </c>
      <c r="G9" s="34"/>
      <c r="H9" s="33"/>
      <c r="I9" s="33"/>
      <c r="J9" s="40">
        <f>C31*'E Balans VL '!D19/100/3.6*1000000+C31*'E Balans VL '!E19/100/3.6*1000000</f>
        <v>0</v>
      </c>
      <c r="K9" s="33"/>
      <c r="L9" s="33"/>
      <c r="M9" s="33"/>
      <c r="N9" s="33">
        <f>C31*'E Balans VL '!Y19/100/3.6*1000000</f>
        <v>178.44819301386843</v>
      </c>
      <c r="O9" s="33"/>
      <c r="P9" s="33"/>
      <c r="R9" s="32"/>
    </row>
    <row r="10" spans="1:18">
      <c r="A10" s="6" t="s">
        <v>40</v>
      </c>
      <c r="B10" s="37">
        <f t="shared" si="0"/>
        <v>43453.155004</v>
      </c>
      <c r="C10" s="33"/>
      <c r="D10" s="37">
        <f>IF( ISERROR(IND_voed_gas_kWh/1000),0,IND_voed_gas_kWh/1000)*0.903</f>
        <v>73309.413064523993</v>
      </c>
      <c r="E10" s="33">
        <f>C32*'E Balans VL '!I20/100/3.6*1000000</f>
        <v>91.088462107745627</v>
      </c>
      <c r="F10" s="33">
        <f>C32*'E Balans VL '!L20/100/3.6*1000000+C32*'E Balans VL '!N20/100/3.6*1000000</f>
        <v>846.61762824366713</v>
      </c>
      <c r="G10" s="34"/>
      <c r="H10" s="33"/>
      <c r="I10" s="33"/>
      <c r="J10" s="40">
        <f>C32*'E Balans VL '!D20/100/3.6*1000000+C32*'E Balans VL '!E20/100/3.6*1000000</f>
        <v>0</v>
      </c>
      <c r="K10" s="33"/>
      <c r="L10" s="33"/>
      <c r="M10" s="33"/>
      <c r="N10" s="33">
        <f>C32*'E Balans VL '!Y20/100/3.6*1000000</f>
        <v>1728.4460362576419</v>
      </c>
      <c r="O10" s="33"/>
      <c r="P10" s="33"/>
      <c r="R10" s="32"/>
    </row>
    <row r="11" spans="1:18">
      <c r="A11" s="6" t="s">
        <v>39</v>
      </c>
      <c r="B11" s="37">
        <f t="shared" si="0"/>
        <v>95.297037000000003</v>
      </c>
      <c r="C11" s="33"/>
      <c r="D11" s="37">
        <f>IF( ISERROR(IND_textiel_gas_kWh/1000),0,IND_textiel_gas_kWh/1000)*0.903</f>
        <v>0</v>
      </c>
      <c r="E11" s="33">
        <f>C33*'E Balans VL '!I21/100/3.6*1000000</f>
        <v>8.1885879219928501E-2</v>
      </c>
      <c r="F11" s="33">
        <f>C33*'E Balans VL '!L21/100/3.6*1000000+C33*'E Balans VL '!N21/100/3.6*1000000</f>
        <v>1.9980012877982911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250.09275099999999</v>
      </c>
      <c r="C12" s="33"/>
      <c r="D12" s="37">
        <f>IF( ISERROR(IND_min_gas_kWh/1000),0,IND_min_gas_kWh/1000)*0.903</f>
        <v>0</v>
      </c>
      <c r="E12" s="33">
        <f>C34*'E Balans VL '!I22/100/3.6*1000000</f>
        <v>4.0927825971263445</v>
      </c>
      <c r="F12" s="33">
        <f>C34*'E Balans VL '!L22/100/3.6*1000000+C34*'E Balans VL '!N22/100/3.6*1000000</f>
        <v>38.172739044868869</v>
      </c>
      <c r="G12" s="34"/>
      <c r="H12" s="33"/>
      <c r="I12" s="33"/>
      <c r="J12" s="40">
        <f>C34*'E Balans VL '!D22/100/3.6*1000000+C34*'E Balans VL '!E22/100/3.6*1000000</f>
        <v>8.9499606524409803</v>
      </c>
      <c r="K12" s="33"/>
      <c r="L12" s="33"/>
      <c r="M12" s="33"/>
      <c r="N12" s="33">
        <f>C34*'E Balans VL '!Y22/100/3.6*1000000</f>
        <v>137.05613548240521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11.943022000000001</v>
      </c>
      <c r="C15" s="33"/>
      <c r="D15" s="37">
        <f>IF( ISERROR(IND_rest_gas_kWh/1000),0,IND_rest_gas_kWh/1000)*0.903</f>
        <v>190.31569304999999</v>
      </c>
      <c r="E15" s="33">
        <f>C37*'E Balans VL '!I15/100/3.6*1000000</f>
        <v>0.70311542653699022</v>
      </c>
      <c r="F15" s="33">
        <f>C37*'E Balans VL '!L15/100/3.6*1000000+C37*'E Balans VL '!N15/100/3.6*1000000</f>
        <v>1.8219501665643258</v>
      </c>
      <c r="G15" s="34"/>
      <c r="H15" s="33"/>
      <c r="I15" s="33"/>
      <c r="J15" s="40">
        <f>C37*'E Balans VL '!D15/100/3.6*1000000+C37*'E Balans VL '!E15/100/3.6*1000000</f>
        <v>6.4844850625644546E-2</v>
      </c>
      <c r="K15" s="33"/>
      <c r="L15" s="33"/>
      <c r="M15" s="33"/>
      <c r="N15" s="33">
        <f>C37*'E Balans VL '!Y15/100/3.6*1000000</f>
        <v>0.37732525560615809</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51549.81279299999</v>
      </c>
      <c r="C18" s="21">
        <f>C5+C16</f>
        <v>0</v>
      </c>
      <c r="D18" s="21">
        <f>MAX((D5+D16),0)</f>
        <v>78233.585428949984</v>
      </c>
      <c r="E18" s="21">
        <f>MAX((E5+E16),0)</f>
        <v>128.33765841523342</v>
      </c>
      <c r="F18" s="21">
        <f>MAX((F5+F16),0)</f>
        <v>3958.0923575376073</v>
      </c>
      <c r="G18" s="21"/>
      <c r="H18" s="21"/>
      <c r="I18" s="21"/>
      <c r="J18" s="21">
        <f>MAX((J5+J16),0)</f>
        <v>11.736958615422179</v>
      </c>
      <c r="K18" s="21"/>
      <c r="L18" s="21">
        <f>MAX((L5+L16),0)</f>
        <v>0</v>
      </c>
      <c r="M18" s="21"/>
      <c r="N18" s="21">
        <f>MAX((N5+N16),0)</f>
        <v>2116.1244684532039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0.17121409363543422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8826.0544744298059</v>
      </c>
      <c r="C22" s="23">
        <f ca="1">C18*C20</f>
        <v>0</v>
      </c>
      <c r="D22" s="23">
        <f>D18*D20</f>
        <v>15803.184256647897</v>
      </c>
      <c r="E22" s="23">
        <f>E18*E20</f>
        <v>29.132648460257986</v>
      </c>
      <c r="F22" s="23">
        <f>F18*F20</f>
        <v>1056.8106594625413</v>
      </c>
      <c r="G22" s="23"/>
      <c r="H22" s="23"/>
      <c r="I22" s="23"/>
      <c r="J22" s="23">
        <f>J18*J20</f>
        <v>4.1548833498594506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3323.2573220000004</v>
      </c>
      <c r="C30" s="39">
        <f>IF(ISERROR(B30*3.6/1000000/'E Balans VL '!Z18*100),0,B30*3.6/1000000/'E Balans VL '!Z18*100)</f>
        <v>0.20011744342413768</v>
      </c>
      <c r="D30" s="233" t="s">
        <v>841</v>
      </c>
    </row>
    <row r="31" spans="1:18" ht="30">
      <c r="A31" s="6" t="s">
        <v>32</v>
      </c>
      <c r="B31" s="37">
        <f>IF( ISERROR(IND_ander_ele_kWh/1000),0,IND_ander_ele_kWh/1000)</f>
        <v>4416.0676569999996</v>
      </c>
      <c r="C31" s="39">
        <f>IF(ISERROR(B31*3.6/1000000/'E Balans VL '!Z19*100),0,B31*3.6/1000000/'E Balans VL '!Z19*100)</f>
        <v>0.17991973865833893</v>
      </c>
      <c r="D31" s="233" t="s">
        <v>841</v>
      </c>
    </row>
    <row r="32" spans="1:18" ht="30">
      <c r="A32" s="168" t="s">
        <v>40</v>
      </c>
      <c r="B32" s="37">
        <f>IF( ISERROR(IND_voed_ele_kWh/1000),0,IND_voed_ele_kWh/1000)</f>
        <v>43453.155004</v>
      </c>
      <c r="C32" s="39">
        <f>IF(ISERROR(B32*3.6/1000000/'E Balans VL '!Z20*100),0,B32*3.6/1000000/'E Balans VL '!Z20*100)</f>
        <v>1.25640557972804</v>
      </c>
      <c r="D32" s="233" t="s">
        <v>841</v>
      </c>
    </row>
    <row r="33" spans="1:5" ht="30">
      <c r="A33" s="168" t="s">
        <v>39</v>
      </c>
      <c r="B33" s="37">
        <f>IF( ISERROR(IND_textiel_ele_kWh/1000),0,IND_textiel_ele_kWh/1000)</f>
        <v>95.297037000000003</v>
      </c>
      <c r="C33" s="39">
        <f>IF(ISERROR(B33*3.6/1000000/'E Balans VL '!Z21*100),0,B33*3.6/1000000/'E Balans VL '!Z21*100)</f>
        <v>1.5671938606684879E-2</v>
      </c>
      <c r="D33" s="233" t="s">
        <v>841</v>
      </c>
    </row>
    <row r="34" spans="1:5" ht="30">
      <c r="A34" s="168" t="s">
        <v>36</v>
      </c>
      <c r="B34" s="37">
        <f>IF( ISERROR(IND_min_ele_kWh/1000),0,IND_min_ele_kWh/1000)</f>
        <v>250.09275099999999</v>
      </c>
      <c r="C34" s="39">
        <f>IF(ISERROR(B34*3.6/1000000/'E Balans VL '!Z22*100),0,B34*3.6/1000000/'E Balans VL '!Z22*100)</f>
        <v>0.10678728075297457</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11.943022000000001</v>
      </c>
      <c r="C37" s="39">
        <f>IF(ISERROR(B37*3.6/1000000/'E Balans VL '!Z15*100),0,B37*3.6/1000000/'E Balans VL '!Z15*100)</f>
        <v>9.8061256522488359E-5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3627.3873799999997</v>
      </c>
      <c r="C5" s="17">
        <f>'Eigen informatie GS &amp; warmtenet'!B62</f>
        <v>0</v>
      </c>
      <c r="D5" s="30">
        <f>IF(ISERROR(SUM(LB_lb_gas_kWh,LB_rest_gas_kWh)/1000),0,SUM(LB_lb_gas_kWh,LB_rest_gas_kWh)/1000)*0.903</f>
        <v>73.533494223000005</v>
      </c>
      <c r="E5" s="17">
        <f>B17*'E Balans VL '!I25/3.6*1000000/100</f>
        <v>103.89451322651011</v>
      </c>
      <c r="F5" s="17">
        <f>B17*('E Balans VL '!L25/3.6*1000000+'E Balans VL '!N25/3.6*1000000)/100</f>
        <v>11482.434671641942</v>
      </c>
      <c r="G5" s="18"/>
      <c r="H5" s="17"/>
      <c r="I5" s="17"/>
      <c r="J5" s="17">
        <f>('E Balans VL '!D25+'E Balans VL '!E25)/3.6*1000000*landbouw!B17/100</f>
        <v>922.33070209356868</v>
      </c>
      <c r="K5" s="17"/>
      <c r="L5" s="17">
        <f>L6*(-1)</f>
        <v>0</v>
      </c>
      <c r="M5" s="17"/>
      <c r="N5" s="17">
        <f>N6*(-1)</f>
        <v>249.42857142857139</v>
      </c>
      <c r="O5" s="17"/>
      <c r="P5" s="17"/>
      <c r="R5" s="32"/>
    </row>
    <row r="6" spans="1:18">
      <c r="A6" s="16" t="s">
        <v>473</v>
      </c>
      <c r="B6" s="17" t="s">
        <v>210</v>
      </c>
      <c r="C6" s="17">
        <f>'lokale energieproductie'!O41+'lokale energieproductie'!O34</f>
        <v>124.71428571428569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3627.3873799999997</v>
      </c>
      <c r="C8" s="21">
        <f>C5+C6</f>
        <v>124.71428571428569</v>
      </c>
      <c r="D8" s="21">
        <f>MAX((D5+D6),0)</f>
        <v>73.533494223000005</v>
      </c>
      <c r="E8" s="21">
        <f>MAX((E5+E6),0)</f>
        <v>103.89451322651011</v>
      </c>
      <c r="F8" s="21">
        <f>MAX((F5+F6),0)</f>
        <v>11482.434671641942</v>
      </c>
      <c r="G8" s="21"/>
      <c r="H8" s="21"/>
      <c r="I8" s="21"/>
      <c r="J8" s="21">
        <f>MAX((J5+J6),0)</f>
        <v>922.33070209356868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0.17121409363543422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621.05984253131237</v>
      </c>
      <c r="C12" s="23">
        <f ca="1">C8*C10</f>
        <v>0</v>
      </c>
      <c r="D12" s="23">
        <f>D8*D10</f>
        <v>14.853765833046001</v>
      </c>
      <c r="E12" s="23">
        <f>E8*E10</f>
        <v>23.584054502417796</v>
      </c>
      <c r="F12" s="23">
        <f>F8*F10</f>
        <v>3065.8100573283987</v>
      </c>
      <c r="G12" s="23"/>
      <c r="H12" s="23"/>
      <c r="I12" s="23"/>
      <c r="J12" s="23">
        <f>J8*J10</f>
        <v>326.50506854112331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0.50231086303447969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753.48171533774246</v>
      </c>
      <c r="C26" s="243">
        <f>B26*'GWP N2O_CH4'!B5</f>
        <v>15823.116022092592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300.88733432682073</v>
      </c>
      <c r="C27" s="243">
        <f>B27*'GWP N2O_CH4'!B5</f>
        <v>6318.6340208632355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9.1544621882765682</v>
      </c>
      <c r="C28" s="243">
        <f>B28*'GWP N2O_CH4'!B4</f>
        <v>2837.8832783657363</v>
      </c>
      <c r="D28" s="50"/>
    </row>
    <row r="29" spans="1:4">
      <c r="A29" s="41" t="s">
        <v>272</v>
      </c>
      <c r="B29" s="243">
        <f>B34*'ha_N2O bodem landbouw'!B4</f>
        <v>20.104843506286304</v>
      </c>
      <c r="C29" s="243">
        <f>B29*'GWP N2O_CH4'!B4</f>
        <v>6232.5014869487541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4.5674606226610587E-3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4.8476233623997588E-4</v>
      </c>
      <c r="C5" s="434" t="s">
        <v>210</v>
      </c>
      <c r="D5" s="419">
        <f>SUM(D6:D11)</f>
        <v>9.1535540859652095E-4</v>
      </c>
      <c r="E5" s="419">
        <f>SUM(E6:E11)</f>
        <v>3.560688105057765E-4</v>
      </c>
      <c r="F5" s="432" t="s">
        <v>210</v>
      </c>
      <c r="G5" s="419">
        <f>SUM(G6:G11)</f>
        <v>0.15774684289399002</v>
      </c>
      <c r="H5" s="419">
        <f>SUM(H6:H11)</f>
        <v>4.470540318435378E-2</v>
      </c>
      <c r="I5" s="434" t="s">
        <v>210</v>
      </c>
      <c r="J5" s="434" t="s">
        <v>210</v>
      </c>
      <c r="K5" s="434" t="s">
        <v>210</v>
      </c>
      <c r="L5" s="434" t="s">
        <v>210</v>
      </c>
      <c r="M5" s="419">
        <f>SUM(M6:M11)</f>
        <v>1.2226780160871883E-2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3.0587038755412098E-4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5.0997349690428794E-4</v>
      </c>
      <c r="E6" s="886">
        <f>vkm_GW_PW*SUMIFS(TableVerdeelsleutelVkm[LPG],TableVerdeelsleutelVkm[Voertuigtype],"Lichte voertuigen")*SUMIFS(TableECFTransport[EnergieConsumptieFactor (PJ per km)],TableECFTransport[Index],CONCATENATE($A6,"_LPG_LPG"))</f>
        <v>2.0218374978852045E-4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6.0761295756254448E-2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2.5009992867330941E-2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5.2618156099123823E-3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1.305329357454359E-6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5.174407849259393E-2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3.8179640225210545E-7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2.9710574803467121E-3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1.775302020949786E-4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4.0538191169223301E-4</v>
      </c>
      <c r="E8" s="422">
        <f>vkm_NGW_PW*SUMIFS(TableVerdeelsleutelVkm[LPG],TableVerdeelsleutelVkm[Voertuigtype],"Lichte voertuigen")*SUMIFS(TableECFTransport[EnergieConsumptieFactor (PJ per km)],TableECFTransport[Index],CONCATENATE($A8,"_LPG_LPG"))</f>
        <v>1.5388506071725605E-4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4.2361492059073087E-2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1.9695008602885228E-2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3.8285437799489763E-3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5.6417233421954108E-8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2.8799765860685711E-3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1.9917735359713401E-8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1.6536329066381219E-4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134.65620451110442</v>
      </c>
      <c r="C14" s="21"/>
      <c r="D14" s="21">
        <f t="shared" ref="D14:M14" si="0">((D5)*10^9/3600)+D12</f>
        <v>254.26539127681136</v>
      </c>
      <c r="E14" s="21">
        <f t="shared" si="0"/>
        <v>98.908002918271251</v>
      </c>
      <c r="F14" s="21"/>
      <c r="G14" s="21">
        <f t="shared" si="0"/>
        <v>43818.567470552778</v>
      </c>
      <c r="H14" s="21">
        <f t="shared" si="0"/>
        <v>12418.167551209383</v>
      </c>
      <c r="I14" s="21"/>
      <c r="J14" s="21"/>
      <c r="K14" s="21"/>
      <c r="L14" s="21"/>
      <c r="M14" s="21">
        <f t="shared" si="0"/>
        <v>3396.3278224644123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0.17121409363543422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23.055040007756411</v>
      </c>
      <c r="C18" s="23"/>
      <c r="D18" s="23">
        <f t="shared" ref="D18:M18" si="1">D14*D16</f>
        <v>51.361609037915898</v>
      </c>
      <c r="E18" s="23">
        <f t="shared" si="1"/>
        <v>22.452116662447576</v>
      </c>
      <c r="F18" s="23"/>
      <c r="G18" s="23">
        <f t="shared" si="1"/>
        <v>11699.557514637592</v>
      </c>
      <c r="H18" s="23">
        <f t="shared" si="1"/>
        <v>3092.1237202511361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5.2478185861377051E-5</v>
      </c>
      <c r="C50" s="315">
        <f t="shared" ref="C50:P50" si="2">SUM(C51:C52)</f>
        <v>0</v>
      </c>
      <c r="D50" s="315">
        <f t="shared" si="2"/>
        <v>0</v>
      </c>
      <c r="E50" s="315">
        <f t="shared" si="2"/>
        <v>0</v>
      </c>
      <c r="F50" s="315">
        <f t="shared" si="2"/>
        <v>0</v>
      </c>
      <c r="G50" s="315">
        <f t="shared" si="2"/>
        <v>3.2852930875895128E-3</v>
      </c>
      <c r="H50" s="315">
        <f t="shared" si="2"/>
        <v>0</v>
      </c>
      <c r="I50" s="315">
        <f t="shared" si="2"/>
        <v>0</v>
      </c>
      <c r="J50" s="315">
        <f t="shared" si="2"/>
        <v>0</v>
      </c>
      <c r="K50" s="315">
        <f t="shared" si="2"/>
        <v>0</v>
      </c>
      <c r="L50" s="315">
        <f t="shared" si="2"/>
        <v>0</v>
      </c>
      <c r="M50" s="315">
        <f t="shared" si="2"/>
        <v>1.8863425468553511E-4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5.2478185861377051E-5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3.2852930875895128E-3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1.8863425468553511E-4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14.577273850382515</v>
      </c>
      <c r="C54" s="21">
        <f t="shared" ref="C54:P54" si="3">(C50)*10^9/3600</f>
        <v>0</v>
      </c>
      <c r="D54" s="21">
        <f t="shared" si="3"/>
        <v>0</v>
      </c>
      <c r="E54" s="21">
        <f t="shared" si="3"/>
        <v>0</v>
      </c>
      <c r="F54" s="21">
        <f t="shared" si="3"/>
        <v>0</v>
      </c>
      <c r="G54" s="21">
        <f t="shared" si="3"/>
        <v>912.58141321930907</v>
      </c>
      <c r="H54" s="21">
        <f t="shared" si="3"/>
        <v>0</v>
      </c>
      <c r="I54" s="21">
        <f t="shared" si="3"/>
        <v>0</v>
      </c>
      <c r="J54" s="21">
        <f t="shared" si="3"/>
        <v>0</v>
      </c>
      <c r="K54" s="21">
        <f t="shared" si="3"/>
        <v>0</v>
      </c>
      <c r="L54" s="21">
        <f t="shared" si="3"/>
        <v>0</v>
      </c>
      <c r="M54" s="21">
        <f t="shared" si="3"/>
        <v>52.398404079315306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0.17121409363543422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2.4958347299687587</v>
      </c>
      <c r="C58" s="23">
        <f t="shared" ref="C58:P58" ca="1" si="4">C54*C56</f>
        <v>0</v>
      </c>
      <c r="D58" s="23">
        <f t="shared" si="4"/>
        <v>0</v>
      </c>
      <c r="E58" s="23">
        <f t="shared" si="4"/>
        <v>0</v>
      </c>
      <c r="F58" s="23">
        <f t="shared" si="4"/>
        <v>0</v>
      </c>
      <c r="G58" s="23">
        <f t="shared" si="4"/>
        <v>243.65923732955554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152.10727946748594</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10258.706468833139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13470.3</v>
      </c>
      <c r="C8" s="545">
        <f>B50</f>
        <v>0</v>
      </c>
      <c r="D8" s="546"/>
      <c r="E8" s="546">
        <f>E50</f>
        <v>0</v>
      </c>
      <c r="F8" s="547"/>
      <c r="G8" s="548"/>
      <c r="H8" s="546">
        <f>I50</f>
        <v>0</v>
      </c>
      <c r="I8" s="546">
        <f>G50+F50</f>
        <v>0</v>
      </c>
      <c r="J8" s="546">
        <f>H50+D50+C50</f>
        <v>15847.411764705885</v>
      </c>
      <c r="K8" s="546"/>
      <c r="L8" s="546"/>
      <c r="M8" s="546"/>
      <c r="N8" s="549"/>
      <c r="O8" s="550">
        <f>C8*$C$12+D8*$D$12+E8*$E$12+F8*$F$12+G8*$G$12+H8*$H$12+I8*$I$12+J8*$J$12</f>
        <v>0</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23881.113748300624</v>
      </c>
      <c r="C10" s="560">
        <f t="shared" ref="C10:L10" si="0">SUM(C8:C9)</f>
        <v>0</v>
      </c>
      <c r="D10" s="560">
        <f t="shared" si="0"/>
        <v>0</v>
      </c>
      <c r="E10" s="560">
        <f t="shared" si="0"/>
        <v>0</v>
      </c>
      <c r="F10" s="560">
        <f t="shared" si="0"/>
        <v>0</v>
      </c>
      <c r="G10" s="560">
        <f t="shared" si="0"/>
        <v>0</v>
      </c>
      <c r="H10" s="560">
        <f t="shared" si="0"/>
        <v>0</v>
      </c>
      <c r="I10" s="560">
        <f t="shared" si="0"/>
        <v>0</v>
      </c>
      <c r="J10" s="560">
        <f t="shared" si="0"/>
        <v>15847.411764705885</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19243.285714285714</v>
      </c>
      <c r="C17" s="576">
        <f>B51</f>
        <v>0</v>
      </c>
      <c r="D17" s="577"/>
      <c r="E17" s="577">
        <f>E51</f>
        <v>0</v>
      </c>
      <c r="F17" s="578"/>
      <c r="G17" s="579"/>
      <c r="H17" s="576">
        <f>I51</f>
        <v>0</v>
      </c>
      <c r="I17" s="577">
        <f>G51+F51</f>
        <v>0</v>
      </c>
      <c r="J17" s="577">
        <f>H51+D51+C51</f>
        <v>22639.15966386555</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19243.285714285714</v>
      </c>
      <c r="C20" s="559">
        <f>SUM(C17:C19)</f>
        <v>0</v>
      </c>
      <c r="D20" s="559">
        <f t="shared" ref="D20:L20" si="1">SUM(D17:D19)</f>
        <v>0</v>
      </c>
      <c r="E20" s="559">
        <f t="shared" si="1"/>
        <v>0</v>
      </c>
      <c r="F20" s="559">
        <f t="shared" si="1"/>
        <v>0</v>
      </c>
      <c r="G20" s="559">
        <f t="shared" si="1"/>
        <v>0</v>
      </c>
      <c r="H20" s="559">
        <f t="shared" si="1"/>
        <v>0</v>
      </c>
      <c r="I20" s="559">
        <f t="shared" si="1"/>
        <v>0</v>
      </c>
      <c r="J20" s="559">
        <f t="shared" si="1"/>
        <v>22639.15966386555</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72003</v>
      </c>
      <c r="C28" s="787">
        <v>3950</v>
      </c>
      <c r="D28" s="637" t="s">
        <v>874</v>
      </c>
      <c r="E28" s="636" t="s">
        <v>875</v>
      </c>
      <c r="F28" s="636" t="s">
        <v>876</v>
      </c>
      <c r="G28" s="636" t="s">
        <v>877</v>
      </c>
      <c r="H28" s="636" t="s">
        <v>878</v>
      </c>
      <c r="I28" s="636" t="s">
        <v>879</v>
      </c>
      <c r="J28" s="786">
        <v>41078</v>
      </c>
      <c r="K28" s="786">
        <v>41244</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25.5">
      <c r="A29" s="589"/>
      <c r="B29" s="787">
        <v>72003</v>
      </c>
      <c r="C29" s="787">
        <v>3950</v>
      </c>
      <c r="D29" s="637" t="s">
        <v>874</v>
      </c>
      <c r="E29" s="636" t="s">
        <v>875</v>
      </c>
      <c r="F29" s="636" t="s">
        <v>881</v>
      </c>
      <c r="G29" s="636" t="s">
        <v>877</v>
      </c>
      <c r="H29" s="636" t="s">
        <v>878</v>
      </c>
      <c r="I29" s="636" t="s">
        <v>882</v>
      </c>
      <c r="J29" s="786">
        <v>41078</v>
      </c>
      <c r="K29" s="786">
        <v>41275</v>
      </c>
      <c r="L29" s="636" t="s">
        <v>880</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90" customFormat="1" ht="63.75">
      <c r="A30" s="589"/>
      <c r="B30" s="787">
        <v>72003</v>
      </c>
      <c r="C30" s="787">
        <v>3950</v>
      </c>
      <c r="D30" s="637" t="s">
        <v>883</v>
      </c>
      <c r="E30" s="636" t="s">
        <v>884</v>
      </c>
      <c r="F30" s="636" t="s">
        <v>885</v>
      </c>
      <c r="G30" s="636" t="s">
        <v>877</v>
      </c>
      <c r="H30" s="636" t="s">
        <v>878</v>
      </c>
      <c r="I30" s="636" t="s">
        <v>886</v>
      </c>
      <c r="J30" s="786">
        <v>41961</v>
      </c>
      <c r="K30" s="786">
        <v>41961</v>
      </c>
      <c r="L30" s="636" t="s">
        <v>880</v>
      </c>
      <c r="M30" s="636">
        <v>2974</v>
      </c>
      <c r="N30" s="636">
        <v>13383</v>
      </c>
      <c r="O30" s="636">
        <v>19118.571428571428</v>
      </c>
      <c r="P30" s="636">
        <v>0</v>
      </c>
      <c r="Q30" s="636">
        <v>38237.142857142862</v>
      </c>
      <c r="R30" s="636">
        <v>0</v>
      </c>
      <c r="S30" s="636">
        <v>0</v>
      </c>
      <c r="T30" s="636">
        <v>0</v>
      </c>
      <c r="U30" s="636">
        <v>0</v>
      </c>
      <c r="V30" s="636">
        <v>0</v>
      </c>
      <c r="W30" s="636">
        <v>0</v>
      </c>
      <c r="X30" s="636">
        <v>1600</v>
      </c>
      <c r="Y30" s="636" t="s">
        <v>49</v>
      </c>
      <c r="Z30" s="638" t="s">
        <v>155</v>
      </c>
    </row>
    <row r="31" spans="1:26" s="570" customFormat="1">
      <c r="A31" s="592" t="s">
        <v>275</v>
      </c>
      <c r="B31" s="593"/>
      <c r="C31" s="593"/>
      <c r="D31" s="593"/>
      <c r="E31" s="593"/>
      <c r="F31" s="593"/>
      <c r="G31" s="593"/>
      <c r="H31" s="593"/>
      <c r="I31" s="593"/>
      <c r="J31" s="593"/>
      <c r="K31" s="593"/>
      <c r="L31" s="594"/>
      <c r="M31" s="594">
        <f>SUM(M28:M30)</f>
        <v>2993.4</v>
      </c>
      <c r="N31" s="594">
        <f>SUM(N28:N30)</f>
        <v>13470.3</v>
      </c>
      <c r="O31" s="594">
        <f>SUM(O28:O30)</f>
        <v>19243.285714285714</v>
      </c>
      <c r="P31" s="594">
        <f>SUM(P28:P30)</f>
        <v>0</v>
      </c>
      <c r="Q31" s="594">
        <f>SUM(Q28:Q30)</f>
        <v>38486.571428571435</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2974</v>
      </c>
      <c r="N33" s="594">
        <f ca="1">SUMIF($Z$28:AD30,"tertiair",N28:N30)</f>
        <v>13383</v>
      </c>
      <c r="O33" s="594">
        <f ca="1">SUMIF($Z$28:AE30,"tertiair",O28:O30)</f>
        <v>19118.571428571428</v>
      </c>
      <c r="P33" s="594">
        <f ca="1">SUMIF($Z$28:AF30,"tertiair",P28:P30)</f>
        <v>0</v>
      </c>
      <c r="Q33" s="594">
        <f ca="1">SUMIF($Z$28:AG30,"tertiair",Q28:Q30)</f>
        <v>38237.142857142862</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19.399999999999999</v>
      </c>
      <c r="N34" s="599">
        <f>SUMIF($Z$28:$Z$30,"landbouw",N28:N30)</f>
        <v>87.299999999999983</v>
      </c>
      <c r="O34" s="599">
        <f>SUMIF($Z$28:$Z$30,"landbouw",O28:O30)</f>
        <v>124.71428571428569</v>
      </c>
      <c r="P34" s="599">
        <f>SUMIF($Z$28:$Z$30,"landbouw",P28:P30)</f>
        <v>0</v>
      </c>
      <c r="Q34" s="599">
        <f>SUMIF($Z$28:$Z$30,"landbouw",Q28:Q30)</f>
        <v>249.42857142857139</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0.41176470588235292</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0</v>
      </c>
      <c r="C50" s="628">
        <f t="shared" si="2"/>
        <v>15847.411764705885</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0</v>
      </c>
      <c r="C51" s="631">
        <f t="shared" si="3"/>
        <v>22639.15966386555</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2021-06-29T14:21:57Z</dcterms:modified>
</cp:coreProperties>
</file>