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<sst xmlns="http://schemas.openxmlformats.org/spreadsheetml/2006/main" count="2438" uniqueCount="881">
  <si>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</si>
  <si>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</si>
  <si>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</si>
  <si>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</si>
  <si>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</si>
  <si>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</si>
  <si>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</si>
  <si>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</si>
  <si>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</si>
  <si>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</si>
  <si>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</si>
  <si>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</si>
  <si>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</si>
  <si>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</si>
  <si>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</si>
  <si>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</si>
  <si>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</si>
  <si>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</si>
  <si>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</si>
  <si>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</si>
  <si>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</si>
  <si>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</si>
  <si>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</si>
  <si>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</si>
  <si>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</si>
  <si>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</si>
  <si>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</si>
  <si>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</si>
  <si>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</si>
  <si>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</si>
  <si>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</si>
  <si>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</si>
  <si>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</si>
  <si>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</si>
  <si>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</si>
  <si>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</si>
  <si>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</si>
  <si>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</si>
  <si>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</si>
  <si>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</si>
  <si>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</si>
  <si>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</si>
  <si>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</si>
  <si>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</si>
  <si>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</si>
  <si>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</si>
  <si>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</si>
  <si>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</si>
  <si>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</si>
  <si>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</si>
  <si>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</si>
  <si>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</si>
  <si>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</si>
  <si>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</si>
  <si>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</si>
  <si>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</si>
  <si>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</si>
  <si>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</si>
  <si>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</si>
  <si>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</si>
  <si>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</si>
  <si>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</si>
  <si>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</si>
  <si>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</si>
  <si>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</si>
  <si>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</si>
  <si>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</si>
  <si>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</si>
  <si>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</si>
  <si>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</si>
  <si>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</si>
  <si>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</si>
  <si>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</si>
  <si>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</si>
  <si>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</si>
  <si>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</si>
  <si>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</si>
  <si>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</si>
  <si>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</si>
  <si>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</si>
  <si>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</si>
  <si>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</si>
  <si>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</si>
  <si>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</si>
  <si>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</si>
  <si>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</si>
  <si>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</si>
  <si>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</si>
  <si>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</si>
  <si>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</si>
  <si>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</si>
  <si>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</si>
  <si>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</si>
  <si>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</si>
  <si>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</si>
  <si>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</si>
  <si>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</si>
  <si>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</si>
  <si>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</si>
  <si>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</si>
  <si>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</si>
  <si>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</si>
  <si>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</si>
  <si>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</si>
  <si>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</si>
  <si>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</si>
  <si>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</si>
  <si>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</si>
  <si>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</si>
  <si>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</si>
  <si>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</si>
  <si>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</si>
  <si>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</si>
  <si>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</si>
  <si>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</si>
  <si>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</si>
  <si>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</si>
  <si>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</si>
  <si>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</si>
  <si>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</si>
  <si>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</si>
  <si>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</si>
  <si>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</si>
  <si>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</si>
  <si>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</si>
  <si>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</si>
  <si>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</si>
  <si>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</si>
  <si>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</si>
  <si>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</si>
  <si>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</si>
  <si>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</si>
  <si>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</si>
  <si>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</si>
  <si>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</si>
  <si>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</si>
  <si>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</si>
  <si>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</si>
  <si>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</si>
  <si>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</si>
  <si>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</si>
  <si>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</si>
  <si>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</si>
  <si>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</si>
  <si>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</si>
  <si>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</si>
  <si>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</si>
  <si>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</si>
  <si>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</si>
  <si>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</si>
  <si>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</si>
  <si>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</si>
  <si>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</si>
  <si>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</si>
  <si>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</si>
  <si>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</si>
  <si>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</si>
  <si>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</si>
  <si>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</si>
  <si>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</si>
  <si>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</si>
  <si>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</si>
  <si>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</si>
  <si>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</si>
  <si>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</si>
  <si>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</si>
  <si>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</si>
  <si>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</si>
  <si>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</si>
  <si>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</si>
  <si>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</si>
  <si>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</si>
  <si>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</si>
  <si>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</si>
  <si>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</si>
  <si>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</si>
  <si>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</si>
  <si>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</si>
  <si>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</si>
  <si>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</si>
  <si>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</si>
  <si>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</si>
  <si>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</si>
  <si>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</si>
  <si>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</si>
  <si>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</si>
  <si>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</si>
  <si>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</si>
  <si>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</si>
  <si>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</si>
  <si>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</si>
  <si>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</si>
  <si>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</si>
  <si>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</si>
  <si>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</si>
  <si>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</si>
  <si>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</si>
  <si>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</si>
  <si>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</si>
  <si>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</si>
  <si>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</si>
  <si>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</si>
  <si>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</si>
  <si>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</si>
  <si>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</si>
  <si>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</si>
  <si>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</si>
  <si>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</si>
  <si>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</si>
  <si>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</si>
  <si>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</si>
  <si>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</si>
  <si>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</si>
  <si>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</si>
  <si>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</si>
  <si>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</si>
  <si>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</si>
  <si>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</si>
  <si>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</si>
  <si>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</si>
  <si>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</si>
  <si>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</si>
  <si>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</si>
  <si>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</si>
  <si>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</si>
  <si>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</si>
  <si>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</si>
  <si>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</si>
  <si>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</si>
  <si>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</si>
  <si>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</si>
  <si>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</si>
  <si>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</si>
  <si>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</si>
  <si>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</si>
  <si>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</si>
  <si>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</si>
  <si>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</si>
  <si>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</si>
  <si>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</si>
  <si>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</si>
  <si>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</si>
  <si>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</si>
  <si>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</si>
  <si>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</si>
  <si>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</si>
  <si>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</si>
  <si>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</si>
  <si>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</si>
  <si>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</si>
  <si>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</si>
  <si>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</si>
  <si>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</si>
  <si>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</si>
  <si>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</si>
  <si>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</si>
  <si>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</si>
  <si>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</si>
  <si>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</si>
  <si>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</si>
  <si>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</si>
  <si>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</si>
  <si>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</si>
  <si>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</si>
  <si>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</si>
  <si>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</si>
  <si>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</si>
  <si>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</si>
  <si>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</si>
  <si>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</si>
  <si>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</si>
  <si>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</si>
  <si>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</si>
  <si>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</si>
  <si>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</si>
  <si>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</si>
  <si>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</si>
  <si>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</si>
  <si>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</si>
  <si>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</si>
  <si>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</si>
  <si>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</si>
  <si>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</si>
  <si>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</si>
  <si>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</si>
  <si>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</si>
  <si>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</si>
  <si>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</si>
  <si>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</si>
  <si>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</si>
  <si>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</si>
  <si>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</si>
  <si>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</si>
  <si>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</si>
  <si>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</si>
  <si>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</si>
  <si>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</si>
  <si>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</si>
  <si>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</si>
  <si>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</si>
  <si>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</si>
  <si>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</si>
  <si>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</si>
  <si>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</si>
  <si>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</si>
  <si>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</si>
  <si>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</si>
  <si>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</si>
  <si>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</si>
  <si>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</si>
  <si>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</si>
  <si>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</si>
  <si>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</si>
  <si>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</si>
  <si>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</si>
  <si>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</si>
  <si>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</si>
  <si>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</si>
  <si>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</si>
  <si>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</si>
  <si>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</si>
  <si>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</si>
  <si>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</si>
  <si>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</si>
  <si>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</si>
  <si>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</si>
  <si>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</si>
  <si>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</si>
  <si>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</si>
  <si>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</si>
  <si>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</si>
  <si>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</si>
  <si>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</si>
  <si>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</si>
  <si>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</si>
  <si>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</si>
  <si>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</si>
  <si>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</si>
  <si>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</si>
  <si>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</si>
  <si>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</si>
  <si>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</si>
  <si>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</si>
  <si>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</si>
  <si>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</si>
  <si>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</si>
  <si>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</si>
  <si>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</si>
  <si>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</si>
  <si>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</si>
  <si>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</si>
  <si>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</si>
  <si>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</si>
  <si>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</si>
  <si>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</si>
  <si>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</si>
  <si>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</si>
  <si>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</si>
  <si>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</si>
  <si>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</si>
  <si>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</si>
  <si>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</si>
  <si>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</si>
  <si>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</si>
  <si>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</si>
  <si>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</si>
  <si>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</si>
  <si>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</si>
  <si>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</si>
  <si>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</si>
  <si>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</si>
  <si>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</si>
  <si>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</si>
  <si>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</si>
  <si>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</si>
  <si>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</si>
  <si>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</si>
  <si>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</si>
  <si>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</si>
  <si>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</si>
  <si>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</si>
  <si>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</si>
  <si>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</si>
  <si>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</si>
  <si>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</si>
  <si>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</si>
  <si>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</si>
  <si>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</si>
  <si>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</si>
  <si>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</si>
  <si>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</si>
  <si>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</si>
  <si>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</si>
  <si>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</si>
  <si>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</si>
  <si>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</si>
  <si>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</si>
  <si>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</si>
  <si>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</si>
  <si>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</si>
  <si>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</si>
  <si>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</si>
  <si>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</si>
  <si>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</si>
  <si>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</si>
  <si>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</si>
  <si>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</si>
  <si>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</si>
  <si>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</si>
  <si>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</si>
  <si>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</si>
  <si>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</si>
  <si>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</si>
  <si>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</si>
  <si>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</si>
  <si>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</si>
  <si>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</si>
  <si>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</si>
  <si>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</si>
  <si>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</si>
  <si>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</si>
  <si>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</si>
  <si>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</si>
  <si>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</si>
  <si>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</si>
  <si>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</si>
  <si>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</si>
  <si>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</si>
  <si>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</si>
  <si>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</si>
  <si>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</si>
  <si>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</si>
  <si>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</si>
  <si>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</si>
  <si>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</si>
  <si>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</si>
  <si>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</si>
  <si>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</si>
  <si>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</si>
  <si>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</si>
  <si>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</si>
  <si>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</si>
  <si>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</si>
  <si>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</si>
  <si>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</si>
  <si>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</si>
  <si>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</si>
  <si>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</si>
  <si>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</si>
  <si>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</si>
  <si>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</si>
  <si>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</si>
  <si>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</si>
  <si>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</si>
  <si>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</si>
  <si>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</si>
  <si>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</si>
  <si>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</si>
  <si>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</si>
  <si>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</si>
  <si>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</si>
  <si>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</si>
  <si>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</si>
  <si>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</si>
  <si>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</si>
  <si>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</si>
  <si>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</si>
  <si>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</si>
  <si>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</si>
  <si>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</si>
  <si>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</si>
  <si>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</si>
  <si>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</si>
  <si>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</si>
  <si>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</si>
  <si>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</si>
  <si>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</si>
  <si>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</si>
  <si>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</si>
  <si>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</si>
  <si>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</si>
  <si>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</si>
  <si>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</si>
  <si>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</si>
  <si>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</si>
  <si>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</si>
  <si>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</si>
  <si>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</si>
  <si>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</si>
  <si>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</si>
  <si>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</si>
  <si>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</si>
  <si>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</si>
  <si>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</si>
  <si>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</si>
  <si>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</si>
  <si>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</si>
  <si>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</si>
  <si>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</si>
  <si>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</si>
  <si>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</si>
  <si>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</si>
  <si>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</si>
  <si>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</si>
  <si>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</si>
  <si>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</si>
  <si>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</si>
  <si>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</si>
  <si>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</si>
  <si>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</si>
  <si>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</si>
  <si>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</si>
  <si>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</si>
  <si>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</si>
  <si>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</si>
  <si>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</si>
  <si>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</si>
  <si>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</si>
  <si>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</si>
  <si>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</si>
  <si>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</si>
  <si>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</si>
  <si>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</si>
  <si>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</si>
  <si>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</si>
  <si>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</si>
  <si>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</si>
  <si>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</si>
  <si>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</si>
  <si>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</si>
  <si>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</si>
  <si>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</si>
  <si>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</si>
  <si>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</si>
  <si>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</si>
  <si>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</si>
  <si>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</si>
  <si>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</si>
  <si>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</si>
  <si>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</si>
  <si>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</si>
  <si>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</si>
  <si>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</si>
  <si>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</si>
  <si>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</si>
  <si>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</si>
  <si>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</si>
  <si>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</si>
  <si>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</si>
  <si>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</si>
  <si>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</si>
  <si>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</si>
  <si>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</si>
  <si>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</si>
  <si>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</si>
  <si>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</si>
  <si>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</si>
  <si>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</si>
  <si>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</si>
  <si>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</si>
  <si>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</si>
  <si>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</si>
  <si>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</si>
  <si>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</si>
  <si>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</si>
  <si>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</si>
  <si>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</si>
  <si>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</si>
  <si>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</si>
  <si>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</si>
  <si>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</si>
  <si>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</si>
  <si>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</si>
  <si>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</si>
  <si>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</si>
  <si>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</si>
  <si>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</si>
  <si>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</si>
  <si>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</si>
  <si>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</si>
  <si>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</si>
  <si>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</si>
  <si>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</si>
  <si>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</si>
  <si>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</si>
  <si>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</si>
  <si>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</si>
  <si>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</si>
  <si>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</si>
  <si>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</si>
  <si>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</si>
  <si>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</si>
  <si>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</si>
  <si>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</si>
  <si>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</si>
  <si>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</si>
  <si>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</si>
  <si>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</si>
  <si>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</si>
  <si>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</si>
  <si>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</si>
  <si>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</si>
  <si>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</si>
  <si>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</si>
  <si>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</si>
  <si>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</si>
  <si>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</si>
  <si>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</si>
  <si>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</si>
  <si>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</si>
  <si>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</si>
  <si>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</si>
  <si>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</si>
  <si>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</si>
  <si>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</si>
  <si>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</si>
  <si>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</si>
  <si>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</si>
  <si>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</si>
  <si>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</si>
  <si>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</si>
  <si>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</si>
  <si>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</si>
  <si>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</si>
  <si>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</si>
  <si>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</si>
  <si>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</si>
  <si>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</si>
  <si>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</si>
  <si>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</si>
  <si>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</si>
  <si>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</si>
  <si>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</si>
  <si>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</si>
  <si>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</si>
  <si>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</si>
  <si>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</si>
  <si>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</si>
  <si>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</si>
  <si>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</si>
  <si>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</si>
  <si>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</si>
  <si>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</si>
  <si>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</si>
  <si>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</si>
  <si>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</si>
  <si>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</si>
  <si>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</si>
  <si>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</si>
  <si>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</si>
  <si>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</si>
  <si>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</si>
  <si>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</si>
  <si>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</si>
  <si>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</si>
  <si>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</si>
  <si>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</si>
  <si>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</si>
  <si>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</si>
  <si>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</si>
  <si>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</si>
  <si>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</si>
  <si>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</si>
  <si>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</si>
  <si>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</si>
  <si>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</si>
  <si>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</si>
  <si>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</si>
  <si>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</si>
  <si>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</si>
  <si>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</si>
  <si>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</si>
  <si>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</si>
  <si>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</si>
  <si>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</si>
  <si>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</si>
  <si>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</si>
  <si>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</si>
  <si>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</si>
  <si>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</si>
  <si>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</si>
  <si>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</si>
  <si>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</si>
  <si>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</si>
  <si>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</si>
  <si>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</si>
  <si>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</si>
  <si>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</si>
  <si>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</si>
  <si>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</si>
  <si>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</si>
  <si>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</si>
  <si>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</si>
  <si>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</si>
  <si>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</si>
  <si>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</si>
  <si>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</si>
  <si>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</si>
  <si>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</si>
  <si>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</si>
  <si>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</si>
  <si>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</si>
  <si>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</si>
  <si>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</si>
  <si>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</si>
  <si>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</si>
  <si>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</si>
  <si>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</si>
  <si>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</si>
  <si>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</si>
  <si>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</si>
  <si>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</si>
  <si>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</si>
  <si>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</si>
  <si>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</si>
  <si>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</si>
  <si>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</si>
  <si>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</si>
  <si>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</si>
  <si>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</si>
  <si>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</si>
  <si>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</si>
  <si>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</si>
  <si>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</si>
  <si>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</si>
  <si>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</si>
  <si>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</si>
  <si>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</si>
  <si>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</si>
  <si>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</si>
  <si>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</si>
  <si>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</si>
  <si>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</si>
  <si>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</si>
  <si>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</si>
  <si>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</si>
  <si>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</si>
  <si>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</si>
  <si>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</si>
  <si>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</si>
  <si>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</si>
  <si>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</si>
  <si>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</si>
  <si>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</si>
  <si>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</si>
  <si>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</si>
  <si>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</si>
  <si>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</si>
  <si>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</si>
  <si>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</si>
  <si>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</si>
  <si>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</si>
  <si>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</si>
  <si>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</si>
  <si>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</si>
  <si>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</si>
  <si>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</si>
  <si>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</si>
  <si>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</si>
  <si>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</si>
  <si>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</si>
  <si>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</si>
  <si>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</si>
  <si>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</si>
  <si>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</si>
  <si>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</si>
  <si>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</si>
  <si>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</si>
  <si>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</si>
  <si>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</si>
  <si>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</si>
  <si>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</si>
  <si>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</si>
  <si>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</si>
  <si>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</si>
  <si>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</si>
  <si>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</si>
  <si>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</si>
  <si>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</si>
  <si>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</si>
  <si>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</si>
  <si>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</si>
  <si>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</si>
  <si>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</si>
  <si>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</si>
  <si>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</si>
  <si>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</si>
  <si>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</si>
  <si>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</si>
  <si>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</si>
  <si>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</si>
  <si>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</si>
  <si>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</si>
  <si>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</si>
  <si>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</si>
  <si>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</si>
  <si>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</si>
  <si>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</si>
  <si>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</si>
  <si>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</si>
  <si>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</si>
  <si>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</si>
  <si>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</si>
  <si>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</si>
  <si>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</si>
  <si>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</si>
  <si>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</si>
  <si>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</si>
  <si>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</si>
  <si>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</si>
  <si>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</si>
  <si>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</si>
  <si>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</si>
  <si>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</si>
  <si>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</si>
  <si>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</si>
  <si>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</si>
  <si>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</si>
  <si>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</si>
  <si>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</si>
  <si>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</si>
  <si>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</si>
  <si>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</si>
  <si>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</si>
  <si>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</si>
  <si>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</si>
  <si>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</si>
  <si>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</si>
  <si>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</si>
  <si>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</si>
  <si>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</si>
  <si>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</si>
  <si>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</si>
  <si>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</si>
  <si>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</si>
  <si>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</si>
  <si>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</si>
  <si>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</si>
  <si>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</si>
  <si>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</si>
  <si>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</si>
  <si>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</si>
  <si>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</si>
  <si>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</si>
  <si>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</si>
  <si>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</si>
  <si>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</si>
  <si>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</si>
  <si>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</si>
  <si>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</si>
  <si>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</si>
  <si>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</si>
  <si>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</si>
  <si>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</si>
  <si>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</si>
  <si>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</si>
  <si>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</si>
  <si>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</si>
  <si>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</si>
  <si>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</si>
  <si>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</si>
  <si>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</si>
  <si>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</si>
  <si>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</si>
  <si>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</si>
  <si>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</si>
  <si>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</si>
  <si>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</si>
  <si>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</si>
  <si>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</si>
  <si>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71069</t>
  </si>
  <si>
    <t>HAM</t>
  </si>
  <si>
    <t>referentietaak LNE (2017); Jaarverslag De Lijn</t>
  </si>
  <si>
    <t>waterkracht</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</si>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</sst>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86831.399142283903</c:v>
                </c:pt>
                <c:pt idx="1">
                  <c:v>44797.199018606138</c:v>
                </c:pt>
                <c:pt idx="2">
                  <c:v>601.73773100000005</c:v>
                </c:pt>
                <c:pt idx="3">
                  <c:v>772.17028180452303</c:v>
                </c:pt>
                <c:pt idx="4">
                  <c:v>59314.696310192499</c:v>
                </c:pt>
                <c:pt idx="5">
                  <c:v>145064.51799219433</c:v>
                </c:pt>
                <c:pt idx="6">
                  <c:v>1180.3667085391389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86831.399142283903</c:v>
                </c:pt>
                <c:pt idx="1">
                  <c:v>44797.199018606138</c:v>
                </c:pt>
                <c:pt idx="2">
                  <c:v>601.73773100000005</c:v>
                </c:pt>
                <c:pt idx="3">
                  <c:v>772.17028180452303</c:v>
                </c:pt>
                <c:pt idx="4">
                  <c:v>59314.696310192499</c:v>
                </c:pt>
                <c:pt idx="5">
                  <c:v>145064.51799219433</c:v>
                </c:pt>
                <c:pt idx="6">
                  <c:v>1180.3667085391389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14837.205364008036</c:v>
                </c:pt>
                <c:pt idx="1">
                  <c:v>4177.8551022387164</c:v>
                </c:pt>
                <c:pt idx="2">
                  <c:v>17.972052754153033</c:v>
                </c:pt>
                <c:pt idx="3">
                  <c:v>168.41515445305882</c:v>
                </c:pt>
                <c:pt idx="4">
                  <c:v>3839.0263007425938</c:v>
                </c:pt>
                <c:pt idx="5">
                  <c:v>35958.883888583034</c:v>
                </c:pt>
                <c:pt idx="6">
                  <c:v>294.13411489267111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14837.205364008036</c:v>
                </c:pt>
                <c:pt idx="1">
                  <c:v>4177.8551022387164</c:v>
                </c:pt>
                <c:pt idx="2">
                  <c:v>17.972052754153033</c:v>
                </c:pt>
                <c:pt idx="3">
                  <c:v>168.41515445305882</c:v>
                </c:pt>
                <c:pt idx="4">
                  <c:v>3839.0263007425938</c:v>
                </c:pt>
                <c:pt idx="5">
                  <c:v>35958.883888583034</c:v>
                </c:pt>
                <c:pt idx="6">
                  <c:v>294.13411489267111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71069</v>
      </c>
      <c r="B6" s="386"/>
      <c r="C6" s="387"/>
    </row>
    <row r="7" spans="1:7" s="384" customFormat="1" ht="15.75" customHeight="1">
      <c r="A7" s="388" t="str">
        <f>txtMunicipality</f>
        <v>HAM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29508.603480999995</v>
      </c>
      <c r="D10" s="683">
        <f ca="1">tertiair!C16</f>
        <v>0</v>
      </c>
      <c r="E10" s="683">
        <f ca="1">tertiair!D16</f>
        <v>11763.579846017999</v>
      </c>
      <c r="F10" s="683">
        <f>tertiair!E16</f>
        <v>63.862490107351704</v>
      </c>
      <c r="G10" s="683">
        <f ca="1">tertiair!F16</f>
        <v>3459.7465349527761</v>
      </c>
      <c r="H10" s="683">
        <f>tertiair!G16</f>
        <v>0</v>
      </c>
      <c r="I10" s="683">
        <f>tertiair!H16</f>
        <v>0</v>
      </c>
      <c r="J10" s="683">
        <f>tertiair!I16</f>
        <v>0</v>
      </c>
      <c r="K10" s="683">
        <f>tertiair!J16</f>
        <v>1.0769887631068767E-2</v>
      </c>
      <c r="L10" s="683">
        <f>tertiair!K16</f>
        <v>0</v>
      </c>
      <c r="M10" s="683">
        <f ca="1">tertiair!L16</f>
        <v>0</v>
      </c>
      <c r="N10" s="683">
        <f>tertiair!M16</f>
        <v>0</v>
      </c>
      <c r="O10" s="683">
        <f ca="1">tertiair!N16</f>
        <v>440.61895195506122</v>
      </c>
      <c r="P10" s="683">
        <f>tertiair!O16</f>
        <v>4.8972607658411542</v>
      </c>
      <c r="Q10" s="684">
        <f>tertiair!P16</f>
        <v>157.61741491948504</v>
      </c>
      <c r="R10" s="686">
        <f ca="1">SUM(C10:Q10)</f>
        <v>45398.936749606139</v>
      </c>
      <c r="S10" s="67"/>
    </row>
    <row r="11" spans="1:19" s="445" customFormat="1">
      <c r="A11" s="804" t="s">
        <v>220</v>
      </c>
      <c r="B11" s="809"/>
      <c r="C11" s="683">
        <f>huishoudens!B8</f>
        <v>18121.205176552328</v>
      </c>
      <c r="D11" s="683">
        <f>huishoudens!C8</f>
        <v>0</v>
      </c>
      <c r="E11" s="683">
        <f>huishoudens!D8</f>
        <v>32327.436103746088</v>
      </c>
      <c r="F11" s="683">
        <f>huishoudens!E8</f>
        <v>1268.8740141273904</v>
      </c>
      <c r="G11" s="683">
        <f>huishoudens!F8</f>
        <v>27796.722171838021</v>
      </c>
      <c r="H11" s="683">
        <f>huishoudens!G8</f>
        <v>0</v>
      </c>
      <c r="I11" s="683">
        <f>huishoudens!H8</f>
        <v>0</v>
      </c>
      <c r="J11" s="683">
        <f>huishoudens!I8</f>
        <v>0</v>
      </c>
      <c r="K11" s="683">
        <f>huishoudens!J8</f>
        <v>158.41655988927579</v>
      </c>
      <c r="L11" s="683">
        <f>huishoudens!K8</f>
        <v>0</v>
      </c>
      <c r="M11" s="683">
        <f>huishoudens!L8</f>
        <v>0</v>
      </c>
      <c r="N11" s="683">
        <f>huishoudens!M8</f>
        <v>0</v>
      </c>
      <c r="O11" s="683">
        <f>huishoudens!N8</f>
        <v>6108.8479951769295</v>
      </c>
      <c r="P11" s="683">
        <f>huishoudens!O8</f>
        <v>396.79164387740633</v>
      </c>
      <c r="Q11" s="684">
        <f>huishoudens!P8</f>
        <v>653.1054770764714</v>
      </c>
      <c r="R11" s="686">
        <f>SUM(C11:Q11)</f>
        <v>86831.399142283903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47707.125900999999</v>
      </c>
      <c r="D13" s="683">
        <f>industrie!C18</f>
        <v>0</v>
      </c>
      <c r="E13" s="683">
        <f>industrie!D18</f>
        <v>10619.182383894002</v>
      </c>
      <c r="F13" s="683">
        <f>industrie!E18</f>
        <v>40.883316106758066</v>
      </c>
      <c r="G13" s="683">
        <f>industrie!F18</f>
        <v>869.08781359011687</v>
      </c>
      <c r="H13" s="683">
        <f>industrie!G18</f>
        <v>0</v>
      </c>
      <c r="I13" s="683">
        <f>industrie!H18</f>
        <v>0</v>
      </c>
      <c r="J13" s="683">
        <f>industrie!I18</f>
        <v>0</v>
      </c>
      <c r="K13" s="683">
        <f>industrie!J18</f>
        <v>78.416895601622201</v>
      </c>
      <c r="L13" s="683">
        <f>industrie!K18</f>
        <v>0</v>
      </c>
      <c r="M13" s="683">
        <f>industrie!L18</f>
        <v>0</v>
      </c>
      <c r="N13" s="683">
        <f>industrie!M18</f>
        <v>0</v>
      </c>
      <c r="O13" s="683">
        <f>industrie!N18</f>
        <v>0</v>
      </c>
      <c r="P13" s="683">
        <f>industrie!O18</f>
        <v>0</v>
      </c>
      <c r="Q13" s="684">
        <f>industrie!P18</f>
        <v>0</v>
      </c>
      <c r="R13" s="686">
        <f>SUM(C13:Q13)</f>
        <v>59314.696310192499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95336.934558552312</v>
      </c>
      <c r="D16" s="719">
        <f t="shared" ref="D16:R16" ca="1" si="0">SUM(D9:D15)</f>
        <v>0</v>
      </c>
      <c r="E16" s="719">
        <f t="shared" ca="1" si="0"/>
        <v>54710.198333658089</v>
      </c>
      <c r="F16" s="719">
        <f t="shared" si="0"/>
        <v>1373.6198203415001</v>
      </c>
      <c r="G16" s="719">
        <f t="shared" ca="1" si="0"/>
        <v>32125.556520380916</v>
      </c>
      <c r="H16" s="719">
        <f t="shared" si="0"/>
        <v>0</v>
      </c>
      <c r="I16" s="719">
        <f t="shared" si="0"/>
        <v>0</v>
      </c>
      <c r="J16" s="719">
        <f t="shared" si="0"/>
        <v>0</v>
      </c>
      <c r="K16" s="719">
        <f t="shared" si="0"/>
        <v>236.84422537852905</v>
      </c>
      <c r="L16" s="719">
        <f t="shared" si="0"/>
        <v>0</v>
      </c>
      <c r="M16" s="719">
        <f t="shared" ca="1" si="0"/>
        <v>0</v>
      </c>
      <c r="N16" s="719">
        <f t="shared" si="0"/>
        <v>0</v>
      </c>
      <c r="O16" s="719">
        <f t="shared" ca="1" si="0"/>
        <v>6549.4669471319903</v>
      </c>
      <c r="P16" s="719">
        <f t="shared" si="0"/>
        <v>401.6889046432475</v>
      </c>
      <c r="Q16" s="719">
        <f t="shared" si="0"/>
        <v>810.72289199595639</v>
      </c>
      <c r="R16" s="719">
        <f t="shared" ca="1" si="0"/>
        <v>191545.03220208254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17.565621146253608</v>
      </c>
      <c r="D19" s="683">
        <f>transport!C54</f>
        <v>0</v>
      </c>
      <c r="E19" s="683">
        <f>transport!D54</f>
        <v>0</v>
      </c>
      <c r="F19" s="683">
        <f>transport!E54</f>
        <v>0</v>
      </c>
      <c r="G19" s="683">
        <f>transport!F54</f>
        <v>0</v>
      </c>
      <c r="H19" s="683">
        <f>transport!G54</f>
        <v>1099.6609883474516</v>
      </c>
      <c r="I19" s="683">
        <f>transport!H54</f>
        <v>0</v>
      </c>
      <c r="J19" s="683">
        <f>transport!I54</f>
        <v>0</v>
      </c>
      <c r="K19" s="683">
        <f>transport!J54</f>
        <v>0</v>
      </c>
      <c r="L19" s="683">
        <f>transport!K54</f>
        <v>0</v>
      </c>
      <c r="M19" s="683">
        <f>transport!L54</f>
        <v>0</v>
      </c>
      <c r="N19" s="683">
        <f>transport!M54</f>
        <v>63.140099045433672</v>
      </c>
      <c r="O19" s="683">
        <f>transport!N54</f>
        <v>0</v>
      </c>
      <c r="P19" s="683">
        <f>transport!O54</f>
        <v>0</v>
      </c>
      <c r="Q19" s="684">
        <f>transport!P54</f>
        <v>0</v>
      </c>
      <c r="R19" s="686">
        <f>SUM(C19:Q19)</f>
        <v>1180.3667085391389</v>
      </c>
      <c r="S19" s="67"/>
    </row>
    <row r="20" spans="1:19" s="445" customFormat="1">
      <c r="A20" s="804" t="s">
        <v>302</v>
      </c>
      <c r="B20" s="809"/>
      <c r="C20" s="683">
        <f>transport!B14</f>
        <v>320.31245763591244</v>
      </c>
      <c r="D20" s="683">
        <f>transport!C14</f>
        <v>0</v>
      </c>
      <c r="E20" s="683">
        <f>transport!D14</f>
        <v>529.74932769977102</v>
      </c>
      <c r="F20" s="683">
        <f>transport!E14</f>
        <v>227.04340493258479</v>
      </c>
      <c r="G20" s="683">
        <f>transport!F14</f>
        <v>0</v>
      </c>
      <c r="H20" s="683">
        <f>transport!G14</f>
        <v>109370.99273280671</v>
      </c>
      <c r="I20" s="683">
        <f>transport!H14</f>
        <v>26460.698253887738</v>
      </c>
      <c r="J20" s="683">
        <f>transport!I14</f>
        <v>0</v>
      </c>
      <c r="K20" s="683">
        <f>transport!J14</f>
        <v>0</v>
      </c>
      <c r="L20" s="683">
        <f>transport!K14</f>
        <v>0</v>
      </c>
      <c r="M20" s="683">
        <f>transport!L14</f>
        <v>0</v>
      </c>
      <c r="N20" s="683">
        <f>transport!M14</f>
        <v>8155.7218152316118</v>
      </c>
      <c r="O20" s="683">
        <f>transport!N14</f>
        <v>0</v>
      </c>
      <c r="P20" s="683">
        <f>transport!O14</f>
        <v>0</v>
      </c>
      <c r="Q20" s="684">
        <f>transport!P14</f>
        <v>0</v>
      </c>
      <c r="R20" s="686">
        <f>SUM(C20:Q20)</f>
        <v>145064.51799219433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337.87807878216603</v>
      </c>
      <c r="D22" s="807">
        <f t="shared" ref="D22:R22" si="1">SUM(D18:D21)</f>
        <v>0</v>
      </c>
      <c r="E22" s="807">
        <f t="shared" si="1"/>
        <v>529.74932769977102</v>
      </c>
      <c r="F22" s="807">
        <f t="shared" si="1"/>
        <v>227.04340493258479</v>
      </c>
      <c r="G22" s="807">
        <f t="shared" si="1"/>
        <v>0</v>
      </c>
      <c r="H22" s="807">
        <f t="shared" si="1"/>
        <v>110470.65372115416</v>
      </c>
      <c r="I22" s="807">
        <f t="shared" si="1"/>
        <v>26460.698253887738</v>
      </c>
      <c r="J22" s="807">
        <f t="shared" si="1"/>
        <v>0</v>
      </c>
      <c r="K22" s="807">
        <f t="shared" si="1"/>
        <v>0</v>
      </c>
      <c r="L22" s="807">
        <f t="shared" si="1"/>
        <v>0</v>
      </c>
      <c r="M22" s="807">
        <f t="shared" si="1"/>
        <v>0</v>
      </c>
      <c r="N22" s="807">
        <f t="shared" si="1"/>
        <v>8218.8619142770458</v>
      </c>
      <c r="O22" s="807">
        <f t="shared" si="1"/>
        <v>0</v>
      </c>
      <c r="P22" s="807">
        <f t="shared" si="1"/>
        <v>0</v>
      </c>
      <c r="Q22" s="807">
        <f t="shared" si="1"/>
        <v>0</v>
      </c>
      <c r="R22" s="807">
        <f t="shared" si="1"/>
        <v>146244.88470073347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170.39405499999998</v>
      </c>
      <c r="D24" s="683">
        <f>+landbouw!C8</f>
        <v>0</v>
      </c>
      <c r="E24" s="683">
        <f>+landbouw!D8</f>
        <v>14.190436407</v>
      </c>
      <c r="F24" s="683">
        <f>+landbouw!E8</f>
        <v>4.8803740947337664</v>
      </c>
      <c r="G24" s="683">
        <f>+landbouw!F8</f>
        <v>539.37955889719842</v>
      </c>
      <c r="H24" s="683">
        <f>+landbouw!G8</f>
        <v>0</v>
      </c>
      <c r="I24" s="683">
        <f>+landbouw!H8</f>
        <v>0</v>
      </c>
      <c r="J24" s="683">
        <f>+landbouw!I8</f>
        <v>0</v>
      </c>
      <c r="K24" s="683">
        <f>+landbouw!J8</f>
        <v>43.325857405590952</v>
      </c>
      <c r="L24" s="683">
        <f>+landbouw!K8</f>
        <v>0</v>
      </c>
      <c r="M24" s="683">
        <f>+landbouw!L8</f>
        <v>0</v>
      </c>
      <c r="N24" s="683">
        <f>+landbouw!M8</f>
        <v>0</v>
      </c>
      <c r="O24" s="683">
        <f>+landbouw!N8</f>
        <v>0</v>
      </c>
      <c r="P24" s="683">
        <f>+landbouw!O8</f>
        <v>0</v>
      </c>
      <c r="Q24" s="684">
        <f>+landbouw!P8</f>
        <v>0</v>
      </c>
      <c r="R24" s="686">
        <f>SUM(C24:Q24)</f>
        <v>772.17028180452303</v>
      </c>
      <c r="S24" s="67"/>
    </row>
    <row r="25" spans="1:19" s="445" customFormat="1" ht="15" thickBot="1">
      <c r="A25" s="826" t="s">
        <v>696</v>
      </c>
      <c r="B25" s="939"/>
      <c r="C25" s="940">
        <f>IF(Onbekend_ele_kWh="---",0,Onbekend_ele_kWh)/1000+IF(REST_rest_ele_kWh="---",0,REST_rest_ele_kWh)/1000</f>
        <v>122.398478</v>
      </c>
      <c r="D25" s="940"/>
      <c r="E25" s="940">
        <f>IF(onbekend_gas_kWh="---",0,onbekend_gas_kWh)/1000+IF(REST_rest_gas_kWh="---",0,REST_rest_gas_kWh)/1000</f>
        <v>272.34011099999998</v>
      </c>
      <c r="F25" s="940"/>
      <c r="G25" s="940"/>
      <c r="H25" s="940"/>
      <c r="I25" s="940"/>
      <c r="J25" s="940"/>
      <c r="K25" s="940"/>
      <c r="L25" s="940"/>
      <c r="M25" s="940"/>
      <c r="N25" s="940"/>
      <c r="O25" s="940"/>
      <c r="P25" s="940"/>
      <c r="Q25" s="941"/>
      <c r="R25" s="686">
        <f>SUM(C25:Q25)</f>
        <v>394.73858899999999</v>
      </c>
      <c r="S25" s="67"/>
    </row>
    <row r="26" spans="1:19" s="445" customFormat="1" ht="15.75" thickBot="1">
      <c r="A26" s="691" t="s">
        <v>697</v>
      </c>
      <c r="B26" s="812"/>
      <c r="C26" s="807">
        <f>SUM(C24:C25)</f>
        <v>292.79253299999999</v>
      </c>
      <c r="D26" s="807">
        <f t="shared" ref="D26:R26" si="2">SUM(D24:D25)</f>
        <v>0</v>
      </c>
      <c r="E26" s="807">
        <f t="shared" si="2"/>
        <v>286.53054740699997</v>
      </c>
      <c r="F26" s="807">
        <f t="shared" si="2"/>
        <v>4.8803740947337664</v>
      </c>
      <c r="G26" s="807">
        <f t="shared" si="2"/>
        <v>539.37955889719842</v>
      </c>
      <c r="H26" s="807">
        <f t="shared" si="2"/>
        <v>0</v>
      </c>
      <c r="I26" s="807">
        <f t="shared" si="2"/>
        <v>0</v>
      </c>
      <c r="J26" s="807">
        <f t="shared" si="2"/>
        <v>0</v>
      </c>
      <c r="K26" s="807">
        <f t="shared" si="2"/>
        <v>43.325857405590952</v>
      </c>
      <c r="L26" s="807">
        <f t="shared" si="2"/>
        <v>0</v>
      </c>
      <c r="M26" s="807">
        <f t="shared" si="2"/>
        <v>0</v>
      </c>
      <c r="N26" s="807">
        <f t="shared" si="2"/>
        <v>0</v>
      </c>
      <c r="O26" s="807">
        <f t="shared" si="2"/>
        <v>0</v>
      </c>
      <c r="P26" s="807">
        <f t="shared" si="2"/>
        <v>0</v>
      </c>
      <c r="Q26" s="807">
        <f t="shared" si="2"/>
        <v>0</v>
      </c>
      <c r="R26" s="807">
        <f t="shared" si="2"/>
        <v>1166.9088708045231</v>
      </c>
      <c r="S26" s="67"/>
    </row>
    <row r="27" spans="1:19" s="445" customFormat="1" ht="17.25" thickTop="1" thickBot="1">
      <c r="A27" s="692" t="s">
        <v>115</v>
      </c>
      <c r="B27" s="799"/>
      <c r="C27" s="693">
        <f ca="1">C22+C16+C26</f>
        <v>95967.605170334471</v>
      </c>
      <c r="D27" s="693">
        <f t="shared" ref="D27:R27" ca="1" si="3">D22+D16+D26</f>
        <v>0</v>
      </c>
      <c r="E27" s="693">
        <f t="shared" ca="1" si="3"/>
        <v>55526.478208764856</v>
      </c>
      <c r="F27" s="693">
        <f t="shared" si="3"/>
        <v>1605.5435993688186</v>
      </c>
      <c r="G27" s="693">
        <f t="shared" ca="1" si="3"/>
        <v>32664.936079278115</v>
      </c>
      <c r="H27" s="693">
        <f t="shared" si="3"/>
        <v>110470.65372115416</v>
      </c>
      <c r="I27" s="693">
        <f t="shared" si="3"/>
        <v>26460.698253887738</v>
      </c>
      <c r="J27" s="693">
        <f t="shared" si="3"/>
        <v>0</v>
      </c>
      <c r="K27" s="693">
        <f t="shared" si="3"/>
        <v>280.17008278411998</v>
      </c>
      <c r="L27" s="693">
        <f t="shared" si="3"/>
        <v>0</v>
      </c>
      <c r="M27" s="693">
        <f t="shared" ca="1" si="3"/>
        <v>0</v>
      </c>
      <c r="N27" s="693">
        <f t="shared" si="3"/>
        <v>8218.8619142770458</v>
      </c>
      <c r="O27" s="693">
        <f t="shared" ca="1" si="3"/>
        <v>6549.4669471319903</v>
      </c>
      <c r="P27" s="693">
        <f t="shared" si="3"/>
        <v>401.6889046432475</v>
      </c>
      <c r="Q27" s="693">
        <f t="shared" si="3"/>
        <v>810.72289199595639</v>
      </c>
      <c r="R27" s="693">
        <f t="shared" ca="1" si="3"/>
        <v>338956.82577362057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881.33110347025206</v>
      </c>
      <c r="D40" s="683">
        <f ca="1">tertiair!C20</f>
        <v>0</v>
      </c>
      <c r="E40" s="683">
        <f ca="1">tertiair!D20</f>
        <v>2376.2431288956359</v>
      </c>
      <c r="F40" s="683">
        <f>tertiair!E20</f>
        <v>14.496785254368838</v>
      </c>
      <c r="G40" s="683">
        <f ca="1">tertiair!F20</f>
        <v>923.75232483239131</v>
      </c>
      <c r="H40" s="683">
        <f>tertiair!G20</f>
        <v>0</v>
      </c>
      <c r="I40" s="683">
        <f>tertiair!H20</f>
        <v>0</v>
      </c>
      <c r="J40" s="683">
        <f>tertiair!I20</f>
        <v>0</v>
      </c>
      <c r="K40" s="683">
        <f>tertiair!J20</f>
        <v>3.8125402213983433E-3</v>
      </c>
      <c r="L40" s="683">
        <f>tertiair!K20</f>
        <v>0</v>
      </c>
      <c r="M40" s="683">
        <f ca="1">tertiair!L20</f>
        <v>0</v>
      </c>
      <c r="N40" s="683">
        <f>tertiair!M20</f>
        <v>0</v>
      </c>
      <c r="O40" s="683">
        <f ca="1">tertiair!N20</f>
        <v>0</v>
      </c>
      <c r="P40" s="683">
        <f>tertiair!O20</f>
        <v>0</v>
      </c>
      <c r="Q40" s="766">
        <f>tertiair!P20</f>
        <v>0</v>
      </c>
      <c r="R40" s="845">
        <f t="shared" ca="1" si="4"/>
        <v>4195.8271549928695</v>
      </c>
    </row>
    <row r="41" spans="1:18">
      <c r="A41" s="817" t="s">
        <v>220</v>
      </c>
      <c r="B41" s="824"/>
      <c r="C41" s="683">
        <f ca="1">huishoudens!B12</f>
        <v>541.22458776285282</v>
      </c>
      <c r="D41" s="683">
        <f ca="1">huishoudens!C12</f>
        <v>0</v>
      </c>
      <c r="E41" s="683">
        <f>huishoudens!D12</f>
        <v>6530.1420929567103</v>
      </c>
      <c r="F41" s="683">
        <f>huishoudens!E12</f>
        <v>288.03440120691761</v>
      </c>
      <c r="G41" s="683">
        <f>huishoudens!F12</f>
        <v>7421.724819880752</v>
      </c>
      <c r="H41" s="683">
        <f>huishoudens!G12</f>
        <v>0</v>
      </c>
      <c r="I41" s="683">
        <f>huishoudens!H12</f>
        <v>0</v>
      </c>
      <c r="J41" s="683">
        <f>huishoudens!I12</f>
        <v>0</v>
      </c>
      <c r="K41" s="683">
        <f>huishoudens!J12</f>
        <v>56.079462200803626</v>
      </c>
      <c r="L41" s="683">
        <f>huishoudens!K12</f>
        <v>0</v>
      </c>
      <c r="M41" s="683">
        <f>huishoudens!L12</f>
        <v>0</v>
      </c>
      <c r="N41" s="683">
        <f>huishoudens!M12</f>
        <v>0</v>
      </c>
      <c r="O41" s="683">
        <f>huishoudens!N12</f>
        <v>0</v>
      </c>
      <c r="P41" s="683">
        <f>huishoudens!O12</f>
        <v>0</v>
      </c>
      <c r="Q41" s="766">
        <f>huishoudens!P12</f>
        <v>0</v>
      </c>
      <c r="R41" s="845">
        <f t="shared" ca="1" si="4"/>
        <v>14837.205364008036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1424.8649191682355</v>
      </c>
      <c r="D43" s="683">
        <f ca="1">industrie!C22</f>
        <v>0</v>
      </c>
      <c r="E43" s="683">
        <f>industrie!D22</f>
        <v>2145.0748415465887</v>
      </c>
      <c r="F43" s="683">
        <f>industrie!E22</f>
        <v>9.2805127562340815</v>
      </c>
      <c r="G43" s="683">
        <f>industrie!F22</f>
        <v>232.04644622856122</v>
      </c>
      <c r="H43" s="683">
        <f>industrie!G22</f>
        <v>0</v>
      </c>
      <c r="I43" s="683">
        <f>industrie!H22</f>
        <v>0</v>
      </c>
      <c r="J43" s="683">
        <f>industrie!I22</f>
        <v>0</v>
      </c>
      <c r="K43" s="683">
        <f>industrie!J22</f>
        <v>27.759581042974258</v>
      </c>
      <c r="L43" s="683">
        <f>industrie!K22</f>
        <v>0</v>
      </c>
      <c r="M43" s="683">
        <f>industrie!L22</f>
        <v>0</v>
      </c>
      <c r="N43" s="683">
        <f>industrie!M22</f>
        <v>0</v>
      </c>
      <c r="O43" s="683">
        <f>industrie!N22</f>
        <v>0</v>
      </c>
      <c r="P43" s="683">
        <f>industrie!O22</f>
        <v>0</v>
      </c>
      <c r="Q43" s="766">
        <f>industrie!P22</f>
        <v>0</v>
      </c>
      <c r="R43" s="844">
        <f t="shared" ca="1" si="4"/>
        <v>3839.0263007425938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2847.4206104013401</v>
      </c>
      <c r="D46" s="719">
        <f t="shared" ref="D46:Q46" ca="1" si="5">SUM(D39:D45)</f>
        <v>0</v>
      </c>
      <c r="E46" s="719">
        <f t="shared" ca="1" si="5"/>
        <v>11051.460063398936</v>
      </c>
      <c r="F46" s="719">
        <f t="shared" si="5"/>
        <v>311.81169921752053</v>
      </c>
      <c r="G46" s="719">
        <f t="shared" ca="1" si="5"/>
        <v>8577.5235909417042</v>
      </c>
      <c r="H46" s="719">
        <f t="shared" si="5"/>
        <v>0</v>
      </c>
      <c r="I46" s="719">
        <f t="shared" si="5"/>
        <v>0</v>
      </c>
      <c r="J46" s="719">
        <f t="shared" si="5"/>
        <v>0</v>
      </c>
      <c r="K46" s="719">
        <f t="shared" si="5"/>
        <v>83.842855783999283</v>
      </c>
      <c r="L46" s="719">
        <f t="shared" si="5"/>
        <v>0</v>
      </c>
      <c r="M46" s="719">
        <f t="shared" ca="1" si="5"/>
        <v>0</v>
      </c>
      <c r="N46" s="719">
        <f t="shared" si="5"/>
        <v>0</v>
      </c>
      <c r="O46" s="719">
        <f t="shared" ca="1" si="5"/>
        <v>0</v>
      </c>
      <c r="P46" s="719">
        <f t="shared" si="5"/>
        <v>0</v>
      </c>
      <c r="Q46" s="719">
        <f t="shared" si="5"/>
        <v>0</v>
      </c>
      <c r="R46" s="719">
        <f ca="1">SUM(R39:R45)</f>
        <v>22872.058819743499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0.52463100390149187</v>
      </c>
      <c r="D49" s="683">
        <f ca="1">transport!C58</f>
        <v>0</v>
      </c>
      <c r="E49" s="683">
        <f>transport!D58</f>
        <v>0</v>
      </c>
      <c r="F49" s="683">
        <f>transport!E58</f>
        <v>0</v>
      </c>
      <c r="G49" s="683">
        <f>transport!F58</f>
        <v>0</v>
      </c>
      <c r="H49" s="683">
        <f>transport!G58</f>
        <v>293.6094838887696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294.13411489267111</v>
      </c>
    </row>
    <row r="50" spans="1:18">
      <c r="A50" s="820" t="s">
        <v>302</v>
      </c>
      <c r="B50" s="830"/>
      <c r="C50" s="689">
        <f ca="1">transport!B18</f>
        <v>9.5667465905424933</v>
      </c>
      <c r="D50" s="689">
        <f>transport!C18</f>
        <v>0</v>
      </c>
      <c r="E50" s="689">
        <f>transport!D18</f>
        <v>107.00936419535375</v>
      </c>
      <c r="F50" s="689">
        <f>transport!E18</f>
        <v>51.538852919696751</v>
      </c>
      <c r="G50" s="689">
        <f>transport!F18</f>
        <v>0</v>
      </c>
      <c r="H50" s="689">
        <f>transport!G18</f>
        <v>29202.055059659393</v>
      </c>
      <c r="I50" s="689">
        <f>transport!H18</f>
        <v>6588.7138652180465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35958.883888583034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10.091377594443985</v>
      </c>
      <c r="D52" s="719">
        <f t="shared" ref="D52:Q52" ca="1" si="6">SUM(D48:D51)</f>
        <v>0</v>
      </c>
      <c r="E52" s="719">
        <f t="shared" si="6"/>
        <v>107.00936419535375</v>
      </c>
      <c r="F52" s="719">
        <f t="shared" si="6"/>
        <v>51.538852919696751</v>
      </c>
      <c r="G52" s="719">
        <f t="shared" si="6"/>
        <v>0</v>
      </c>
      <c r="H52" s="719">
        <f t="shared" si="6"/>
        <v>29495.664543548162</v>
      </c>
      <c r="I52" s="719">
        <f t="shared" si="6"/>
        <v>6588.7138652180465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36253.018003475707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5.0891456322090809</v>
      </c>
      <c r="D54" s="689">
        <f ca="1">+landbouw!C12</f>
        <v>0</v>
      </c>
      <c r="E54" s="689">
        <f>+landbouw!D12</f>
        <v>2.866468154214</v>
      </c>
      <c r="F54" s="689">
        <f>+landbouw!E12</f>
        <v>1.107844919504565</v>
      </c>
      <c r="G54" s="689">
        <f>+landbouw!F12</f>
        <v>144.01434222555199</v>
      </c>
      <c r="H54" s="689">
        <f>+landbouw!G12</f>
        <v>0</v>
      </c>
      <c r="I54" s="689">
        <f>+landbouw!H12</f>
        <v>0</v>
      </c>
      <c r="J54" s="689">
        <f>+landbouw!I12</f>
        <v>0</v>
      </c>
      <c r="K54" s="689">
        <f>+landbouw!J12</f>
        <v>15.337353521579196</v>
      </c>
      <c r="L54" s="689">
        <f>+landbouw!K12</f>
        <v>0</v>
      </c>
      <c r="M54" s="689">
        <f>+landbouw!L12</f>
        <v>0</v>
      </c>
      <c r="N54" s="689">
        <f>+landbouw!M12</f>
        <v>0</v>
      </c>
      <c r="O54" s="689">
        <f>+landbouw!N12</f>
        <v>0</v>
      </c>
      <c r="P54" s="689">
        <f>+landbouw!O12</f>
        <v>0</v>
      </c>
      <c r="Q54" s="690">
        <f>+landbouw!P12</f>
        <v>0</v>
      </c>
      <c r="R54" s="718">
        <f ca="1">SUM(C54:Q54)</f>
        <v>168.41515445305882</v>
      </c>
    </row>
    <row r="55" spans="1:18" ht="15" thickBot="1">
      <c r="A55" s="820" t="s">
        <v>696</v>
      </c>
      <c r="B55" s="830"/>
      <c r="C55" s="689">
        <f ca="1">C25*'EF ele_warmte'!B12</f>
        <v>3.6556655671040827</v>
      </c>
      <c r="D55" s="689"/>
      <c r="E55" s="689">
        <f>E25*EF_CO2_aardgas</f>
        <v>55.012702421999997</v>
      </c>
      <c r="F55" s="689"/>
      <c r="G55" s="689"/>
      <c r="H55" s="689"/>
      <c r="I55" s="689"/>
      <c r="J55" s="689"/>
      <c r="K55" s="689"/>
      <c r="L55" s="689"/>
      <c r="M55" s="689"/>
      <c r="N55" s="689"/>
      <c r="O55" s="689"/>
      <c r="P55" s="689"/>
      <c r="Q55" s="690"/>
      <c r="R55" s="718">
        <f ca="1">SUM(C55:Q55)</f>
        <v>58.668367989104077</v>
      </c>
    </row>
    <row r="56" spans="1:18" ht="15.75" thickBot="1">
      <c r="A56" s="818" t="s">
        <v>697</v>
      </c>
      <c r="B56" s="831"/>
      <c r="C56" s="719">
        <f ca="1">SUM(C54:C55)</f>
        <v>8.7448111993131636</v>
      </c>
      <c r="D56" s="719">
        <f t="shared" ref="D56:Q56" ca="1" si="7">SUM(D54:D55)</f>
        <v>0</v>
      </c>
      <c r="E56" s="719">
        <f t="shared" si="7"/>
        <v>57.879170576213994</v>
      </c>
      <c r="F56" s="719">
        <f t="shared" si="7"/>
        <v>1.107844919504565</v>
      </c>
      <c r="G56" s="719">
        <f t="shared" si="7"/>
        <v>144.01434222555199</v>
      </c>
      <c r="H56" s="719">
        <f t="shared" si="7"/>
        <v>0</v>
      </c>
      <c r="I56" s="719">
        <f t="shared" si="7"/>
        <v>0</v>
      </c>
      <c r="J56" s="719">
        <f t="shared" si="7"/>
        <v>0</v>
      </c>
      <c r="K56" s="719">
        <f t="shared" si="7"/>
        <v>15.337353521579196</v>
      </c>
      <c r="L56" s="719">
        <f t="shared" si="7"/>
        <v>0</v>
      </c>
      <c r="M56" s="719">
        <f t="shared" si="7"/>
        <v>0</v>
      </c>
      <c r="N56" s="719">
        <f t="shared" si="7"/>
        <v>0</v>
      </c>
      <c r="O56" s="719">
        <f t="shared" si="7"/>
        <v>0</v>
      </c>
      <c r="P56" s="719">
        <f t="shared" si="7"/>
        <v>0</v>
      </c>
      <c r="Q56" s="720">
        <f t="shared" si="7"/>
        <v>0</v>
      </c>
      <c r="R56" s="721">
        <f ca="1">SUM(R54:R55)</f>
        <v>227.08352244216289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2866.2567991950973</v>
      </c>
      <c r="D61" s="727">
        <f t="shared" ref="D61:Q61" ca="1" si="8">D46+D52+D56</f>
        <v>0</v>
      </c>
      <c r="E61" s="727">
        <f t="shared" ca="1" si="8"/>
        <v>11216.348598170503</v>
      </c>
      <c r="F61" s="727">
        <f t="shared" si="8"/>
        <v>364.45839705672182</v>
      </c>
      <c r="G61" s="727">
        <f t="shared" ca="1" si="8"/>
        <v>8721.5379331672557</v>
      </c>
      <c r="H61" s="727">
        <f t="shared" si="8"/>
        <v>29495.664543548162</v>
      </c>
      <c r="I61" s="727">
        <f t="shared" si="8"/>
        <v>6588.7138652180465</v>
      </c>
      <c r="J61" s="727">
        <f t="shared" si="8"/>
        <v>0</v>
      </c>
      <c r="K61" s="727">
        <f t="shared" si="8"/>
        <v>99.180209305578472</v>
      </c>
      <c r="L61" s="727">
        <f t="shared" si="8"/>
        <v>0</v>
      </c>
      <c r="M61" s="727">
        <f t="shared" ca="1" si="8"/>
        <v>0</v>
      </c>
      <c r="N61" s="727">
        <f t="shared" si="8"/>
        <v>0</v>
      </c>
      <c r="O61" s="727">
        <f t="shared" ca="1" si="8"/>
        <v>0</v>
      </c>
      <c r="P61" s="727">
        <f t="shared" si="8"/>
        <v>0</v>
      </c>
      <c r="Q61" s="727">
        <f t="shared" si="8"/>
        <v>0</v>
      </c>
      <c r="R61" s="727">
        <f ca="1">R46+R52+R56</f>
        <v>59352.160345661367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2.9866920135265762E-2</v>
      </c>
      <c r="D63" s="773">
        <f t="shared" ca="1" si="9"/>
        <v>0</v>
      </c>
      <c r="E63" s="965">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30049.723594331528</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1026.7241364055301</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7731.6696604340705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44190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110475</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82998.117391171138</v>
      </c>
      <c r="C78" s="745">
        <f>SUM(C72:C77)</f>
        <v>0</v>
      </c>
      <c r="D78" s="746">
        <f t="shared" ref="D78:H78" si="10">SUM(D76:D77)</f>
        <v>0</v>
      </c>
      <c r="E78" s="746">
        <f t="shared" si="10"/>
        <v>0</v>
      </c>
      <c r="F78" s="746">
        <f t="shared" si="10"/>
        <v>0</v>
      </c>
      <c r="G78" s="746">
        <f t="shared" si="10"/>
        <v>0</v>
      </c>
      <c r="H78" s="746">
        <f t="shared" si="10"/>
        <v>0</v>
      </c>
      <c r="I78" s="746">
        <f>SUM(I76:I77)</f>
        <v>0</v>
      </c>
      <c r="J78" s="746">
        <f>SUM(J76:J77)</f>
        <v>110475</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18121.205176552328</v>
      </c>
      <c r="C4" s="449">
        <f>huishoudens!C8</f>
        <v>0</v>
      </c>
      <c r="D4" s="449">
        <f>huishoudens!D8</f>
        <v>32327.436103746088</v>
      </c>
      <c r="E4" s="449">
        <f>huishoudens!E8</f>
        <v>1268.8740141273904</v>
      </c>
      <c r="F4" s="449">
        <f>huishoudens!F8</f>
        <v>27796.722171838021</v>
      </c>
      <c r="G4" s="449">
        <f>huishoudens!G8</f>
        <v>0</v>
      </c>
      <c r="H4" s="449">
        <f>huishoudens!H8</f>
        <v>0</v>
      </c>
      <c r="I4" s="449">
        <f>huishoudens!I8</f>
        <v>0</v>
      </c>
      <c r="J4" s="449">
        <f>huishoudens!J8</f>
        <v>158.41655988927579</v>
      </c>
      <c r="K4" s="449">
        <f>huishoudens!K8</f>
        <v>0</v>
      </c>
      <c r="L4" s="449">
        <f>huishoudens!L8</f>
        <v>0</v>
      </c>
      <c r="M4" s="449">
        <f>huishoudens!M8</f>
        <v>0</v>
      </c>
      <c r="N4" s="449">
        <f>huishoudens!N8</f>
        <v>6108.8479951769295</v>
      </c>
      <c r="O4" s="449">
        <f>huishoudens!O8</f>
        <v>396.79164387740633</v>
      </c>
      <c r="P4" s="450">
        <f>huishoudens!P8</f>
        <v>653.1054770764714</v>
      </c>
      <c r="Q4" s="451">
        <f>SUM(B4:P4)</f>
        <v>86831.399142283903</v>
      </c>
    </row>
    <row r="5" spans="1:17">
      <c r="A5" s="448" t="s">
        <v>155</v>
      </c>
      <c r="B5" s="449">
        <f ca="1">tertiair!B16</f>
        <v>28906.865749999994</v>
      </c>
      <c r="C5" s="449">
        <f ca="1">tertiair!C16</f>
        <v>0</v>
      </c>
      <c r="D5" s="449">
        <f ca="1">tertiair!D16</f>
        <v>11763.579846017999</v>
      </c>
      <c r="E5" s="449">
        <f>tertiair!E16</f>
        <v>63.862490107351704</v>
      </c>
      <c r="F5" s="449">
        <f ca="1">tertiair!F16</f>
        <v>3459.7465349527761</v>
      </c>
      <c r="G5" s="449">
        <f>tertiair!G16</f>
        <v>0</v>
      </c>
      <c r="H5" s="449">
        <f>tertiair!H16</f>
        <v>0</v>
      </c>
      <c r="I5" s="449">
        <f>tertiair!I16</f>
        <v>0</v>
      </c>
      <c r="J5" s="449">
        <f>tertiair!J16</f>
        <v>1.0769887631068767E-2</v>
      </c>
      <c r="K5" s="449">
        <f>tertiair!K16</f>
        <v>0</v>
      </c>
      <c r="L5" s="449">
        <f ca="1">tertiair!L16</f>
        <v>0</v>
      </c>
      <c r="M5" s="449">
        <f>tertiair!M16</f>
        <v>0</v>
      </c>
      <c r="N5" s="449">
        <f ca="1">tertiair!N16</f>
        <v>440.61895195506122</v>
      </c>
      <c r="O5" s="449">
        <f>tertiair!O16</f>
        <v>4.8972607658411542</v>
      </c>
      <c r="P5" s="450">
        <f>tertiair!P16</f>
        <v>157.61741491948504</v>
      </c>
      <c r="Q5" s="448">
        <f t="shared" ref="Q5:Q14" ca="1" si="0">SUM(B5:P5)</f>
        <v>44797.199018606138</v>
      </c>
    </row>
    <row r="6" spans="1:17">
      <c r="A6" s="448" t="s">
        <v>193</v>
      </c>
      <c r="B6" s="449">
        <f>'openbare verlichting'!B8</f>
        <v>601.73773100000005</v>
      </c>
      <c r="C6" s="449"/>
      <c r="D6" s="449"/>
      <c r="E6" s="449"/>
      <c r="F6" s="449"/>
      <c r="G6" s="449"/>
      <c r="H6" s="449"/>
      <c r="I6" s="449"/>
      <c r="J6" s="449"/>
      <c r="K6" s="449"/>
      <c r="L6" s="449"/>
      <c r="M6" s="449"/>
      <c r="N6" s="449"/>
      <c r="O6" s="449"/>
      <c r="P6" s="450"/>
      <c r="Q6" s="448">
        <f t="shared" si="0"/>
        <v>601.73773100000005</v>
      </c>
    </row>
    <row r="7" spans="1:17">
      <c r="A7" s="448" t="s">
        <v>111</v>
      </c>
      <c r="B7" s="449">
        <f>landbouw!B8</f>
        <v>170.39405499999998</v>
      </c>
      <c r="C7" s="449">
        <f>landbouw!C8</f>
        <v>0</v>
      </c>
      <c r="D7" s="449">
        <f>landbouw!D8</f>
        <v>14.190436407</v>
      </c>
      <c r="E7" s="449">
        <f>landbouw!E8</f>
        <v>4.8803740947337664</v>
      </c>
      <c r="F7" s="449">
        <f>landbouw!F8</f>
        <v>539.37955889719842</v>
      </c>
      <c r="G7" s="449">
        <f>landbouw!G8</f>
        <v>0</v>
      </c>
      <c r="H7" s="449">
        <f>landbouw!H8</f>
        <v>0</v>
      </c>
      <c r="I7" s="449">
        <f>landbouw!I8</f>
        <v>0</v>
      </c>
      <c r="J7" s="449">
        <f>landbouw!J8</f>
        <v>43.325857405590952</v>
      </c>
      <c r="K7" s="449">
        <f>landbouw!K8</f>
        <v>0</v>
      </c>
      <c r="L7" s="449">
        <f>landbouw!L8</f>
        <v>0</v>
      </c>
      <c r="M7" s="449">
        <f>landbouw!M8</f>
        <v>0</v>
      </c>
      <c r="N7" s="449">
        <f>landbouw!N8</f>
        <v>0</v>
      </c>
      <c r="O7" s="449">
        <f>landbouw!O8</f>
        <v>0</v>
      </c>
      <c r="P7" s="450">
        <f>landbouw!P8</f>
        <v>0</v>
      </c>
      <c r="Q7" s="448">
        <f t="shared" si="0"/>
        <v>772.17028180452303</v>
      </c>
    </row>
    <row r="8" spans="1:17">
      <c r="A8" s="448" t="s">
        <v>617</v>
      </c>
      <c r="B8" s="449">
        <f>industrie!B18</f>
        <v>47707.125900999999</v>
      </c>
      <c r="C8" s="449">
        <f>industrie!C18</f>
        <v>0</v>
      </c>
      <c r="D8" s="449">
        <f>industrie!D18</f>
        <v>10619.182383894002</v>
      </c>
      <c r="E8" s="449">
        <f>industrie!E18</f>
        <v>40.883316106758066</v>
      </c>
      <c r="F8" s="449">
        <f>industrie!F18</f>
        <v>869.08781359011687</v>
      </c>
      <c r="G8" s="449">
        <f>industrie!G18</f>
        <v>0</v>
      </c>
      <c r="H8" s="449">
        <f>industrie!H18</f>
        <v>0</v>
      </c>
      <c r="I8" s="449">
        <f>industrie!I18</f>
        <v>0</v>
      </c>
      <c r="J8" s="449">
        <f>industrie!J18</f>
        <v>78.416895601622201</v>
      </c>
      <c r="K8" s="449">
        <f>industrie!K18</f>
        <v>0</v>
      </c>
      <c r="L8" s="449">
        <f>industrie!L18</f>
        <v>0</v>
      </c>
      <c r="M8" s="449">
        <f>industrie!M18</f>
        <v>0</v>
      </c>
      <c r="N8" s="449">
        <f>industrie!N18</f>
        <v>0</v>
      </c>
      <c r="O8" s="449">
        <f>industrie!O18</f>
        <v>0</v>
      </c>
      <c r="P8" s="450">
        <f>industrie!P18</f>
        <v>0</v>
      </c>
      <c r="Q8" s="448">
        <f t="shared" si="0"/>
        <v>59314.696310192499</v>
      </c>
    </row>
    <row r="9" spans="1:17" s="454" customFormat="1">
      <c r="A9" s="452" t="s">
        <v>543</v>
      </c>
      <c r="B9" s="453">
        <f>transport!B14</f>
        <v>320.31245763591244</v>
      </c>
      <c r="C9" s="453">
        <f>transport!C14</f>
        <v>0</v>
      </c>
      <c r="D9" s="453">
        <f>transport!D14</f>
        <v>529.74932769977102</v>
      </c>
      <c r="E9" s="453">
        <f>transport!E14</f>
        <v>227.04340493258479</v>
      </c>
      <c r="F9" s="453">
        <f>transport!F14</f>
        <v>0</v>
      </c>
      <c r="G9" s="453">
        <f>transport!G14</f>
        <v>109370.99273280671</v>
      </c>
      <c r="H9" s="453">
        <f>transport!H14</f>
        <v>26460.698253887738</v>
      </c>
      <c r="I9" s="453">
        <f>transport!I14</f>
        <v>0</v>
      </c>
      <c r="J9" s="453">
        <f>transport!J14</f>
        <v>0</v>
      </c>
      <c r="K9" s="453">
        <f>transport!K14</f>
        <v>0</v>
      </c>
      <c r="L9" s="453">
        <f>transport!L14</f>
        <v>0</v>
      </c>
      <c r="M9" s="453">
        <f>transport!M14</f>
        <v>8155.7218152316118</v>
      </c>
      <c r="N9" s="453">
        <f>transport!N14</f>
        <v>0</v>
      </c>
      <c r="O9" s="453">
        <f>transport!O14</f>
        <v>0</v>
      </c>
      <c r="P9" s="453">
        <f>transport!P14</f>
        <v>0</v>
      </c>
      <c r="Q9" s="452">
        <f>SUM(B9:P9)</f>
        <v>145064.51799219433</v>
      </c>
    </row>
    <row r="10" spans="1:17">
      <c r="A10" s="448" t="s">
        <v>533</v>
      </c>
      <c r="B10" s="449">
        <f>transport!B54</f>
        <v>17.565621146253608</v>
      </c>
      <c r="C10" s="449">
        <f>transport!C54</f>
        <v>0</v>
      </c>
      <c r="D10" s="449">
        <f>transport!D54</f>
        <v>0</v>
      </c>
      <c r="E10" s="449">
        <f>transport!E54</f>
        <v>0</v>
      </c>
      <c r="F10" s="449">
        <f>transport!F54</f>
        <v>0</v>
      </c>
      <c r="G10" s="449">
        <f>transport!G54</f>
        <v>1099.6609883474516</v>
      </c>
      <c r="H10" s="449">
        <f>transport!H54</f>
        <v>0</v>
      </c>
      <c r="I10" s="449">
        <f>transport!I54</f>
        <v>0</v>
      </c>
      <c r="J10" s="449">
        <f>transport!J54</f>
        <v>0</v>
      </c>
      <c r="K10" s="449">
        <f>transport!K54</f>
        <v>0</v>
      </c>
      <c r="L10" s="449">
        <f>transport!L54</f>
        <v>0</v>
      </c>
      <c r="M10" s="449">
        <f>transport!M54</f>
        <v>63.140099045433672</v>
      </c>
      <c r="N10" s="449">
        <f>transport!N54</f>
        <v>0</v>
      </c>
      <c r="O10" s="449">
        <f>transport!O54</f>
        <v>0</v>
      </c>
      <c r="P10" s="450">
        <f>transport!P54</f>
        <v>0</v>
      </c>
      <c r="Q10" s="448">
        <f t="shared" si="0"/>
        <v>1180.3667085391389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122.398478</v>
      </c>
      <c r="C14" s="456"/>
      <c r="D14" s="456">
        <f>'SEAP template'!E25</f>
        <v>272.34011099999998</v>
      </c>
      <c r="E14" s="456"/>
      <c r="F14" s="456"/>
      <c r="G14" s="456"/>
      <c r="H14" s="456"/>
      <c r="I14" s="456"/>
      <c r="J14" s="456"/>
      <c r="K14" s="456"/>
      <c r="L14" s="456"/>
      <c r="M14" s="456"/>
      <c r="N14" s="456"/>
      <c r="O14" s="456"/>
      <c r="P14" s="457"/>
      <c r="Q14" s="448">
        <f t="shared" si="0"/>
        <v>394.73858899999999</v>
      </c>
    </row>
    <row r="15" spans="1:17" s="460" customFormat="1">
      <c r="A15" s="458" t="s">
        <v>537</v>
      </c>
      <c r="B15" s="459">
        <f ca="1">SUM(B4:B14)</f>
        <v>95967.605170334486</v>
      </c>
      <c r="C15" s="459">
        <f t="shared" ref="C15:Q15" ca="1" si="1">SUM(C4:C14)</f>
        <v>0</v>
      </c>
      <c r="D15" s="459">
        <f t="shared" ca="1" si="1"/>
        <v>55526.478208764856</v>
      </c>
      <c r="E15" s="459">
        <f t="shared" si="1"/>
        <v>1605.5435993688186</v>
      </c>
      <c r="F15" s="459">
        <f t="shared" ca="1" si="1"/>
        <v>32664.936079278115</v>
      </c>
      <c r="G15" s="459">
        <f t="shared" si="1"/>
        <v>110470.65372115416</v>
      </c>
      <c r="H15" s="459">
        <f t="shared" si="1"/>
        <v>26460.698253887738</v>
      </c>
      <c r="I15" s="459">
        <f t="shared" si="1"/>
        <v>0</v>
      </c>
      <c r="J15" s="459">
        <f t="shared" si="1"/>
        <v>280.17008278412004</v>
      </c>
      <c r="K15" s="459">
        <f t="shared" si="1"/>
        <v>0</v>
      </c>
      <c r="L15" s="459">
        <f t="shared" ca="1" si="1"/>
        <v>0</v>
      </c>
      <c r="M15" s="459">
        <f t="shared" si="1"/>
        <v>8218.8619142770458</v>
      </c>
      <c r="N15" s="459">
        <f t="shared" ca="1" si="1"/>
        <v>6549.4669471319903</v>
      </c>
      <c r="O15" s="459">
        <f t="shared" si="1"/>
        <v>401.6889046432475</v>
      </c>
      <c r="P15" s="459">
        <f t="shared" si="1"/>
        <v>810.72289199595639</v>
      </c>
      <c r="Q15" s="459">
        <f t="shared" ca="1" si="1"/>
        <v>338956.82577362051</v>
      </c>
    </row>
    <row r="17" spans="1:17">
      <c r="A17" s="461" t="s">
        <v>538</v>
      </c>
      <c r="B17" s="778">
        <f ca="1">huishoudens!B10</f>
        <v>2.9866920135265759E-2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541.22458776285282</v>
      </c>
      <c r="C22" s="449">
        <f t="shared" ref="C22:C32" ca="1" si="3">C4*$C$17</f>
        <v>0</v>
      </c>
      <c r="D22" s="449">
        <f t="shared" ref="D22:D32" si="4">D4*$D$17</f>
        <v>6530.1420929567103</v>
      </c>
      <c r="E22" s="449">
        <f t="shared" ref="E22:E32" si="5">E4*$E$17</f>
        <v>288.03440120691761</v>
      </c>
      <c r="F22" s="449">
        <f t="shared" ref="F22:F32" si="6">F4*$F$17</f>
        <v>7421.724819880752</v>
      </c>
      <c r="G22" s="449">
        <f t="shared" ref="G22:G32" si="7">G4*$G$17</f>
        <v>0</v>
      </c>
      <c r="H22" s="449">
        <f t="shared" ref="H22:H32" si="8">H4*$H$17</f>
        <v>0</v>
      </c>
      <c r="I22" s="449">
        <f t="shared" ref="I22:I32" si="9">I4*$I$17</f>
        <v>0</v>
      </c>
      <c r="J22" s="449">
        <f t="shared" ref="J22:J32" si="10">J4*$J$17</f>
        <v>56.079462200803626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14837.205364008036</v>
      </c>
    </row>
    <row r="23" spans="1:17">
      <c r="A23" s="448" t="s">
        <v>155</v>
      </c>
      <c r="B23" s="449">
        <f t="shared" ca="1" si="2"/>
        <v>863.35905071609898</v>
      </c>
      <c r="C23" s="449">
        <f t="shared" ca="1" si="3"/>
        <v>0</v>
      </c>
      <c r="D23" s="449">
        <f t="shared" ca="1" si="4"/>
        <v>2376.2431288956359</v>
      </c>
      <c r="E23" s="449">
        <f t="shared" si="5"/>
        <v>14.496785254368838</v>
      </c>
      <c r="F23" s="449">
        <f t="shared" ca="1" si="6"/>
        <v>923.75232483239131</v>
      </c>
      <c r="G23" s="449">
        <f t="shared" si="7"/>
        <v>0</v>
      </c>
      <c r="H23" s="449">
        <f t="shared" si="8"/>
        <v>0</v>
      </c>
      <c r="I23" s="449">
        <f t="shared" si="9"/>
        <v>0</v>
      </c>
      <c r="J23" s="449">
        <f t="shared" si="10"/>
        <v>3.8125402213983433E-3</v>
      </c>
      <c r="K23" s="449">
        <f t="shared" si="11"/>
        <v>0</v>
      </c>
      <c r="L23" s="449">
        <f t="shared" ca="1" si="12"/>
        <v>0</v>
      </c>
      <c r="M23" s="449">
        <f t="shared" si="13"/>
        <v>0</v>
      </c>
      <c r="N23" s="449">
        <f t="shared" ca="1" si="14"/>
        <v>0</v>
      </c>
      <c r="O23" s="449">
        <f t="shared" si="15"/>
        <v>0</v>
      </c>
      <c r="P23" s="450">
        <f t="shared" si="16"/>
        <v>0</v>
      </c>
      <c r="Q23" s="448">
        <f t="shared" ref="Q23:Q31" ca="1" si="17">SUM(B23:P23)</f>
        <v>4177.8551022387164</v>
      </c>
    </row>
    <row r="24" spans="1:17">
      <c r="A24" s="448" t="s">
        <v>193</v>
      </c>
      <c r="B24" s="449">
        <f t="shared" ca="1" si="2"/>
        <v>17.972052754153033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17.972052754153033</v>
      </c>
    </row>
    <row r="25" spans="1:17">
      <c r="A25" s="448" t="s">
        <v>111</v>
      </c>
      <c r="B25" s="449">
        <f t="shared" ca="1" si="2"/>
        <v>5.0891456322090809</v>
      </c>
      <c r="C25" s="449">
        <f t="shared" ca="1" si="3"/>
        <v>0</v>
      </c>
      <c r="D25" s="449">
        <f t="shared" si="4"/>
        <v>2.866468154214</v>
      </c>
      <c r="E25" s="449">
        <f t="shared" si="5"/>
        <v>1.107844919504565</v>
      </c>
      <c r="F25" s="449">
        <f t="shared" si="6"/>
        <v>144.01434222555199</v>
      </c>
      <c r="G25" s="449">
        <f t="shared" si="7"/>
        <v>0</v>
      </c>
      <c r="H25" s="449">
        <f t="shared" si="8"/>
        <v>0</v>
      </c>
      <c r="I25" s="449">
        <f t="shared" si="9"/>
        <v>0</v>
      </c>
      <c r="J25" s="449">
        <f t="shared" si="10"/>
        <v>15.337353521579196</v>
      </c>
      <c r="K25" s="449">
        <f t="shared" si="11"/>
        <v>0</v>
      </c>
      <c r="L25" s="449">
        <f t="shared" si="12"/>
        <v>0</v>
      </c>
      <c r="M25" s="449">
        <f t="shared" si="13"/>
        <v>0</v>
      </c>
      <c r="N25" s="449">
        <f t="shared" si="14"/>
        <v>0</v>
      </c>
      <c r="O25" s="449">
        <f t="shared" si="15"/>
        <v>0</v>
      </c>
      <c r="P25" s="450">
        <f t="shared" si="16"/>
        <v>0</v>
      </c>
      <c r="Q25" s="448">
        <f t="shared" ca="1" si="17"/>
        <v>168.41515445305882</v>
      </c>
    </row>
    <row r="26" spans="1:17">
      <c r="A26" s="448" t="s">
        <v>617</v>
      </c>
      <c r="B26" s="449">
        <f t="shared" ca="1" si="2"/>
        <v>1424.8649191682355</v>
      </c>
      <c r="C26" s="449">
        <f t="shared" ca="1" si="3"/>
        <v>0</v>
      </c>
      <c r="D26" s="449">
        <f t="shared" si="4"/>
        <v>2145.0748415465887</v>
      </c>
      <c r="E26" s="449">
        <f t="shared" si="5"/>
        <v>9.2805127562340815</v>
      </c>
      <c r="F26" s="449">
        <f t="shared" si="6"/>
        <v>232.04644622856122</v>
      </c>
      <c r="G26" s="449">
        <f t="shared" si="7"/>
        <v>0</v>
      </c>
      <c r="H26" s="449">
        <f t="shared" si="8"/>
        <v>0</v>
      </c>
      <c r="I26" s="449">
        <f t="shared" si="9"/>
        <v>0</v>
      </c>
      <c r="J26" s="449">
        <f t="shared" si="10"/>
        <v>27.759581042974258</v>
      </c>
      <c r="K26" s="449">
        <f t="shared" si="11"/>
        <v>0</v>
      </c>
      <c r="L26" s="449">
        <f t="shared" si="12"/>
        <v>0</v>
      </c>
      <c r="M26" s="449">
        <f t="shared" si="13"/>
        <v>0</v>
      </c>
      <c r="N26" s="449">
        <f t="shared" si="14"/>
        <v>0</v>
      </c>
      <c r="O26" s="449">
        <f t="shared" si="15"/>
        <v>0</v>
      </c>
      <c r="P26" s="450">
        <f t="shared" si="16"/>
        <v>0</v>
      </c>
      <c r="Q26" s="448">
        <f t="shared" ca="1" si="17"/>
        <v>3839.0263007425938</v>
      </c>
    </row>
    <row r="27" spans="1:17" s="454" customFormat="1">
      <c r="A27" s="452" t="s">
        <v>543</v>
      </c>
      <c r="B27" s="772">
        <f t="shared" ca="1" si="2"/>
        <v>9.5667465905424933</v>
      </c>
      <c r="C27" s="453">
        <f t="shared" ca="1" si="3"/>
        <v>0</v>
      </c>
      <c r="D27" s="453">
        <f t="shared" si="4"/>
        <v>107.00936419535375</v>
      </c>
      <c r="E27" s="453">
        <f t="shared" si="5"/>
        <v>51.538852919696751</v>
      </c>
      <c r="F27" s="453">
        <f t="shared" si="6"/>
        <v>0</v>
      </c>
      <c r="G27" s="453">
        <f t="shared" si="7"/>
        <v>29202.055059659393</v>
      </c>
      <c r="H27" s="453">
        <f t="shared" si="8"/>
        <v>6588.7138652180465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35958.883888583034</v>
      </c>
    </row>
    <row r="28" spans="1:17" ht="16.5" customHeight="1">
      <c r="A28" s="448" t="s">
        <v>533</v>
      </c>
      <c r="B28" s="449">
        <f t="shared" ca="1" si="2"/>
        <v>0.52463100390149187</v>
      </c>
      <c r="C28" s="449">
        <f t="shared" ca="1" si="3"/>
        <v>0</v>
      </c>
      <c r="D28" s="449">
        <f t="shared" si="4"/>
        <v>0</v>
      </c>
      <c r="E28" s="449">
        <f t="shared" si="5"/>
        <v>0</v>
      </c>
      <c r="F28" s="449">
        <f t="shared" si="6"/>
        <v>0</v>
      </c>
      <c r="G28" s="449">
        <f t="shared" si="7"/>
        <v>293.6094838887696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294.13411489267111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3.6556655671040827</v>
      </c>
      <c r="C32" s="449">
        <f t="shared" ca="1" si="3"/>
        <v>0</v>
      </c>
      <c r="D32" s="449">
        <f t="shared" si="4"/>
        <v>55.012702421999997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58.668367989104077</v>
      </c>
    </row>
    <row r="33" spans="1:17" s="460" customFormat="1">
      <c r="A33" s="458" t="s">
        <v>537</v>
      </c>
      <c r="B33" s="459">
        <f ca="1">SUM(B22:B32)</f>
        <v>2866.2567991950978</v>
      </c>
      <c r="C33" s="459">
        <f t="shared" ref="C33:Q33" ca="1" si="19">SUM(C22:C32)</f>
        <v>0</v>
      </c>
      <c r="D33" s="459">
        <f t="shared" ca="1" si="19"/>
        <v>11216.348598170503</v>
      </c>
      <c r="E33" s="459">
        <f t="shared" si="19"/>
        <v>364.45839705672182</v>
      </c>
      <c r="F33" s="459">
        <f t="shared" ca="1" si="19"/>
        <v>8721.5379331672557</v>
      </c>
      <c r="G33" s="459">
        <f t="shared" si="19"/>
        <v>29495.664543548162</v>
      </c>
      <c r="H33" s="459">
        <f t="shared" si="19"/>
        <v>6588.7138652180465</v>
      </c>
      <c r="I33" s="459">
        <f t="shared" si="19"/>
        <v>0</v>
      </c>
      <c r="J33" s="459">
        <f t="shared" si="19"/>
        <v>99.180209305578487</v>
      </c>
      <c r="K33" s="459">
        <f t="shared" si="19"/>
        <v>0</v>
      </c>
      <c r="L33" s="459">
        <f t="shared" ca="1" si="19"/>
        <v>0</v>
      </c>
      <c r="M33" s="459">
        <f t="shared" si="19"/>
        <v>0</v>
      </c>
      <c r="N33" s="459">
        <f t="shared" ca="1" si="19"/>
        <v>0</v>
      </c>
      <c r="O33" s="459">
        <f t="shared" si="19"/>
        <v>0</v>
      </c>
      <c r="P33" s="459">
        <f t="shared" si="19"/>
        <v>0</v>
      </c>
      <c r="Q33" s="459">
        <f t="shared" ca="1" si="19"/>
        <v>59352.160345661374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30049.723594331528</v>
      </c>
      <c r="C4" s="1016"/>
      <c r="D4" s="1016"/>
      <c r="E4" s="1016"/>
      <c r="F4" s="1016"/>
      <c r="G4" s="1016"/>
      <c r="H4" s="1016"/>
      <c r="I4" s="1016"/>
      <c r="J4" s="1016"/>
      <c r="K4" s="1016"/>
      <c r="L4" s="1016"/>
      <c r="M4" s="1016"/>
      <c r="N4" s="1016"/>
      <c r="O4" s="1016"/>
      <c r="P4" s="1017">
        <f>'SEAP template'!Q72</f>
        <v>0</v>
      </c>
    </row>
    <row r="5" spans="1:16">
      <c r="A5" s="1021" t="s">
        <v>245</v>
      </c>
      <c r="B5" s="1016">
        <f>'SEAP template'!B73</f>
        <v>1026.7241364055301</v>
      </c>
      <c r="C5" s="1016"/>
      <c r="D5" s="1016"/>
      <c r="E5" s="1016"/>
      <c r="F5" s="1016"/>
      <c r="G5" s="1016"/>
      <c r="H5" s="1016"/>
      <c r="I5" s="1016"/>
      <c r="J5" s="1016"/>
      <c r="K5" s="1016"/>
      <c r="L5" s="1016"/>
      <c r="M5" s="1016"/>
      <c r="N5" s="1016"/>
      <c r="O5" s="1016"/>
      <c r="P5" s="1017">
        <f>'SEAP template'!Q73</f>
        <v>0</v>
      </c>
    </row>
    <row r="6" spans="1:16">
      <c r="A6" s="1021" t="s">
        <v>246</v>
      </c>
      <c r="B6" s="1016">
        <f>'SEAP template'!B74</f>
        <v>7731.6696604340705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44190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110475</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82998.117391171138</v>
      </c>
      <c r="C10" s="1018">
        <f>SUM(C4:C9)</f>
        <v>0</v>
      </c>
      <c r="D10" s="1018">
        <f t="shared" ref="D10:H10" si="0">SUM(D8:D9)</f>
        <v>0</v>
      </c>
      <c r="E10" s="1018">
        <f t="shared" si="0"/>
        <v>0</v>
      </c>
      <c r="F10" s="1018">
        <f t="shared" si="0"/>
        <v>0</v>
      </c>
      <c r="G10" s="1018">
        <f t="shared" si="0"/>
        <v>0</v>
      </c>
      <c r="H10" s="1018">
        <f t="shared" si="0"/>
        <v>0</v>
      </c>
      <c r="I10" s="1018">
        <f>SUM(I8:I9)</f>
        <v>0</v>
      </c>
      <c r="J10" s="1018">
        <f>SUM(J8:J9)</f>
        <v>110475</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2.9866920135265759E-2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2.9866920135265759E-2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2.9866920135265759E-2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2.9866920135265759E-2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4511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890.79</v>
      </c>
      <c r="C14" s="326"/>
      <c r="D14" s="326"/>
      <c r="E14" s="326"/>
      <c r="F14" s="326"/>
    </row>
    <row r="15" spans="1:6">
      <c r="A15" s="1312" t="s">
        <v>183</v>
      </c>
      <c r="B15" s="1313">
        <v>8</v>
      </c>
      <c r="C15" s="326"/>
      <c r="D15" s="326"/>
      <c r="E15" s="326"/>
      <c r="F15" s="326"/>
    </row>
    <row r="16" spans="1:6">
      <c r="A16" s="1312" t="s">
        <v>6</v>
      </c>
      <c r="B16" s="1313">
        <v>212</v>
      </c>
      <c r="C16" s="326"/>
      <c r="D16" s="326"/>
      <c r="E16" s="326"/>
      <c r="F16" s="326"/>
    </row>
    <row r="17" spans="1:6">
      <c r="A17" s="1312" t="s">
        <v>7</v>
      </c>
      <c r="B17" s="1313">
        <v>51</v>
      </c>
      <c r="C17" s="326"/>
      <c r="D17" s="326"/>
      <c r="E17" s="326"/>
      <c r="F17" s="326"/>
    </row>
    <row r="18" spans="1:6">
      <c r="A18" s="1312" t="s">
        <v>8</v>
      </c>
      <c r="B18" s="1313">
        <v>99</v>
      </c>
      <c r="C18" s="326"/>
      <c r="D18" s="326"/>
      <c r="E18" s="326"/>
      <c r="F18" s="326"/>
    </row>
    <row r="19" spans="1:6">
      <c r="A19" s="1312" t="s">
        <v>9</v>
      </c>
      <c r="B19" s="1313">
        <v>503</v>
      </c>
      <c r="C19" s="326"/>
      <c r="D19" s="326"/>
      <c r="E19" s="326"/>
      <c r="F19" s="326"/>
    </row>
    <row r="20" spans="1:6">
      <c r="A20" s="1312" t="s">
        <v>10</v>
      </c>
      <c r="B20" s="1313">
        <v>189</v>
      </c>
      <c r="C20" s="326"/>
      <c r="D20" s="326"/>
      <c r="E20" s="326"/>
      <c r="F20" s="326"/>
    </row>
    <row r="21" spans="1:6">
      <c r="A21" s="1312" t="s">
        <v>11</v>
      </c>
      <c r="B21" s="1313">
        <v>0</v>
      </c>
      <c r="C21" s="326"/>
      <c r="D21" s="326"/>
      <c r="E21" s="326"/>
      <c r="F21" s="326"/>
    </row>
    <row r="22" spans="1:6">
      <c r="A22" s="1312" t="s">
        <v>12</v>
      </c>
      <c r="B22" s="1313">
        <v>182</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76</v>
      </c>
      <c r="C26" s="326"/>
      <c r="D26" s="326"/>
      <c r="E26" s="326"/>
      <c r="F26" s="326"/>
    </row>
    <row r="27" spans="1:6">
      <c r="A27" s="1312" t="s">
        <v>17</v>
      </c>
      <c r="B27" s="1313">
        <v>3</v>
      </c>
      <c r="C27" s="326"/>
      <c r="D27" s="326"/>
      <c r="E27" s="326"/>
      <c r="F27" s="326"/>
    </row>
    <row r="28" spans="1:6" s="43" customFormat="1">
      <c r="A28" s="1314" t="s">
        <v>18</v>
      </c>
      <c r="B28" s="1315">
        <v>34578</v>
      </c>
      <c r="C28" s="332"/>
      <c r="D28" s="332"/>
      <c r="E28" s="332"/>
      <c r="F28" s="332"/>
    </row>
    <row r="29" spans="1:6">
      <c r="A29" s="1314" t="s">
        <v>684</v>
      </c>
      <c r="B29" s="1315">
        <v>88</v>
      </c>
      <c r="C29" s="332"/>
      <c r="D29" s="332"/>
      <c r="E29" s="332"/>
      <c r="F29" s="332"/>
    </row>
    <row r="30" spans="1:6">
      <c r="A30" s="1307" t="s">
        <v>685</v>
      </c>
      <c r="B30" s="1316">
        <v>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464168.70600000001</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4169.6040000000003</v>
      </c>
    </row>
    <row r="39" spans="1:6">
      <c r="A39" s="1312" t="s">
        <v>29</v>
      </c>
      <c r="B39" s="1312" t="s">
        <v>30</v>
      </c>
      <c r="C39" s="1313">
        <v>2579</v>
      </c>
      <c r="D39" s="1313">
        <v>35800039.982000098</v>
      </c>
      <c r="E39" s="1313">
        <v>4649</v>
      </c>
      <c r="F39" s="1313">
        <v>13458949.868000001</v>
      </c>
    </row>
    <row r="40" spans="1:6">
      <c r="A40" s="1312" t="s">
        <v>29</v>
      </c>
      <c r="B40" s="1312" t="s">
        <v>28</v>
      </c>
      <c r="C40" s="1313">
        <v>0</v>
      </c>
      <c r="D40" s="1313">
        <v>0</v>
      </c>
      <c r="E40" s="1313">
        <v>0</v>
      </c>
      <c r="F40" s="1313">
        <v>0</v>
      </c>
    </row>
    <row r="41" spans="1:6">
      <c r="A41" s="1312" t="s">
        <v>31</v>
      </c>
      <c r="B41" s="1312" t="s">
        <v>32</v>
      </c>
      <c r="C41" s="1313">
        <v>45</v>
      </c>
      <c r="D41" s="1313">
        <v>815784.43700000003</v>
      </c>
      <c r="E41" s="1313">
        <v>102</v>
      </c>
      <c r="F41" s="1313">
        <v>793876.66700000002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67054.076000000001</v>
      </c>
      <c r="E44" s="1313">
        <v>10</v>
      </c>
      <c r="F44" s="1313">
        <v>236030.492</v>
      </c>
    </row>
    <row r="45" spans="1:6">
      <c r="A45" s="1312" t="s">
        <v>31</v>
      </c>
      <c r="B45" s="1312" t="s">
        <v>36</v>
      </c>
      <c r="C45" s="1313">
        <v>0</v>
      </c>
      <c r="D45" s="1313">
        <v>0</v>
      </c>
      <c r="E45" s="1313">
        <v>7</v>
      </c>
      <c r="F45" s="1313">
        <v>2183898.7650000001</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15954.813</v>
      </c>
    </row>
    <row r="48" spans="1:6">
      <c r="A48" s="1312" t="s">
        <v>31</v>
      </c>
      <c r="B48" s="1312" t="s">
        <v>28</v>
      </c>
      <c r="C48" s="1313">
        <v>7</v>
      </c>
      <c r="D48" s="1313">
        <v>10877053.385000002</v>
      </c>
      <c r="E48" s="1313">
        <v>4</v>
      </c>
      <c r="F48" s="1313">
        <v>12186.228999999999</v>
      </c>
    </row>
    <row r="49" spans="1:6">
      <c r="A49" s="1312" t="s">
        <v>31</v>
      </c>
      <c r="B49" s="1312" t="s">
        <v>39</v>
      </c>
      <c r="C49" s="1313">
        <v>0</v>
      </c>
      <c r="D49" s="1313">
        <v>0</v>
      </c>
      <c r="E49" s="1313">
        <v>0</v>
      </c>
      <c r="F49" s="1313">
        <v>0</v>
      </c>
    </row>
    <row r="50" spans="1:6">
      <c r="A50" s="1312" t="s">
        <v>31</v>
      </c>
      <c r="B50" s="1312" t="s">
        <v>40</v>
      </c>
      <c r="C50" s="1313">
        <v>0</v>
      </c>
      <c r="D50" s="1313">
        <v>0</v>
      </c>
      <c r="E50" s="1313">
        <v>5</v>
      </c>
      <c r="F50" s="1313">
        <v>275178.935</v>
      </c>
    </row>
    <row r="51" spans="1:6">
      <c r="A51" s="1312" t="s">
        <v>41</v>
      </c>
      <c r="B51" s="1312" t="s">
        <v>42</v>
      </c>
      <c r="C51" s="1313">
        <v>0</v>
      </c>
      <c r="D51" s="1313">
        <v>0</v>
      </c>
      <c r="E51" s="1313">
        <v>11</v>
      </c>
      <c r="F51" s="1313">
        <v>170394.05499999999</v>
      </c>
    </row>
    <row r="52" spans="1:6">
      <c r="A52" s="1312" t="s">
        <v>41</v>
      </c>
      <c r="B52" s="1312" t="s">
        <v>28</v>
      </c>
      <c r="C52" s="1313">
        <v>1</v>
      </c>
      <c r="D52" s="1313">
        <v>15714.769</v>
      </c>
      <c r="E52" s="1313">
        <v>0</v>
      </c>
      <c r="F52" s="1313">
        <v>0</v>
      </c>
    </row>
    <row r="53" spans="1:6">
      <c r="A53" s="1312" t="s">
        <v>43</v>
      </c>
      <c r="B53" s="1312" t="s">
        <v>44</v>
      </c>
      <c r="C53" s="1313">
        <v>16</v>
      </c>
      <c r="D53" s="1313">
        <v>272340.11099999998</v>
      </c>
      <c r="E53" s="1313">
        <v>39</v>
      </c>
      <c r="F53" s="1313">
        <v>122398.478</v>
      </c>
    </row>
    <row r="54" spans="1:6">
      <c r="A54" s="1312" t="s">
        <v>45</v>
      </c>
      <c r="B54" s="1312" t="s">
        <v>46</v>
      </c>
      <c r="C54" s="1313">
        <v>0</v>
      </c>
      <c r="D54" s="1313">
        <v>0</v>
      </c>
      <c r="E54" s="1313">
        <v>2</v>
      </c>
      <c r="F54" s="1313">
        <v>601737.73100000003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25</v>
      </c>
      <c r="D57" s="1313">
        <v>1808416.379</v>
      </c>
      <c r="E57" s="1313">
        <v>63</v>
      </c>
      <c r="F57" s="1313">
        <v>1064831.358</v>
      </c>
    </row>
    <row r="58" spans="1:6">
      <c r="A58" s="1312" t="s">
        <v>48</v>
      </c>
      <c r="B58" s="1312" t="s">
        <v>50</v>
      </c>
      <c r="C58" s="1313">
        <v>15</v>
      </c>
      <c r="D58" s="1313">
        <v>1030667.211</v>
      </c>
      <c r="E58" s="1313">
        <v>23</v>
      </c>
      <c r="F58" s="1313">
        <v>368041.01899999997</v>
      </c>
    </row>
    <row r="59" spans="1:6">
      <c r="A59" s="1312" t="s">
        <v>48</v>
      </c>
      <c r="B59" s="1312" t="s">
        <v>51</v>
      </c>
      <c r="C59" s="1313">
        <v>41</v>
      </c>
      <c r="D59" s="1313">
        <v>1382730.0020000001</v>
      </c>
      <c r="E59" s="1313">
        <v>113</v>
      </c>
      <c r="F59" s="1313">
        <v>5634004.7419999996</v>
      </c>
    </row>
    <row r="60" spans="1:6">
      <c r="A60" s="1312" t="s">
        <v>48</v>
      </c>
      <c r="B60" s="1312" t="s">
        <v>52</v>
      </c>
      <c r="C60" s="1313">
        <v>21</v>
      </c>
      <c r="D60" s="1313">
        <v>1165334.4939999999</v>
      </c>
      <c r="E60" s="1313">
        <v>32</v>
      </c>
      <c r="F60" s="1313">
        <v>694409.10499999998</v>
      </c>
    </row>
    <row r="61" spans="1:6">
      <c r="A61" s="1312" t="s">
        <v>48</v>
      </c>
      <c r="B61" s="1312" t="s">
        <v>53</v>
      </c>
      <c r="C61" s="1313">
        <v>65</v>
      </c>
      <c r="D61" s="1313">
        <v>7259135.4919999996</v>
      </c>
      <c r="E61" s="1313">
        <v>151</v>
      </c>
      <c r="F61" s="1313">
        <v>21074431.949999999</v>
      </c>
    </row>
    <row r="62" spans="1:6">
      <c r="A62" s="1312" t="s">
        <v>48</v>
      </c>
      <c r="B62" s="1312" t="s">
        <v>54</v>
      </c>
      <c r="C62" s="1313">
        <v>5</v>
      </c>
      <c r="D62" s="1313">
        <v>380936.62800000003</v>
      </c>
      <c r="E62" s="1313">
        <v>5</v>
      </c>
      <c r="F62" s="1313">
        <v>71147.576000000001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8</v>
      </c>
      <c r="F66" s="1313">
        <v>201487.46400000001</v>
      </c>
    </row>
    <row r="67" spans="1:6">
      <c r="A67" s="1314" t="s">
        <v>55</v>
      </c>
      <c r="B67" s="1314" t="s">
        <v>58</v>
      </c>
      <c r="C67" s="1313">
        <v>0</v>
      </c>
      <c r="D67" s="1313">
        <v>0</v>
      </c>
      <c r="E67" s="1313">
        <v>0</v>
      </c>
      <c r="F67" s="1313">
        <v>0</v>
      </c>
    </row>
    <row r="68" spans="1:6">
      <c r="A68" s="1307" t="s">
        <v>55</v>
      </c>
      <c r="B68" s="1307" t="s">
        <v>59</v>
      </c>
      <c r="C68" s="1316">
        <v>3</v>
      </c>
      <c r="D68" s="1316">
        <v>148855.98499999999</v>
      </c>
      <c r="E68" s="1316">
        <v>6</v>
      </c>
      <c r="F68" s="1316">
        <v>467051.489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52780730</v>
      </c>
      <c r="E73" s="447"/>
      <c r="F73" s="326"/>
    </row>
    <row r="74" spans="1:6">
      <c r="A74" s="1312" t="s">
        <v>63</v>
      </c>
      <c r="B74" s="1312" t="s">
        <v>638</v>
      </c>
      <c r="C74" s="1326" t="s">
        <v>640</v>
      </c>
      <c r="D74" s="1327">
        <v>2187520.4532240639</v>
      </c>
      <c r="E74" s="447"/>
      <c r="F74" s="326"/>
    </row>
    <row r="75" spans="1:6">
      <c r="A75" s="1312" t="s">
        <v>64</v>
      </c>
      <c r="B75" s="1312" t="s">
        <v>637</v>
      </c>
      <c r="C75" s="1326" t="s">
        <v>641</v>
      </c>
      <c r="D75" s="1327">
        <v>24560687</v>
      </c>
      <c r="E75" s="447"/>
      <c r="F75" s="326"/>
    </row>
    <row r="76" spans="1:6">
      <c r="A76" s="1312" t="s">
        <v>64</v>
      </c>
      <c r="B76" s="1312" t="s">
        <v>638</v>
      </c>
      <c r="C76" s="1326" t="s">
        <v>642</v>
      </c>
      <c r="D76" s="1327">
        <v>762291.45322406397</v>
      </c>
      <c r="E76" s="447"/>
      <c r="F76" s="326"/>
    </row>
    <row r="77" spans="1:6">
      <c r="A77" s="1312" t="s">
        <v>65</v>
      </c>
      <c r="B77" s="1312" t="s">
        <v>637</v>
      </c>
      <c r="C77" s="1326" t="s">
        <v>643</v>
      </c>
      <c r="D77" s="1327">
        <v>68041660</v>
      </c>
      <c r="E77" s="447"/>
      <c r="F77" s="326"/>
    </row>
    <row r="78" spans="1:6">
      <c r="A78" s="1307" t="s">
        <v>65</v>
      </c>
      <c r="B78" s="1307" t="s">
        <v>638</v>
      </c>
      <c r="C78" s="1307" t="s">
        <v>644</v>
      </c>
      <c r="D78" s="1328">
        <v>14654814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327637.09355187201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1026.7241364055301</v>
      </c>
      <c r="C89" s="326"/>
      <c r="D89" s="326"/>
      <c r="E89" s="326"/>
      <c r="F89" s="326"/>
    </row>
    <row r="90" spans="1:6">
      <c r="A90" s="1312" t="s">
        <v>531</v>
      </c>
      <c r="B90" s="1313">
        <v>30049.723594331528</v>
      </c>
      <c r="C90" s="326"/>
      <c r="D90" s="326"/>
      <c r="E90" s="326"/>
      <c r="F90" s="326"/>
    </row>
    <row r="91" spans="1:6">
      <c r="A91" s="1312" t="s">
        <v>67</v>
      </c>
      <c r="B91" s="1313">
        <v>4662.2553085523277</v>
      </c>
      <c r="C91" s="326"/>
      <c r="D91" s="326"/>
      <c r="E91" s="326"/>
      <c r="F91" s="326"/>
    </row>
    <row r="92" spans="1:6">
      <c r="A92" s="1307" t="s">
        <v>68</v>
      </c>
      <c r="B92" s="1308">
        <v>3069.4143518817423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469</v>
      </c>
      <c r="C97" s="326"/>
      <c r="D97" s="326"/>
      <c r="E97" s="326"/>
      <c r="F97" s="326"/>
    </row>
    <row r="98" spans="1:6">
      <c r="A98" s="1312" t="s">
        <v>71</v>
      </c>
      <c r="B98" s="1313">
        <v>0</v>
      </c>
      <c r="C98" s="326"/>
      <c r="D98" s="326"/>
      <c r="E98" s="326"/>
      <c r="F98" s="326"/>
    </row>
    <row r="99" spans="1:6">
      <c r="A99" s="1312" t="s">
        <v>72</v>
      </c>
      <c r="B99" s="1313">
        <v>28</v>
      </c>
      <c r="C99" s="326"/>
      <c r="D99" s="326"/>
      <c r="E99" s="326"/>
      <c r="F99" s="326"/>
    </row>
    <row r="100" spans="1:6">
      <c r="A100" s="1312" t="s">
        <v>73</v>
      </c>
      <c r="B100" s="1313">
        <v>116</v>
      </c>
      <c r="C100" s="326"/>
      <c r="D100" s="326"/>
      <c r="E100" s="326"/>
      <c r="F100" s="326"/>
    </row>
    <row r="101" spans="1:6">
      <c r="A101" s="1312" t="s">
        <v>74</v>
      </c>
      <c r="B101" s="1313">
        <v>37</v>
      </c>
      <c r="C101" s="326"/>
      <c r="D101" s="326"/>
      <c r="E101" s="326"/>
      <c r="F101" s="326"/>
    </row>
    <row r="102" spans="1:6">
      <c r="A102" s="1312" t="s">
        <v>75</v>
      </c>
      <c r="B102" s="1313">
        <v>30</v>
      </c>
      <c r="C102" s="326"/>
      <c r="D102" s="326"/>
      <c r="E102" s="326"/>
      <c r="F102" s="326"/>
    </row>
    <row r="103" spans="1:6">
      <c r="A103" s="1312" t="s">
        <v>76</v>
      </c>
      <c r="B103" s="1313">
        <v>115</v>
      </c>
      <c r="C103" s="326"/>
      <c r="D103" s="326"/>
      <c r="E103" s="326"/>
      <c r="F103" s="326"/>
    </row>
    <row r="104" spans="1:6">
      <c r="A104" s="1312" t="s">
        <v>77</v>
      </c>
      <c r="B104" s="1313">
        <v>2773</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38</v>
      </c>
      <c r="C123" s="1313">
        <v>32</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166</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95967.605170334471</v>
      </c>
      <c r="C3" s="43" t="s">
        <v>169</v>
      </c>
      <c r="D3" s="43"/>
      <c r="E3" s="154"/>
      <c r="F3" s="43"/>
      <c r="G3" s="43"/>
      <c r="H3" s="43"/>
      <c r="I3" s="43"/>
      <c r="J3" s="43"/>
      <c r="K3" s="96"/>
    </row>
    <row r="4" spans="1:11">
      <c r="A4" s="354" t="s">
        <v>170</v>
      </c>
      <c r="B4" s="49">
        <f>IF(ISERROR('SEAP template'!B78+'SEAP template'!C78),0,'SEAP template'!B78+'SEAP template'!C78)</f>
        <v>82998.117391171138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2.9866920135265759E-2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601.73773100000005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601.73773100000005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2.9866920135265759E-2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17.972052754153033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13458.949868000002</v>
      </c>
      <c r="C5" s="17">
        <f>IF(ISERROR('Eigen informatie GS &amp; warmtenet'!B59),0,'Eigen informatie GS &amp; warmtenet'!B59)</f>
        <v>0</v>
      </c>
      <c r="D5" s="30">
        <f>(SUM(HH_hh_gas_kWh,HH_rest_gas_kWh)/1000)*0.903</f>
        <v>32327.436103746088</v>
      </c>
      <c r="E5" s="17">
        <f>B32*B41</f>
        <v>1268.8740141273904</v>
      </c>
      <c r="F5" s="17">
        <f>B36*B45</f>
        <v>27796.722171838021</v>
      </c>
      <c r="G5" s="18"/>
      <c r="H5" s="17"/>
      <c r="I5" s="17"/>
      <c r="J5" s="17">
        <f>B35*B44+C35*C44</f>
        <v>158.41655988927579</v>
      </c>
      <c r="K5" s="17"/>
      <c r="L5" s="17"/>
      <c r="M5" s="17"/>
      <c r="N5" s="17">
        <f>B34*B43+C34*C43</f>
        <v>6108.8479951769295</v>
      </c>
      <c r="O5" s="17">
        <f>B52*B53*B54</f>
        <v>396.79164387740633</v>
      </c>
      <c r="P5" s="17">
        <f>B60*B61*B62/1000-B60*B61*B62/1000/B63</f>
        <v>653.1054770764714</v>
      </c>
    </row>
    <row r="6" spans="1:16">
      <c r="A6" s="16" t="s">
        <v>603</v>
      </c>
      <c r="B6" s="780">
        <f>kWh_PV_kleiner_dan_10kW</f>
        <v>4662.2553085523277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18121.205176552328</v>
      </c>
      <c r="C8" s="21">
        <f>C5</f>
        <v>0</v>
      </c>
      <c r="D8" s="21">
        <f>D5</f>
        <v>32327.436103746088</v>
      </c>
      <c r="E8" s="21">
        <f>E5</f>
        <v>1268.8740141273904</v>
      </c>
      <c r="F8" s="21">
        <f>F5</f>
        <v>27796.722171838021</v>
      </c>
      <c r="G8" s="21"/>
      <c r="H8" s="21"/>
      <c r="I8" s="21"/>
      <c r="J8" s="21">
        <f>J5</f>
        <v>158.41655988927579</v>
      </c>
      <c r="K8" s="21"/>
      <c r="L8" s="21">
        <f>L5</f>
        <v>0</v>
      </c>
      <c r="M8" s="21">
        <f>M5</f>
        <v>0</v>
      </c>
      <c r="N8" s="21">
        <f>N5</f>
        <v>6108.8479951769295</v>
      </c>
      <c r="O8" s="21">
        <f>O5</f>
        <v>396.79164387740633</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2.9866920135265759E-2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541.22458776285282</v>
      </c>
      <c r="C12" s="23">
        <f ca="1">C10*C8</f>
        <v>0</v>
      </c>
      <c r="D12" s="23">
        <f>D8*D10</f>
        <v>6530.1420929567103</v>
      </c>
      <c r="E12" s="23">
        <f>E10*E8</f>
        <v>288.03440120691761</v>
      </c>
      <c r="F12" s="23">
        <f>F10*F8</f>
        <v>7421.724819880752</v>
      </c>
      <c r="G12" s="23"/>
      <c r="H12" s="23"/>
      <c r="I12" s="23"/>
      <c r="J12" s="23">
        <f>J10*J8</f>
        <v>56.079462200803626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4511</v>
      </c>
      <c r="C26" s="36"/>
      <c r="D26" s="225"/>
    </row>
    <row r="27" spans="1:5" s="15" customFormat="1">
      <c r="A27" s="227" t="s">
        <v>866</v>
      </c>
      <c r="B27" s="37">
        <f>SUM(HH_hh_gas_aantal,HH_rest_gas_aantal)</f>
        <v>2579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2450.0500000000002</v>
      </c>
      <c r="C31" s="34" t="s">
        <v>110</v>
      </c>
      <c r="D31" s="171"/>
    </row>
    <row r="32" spans="1:5">
      <c r="A32" s="168" t="s">
        <v>72</v>
      </c>
      <c r="B32" s="33">
        <f>IF((B21*($B$26-($B$27-0.05*$B$27)-$B$60))&lt;0,0,(B21*($B$26-($B$27-0.05*$B$27)-$B$60)))</f>
        <v>31.733728429240763</v>
      </c>
      <c r="C32" s="34" t="s">
        <v>110</v>
      </c>
      <c r="D32" s="171"/>
    </row>
    <row r="33" spans="1:6">
      <c r="A33" s="168" t="s">
        <v>73</v>
      </c>
      <c r="B33" s="33">
        <f>IF((B22*($B$26-($B$27-0.05*$B$27)-$B$60))&lt;0,0,B22*($B$26-($B$27-0.05*$B$27)-$B$60))</f>
        <v>515.29290035188853</v>
      </c>
      <c r="C33" s="34" t="s">
        <v>110</v>
      </c>
      <c r="D33" s="171"/>
    </row>
    <row r="34" spans="1:6">
      <c r="A34" s="168" t="s">
        <v>74</v>
      </c>
      <c r="B34" s="33">
        <f>IF((B24*($B$26-($B$27-0.05*$B$27)-$B$60))&lt;0,0,B24*($B$26-($B$27-0.05*$B$27)-$B$60))</f>
        <v>98.78854488619487</v>
      </c>
      <c r="C34" s="33">
        <f>B26*C24</f>
        <v>924.33069446732077</v>
      </c>
      <c r="D34" s="230"/>
    </row>
    <row r="35" spans="1:6">
      <c r="A35" s="168" t="s">
        <v>76</v>
      </c>
      <c r="B35" s="33">
        <f>IF((B19*($B$26-($B$27-0.05*$B$27)-$B$60))&lt;0,0,B19*($B$26-($B$27-0.05*$B$27)-$B$60))</f>
        <v>13.794576092911594</v>
      </c>
      <c r="C35" s="33">
        <f>B35/2</f>
        <v>6.8972880464557971</v>
      </c>
      <c r="D35" s="230"/>
    </row>
    <row r="36" spans="1:6">
      <c r="A36" s="168" t="s">
        <v>77</v>
      </c>
      <c r="B36" s="33">
        <f>IF((B18*($B$26-($B$27-0.05*$B$27)-$B$60))&lt;0,0,B18*($B$26-($B$27-0.05*$B$27)-$B$60))</f>
        <v>1339.3402502397637</v>
      </c>
      <c r="C36" s="34" t="s">
        <v>110</v>
      </c>
      <c r="D36" s="171"/>
    </row>
    <row r="37" spans="1:6">
      <c r="A37" s="168" t="s">
        <v>78</v>
      </c>
      <c r="B37" s="33">
        <f>B60</f>
        <v>62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28906.865749999994</v>
      </c>
      <c r="C5" s="17">
        <f>IF(ISERROR('Eigen informatie GS &amp; warmtenet'!B60),0,'Eigen informatie GS &amp; warmtenet'!B60)</f>
        <v>0</v>
      </c>
      <c r="D5" s="30">
        <f>SUM(D6:D12)</f>
        <v>11763.579846017999</v>
      </c>
      <c r="E5" s="17">
        <f>SUM(E6:E12)</f>
        <v>63.862490107351704</v>
      </c>
      <c r="F5" s="17">
        <f>SUM(F6:F12)</f>
        <v>3459.7465349527761</v>
      </c>
      <c r="G5" s="18"/>
      <c r="H5" s="17"/>
      <c r="I5" s="17"/>
      <c r="J5" s="17">
        <f>SUM(J6:J12)</f>
        <v>1.0769887631068767E-2</v>
      </c>
      <c r="K5" s="17"/>
      <c r="L5" s="17"/>
      <c r="M5" s="17"/>
      <c r="N5" s="17">
        <f>SUM(N6:N12)</f>
        <v>440.61895195506122</v>
      </c>
      <c r="O5" s="17">
        <f>B38*B39*B40</f>
        <v>4.8972607658411542</v>
      </c>
      <c r="P5" s="17">
        <f>B46*B47*B48/1000-B46*B47*B48/1000/B49</f>
        <v>157.61741491948504</v>
      </c>
      <c r="R5" s="32"/>
    </row>
    <row r="6" spans="1:18">
      <c r="A6" s="32" t="s">
        <v>53</v>
      </c>
      <c r="B6" s="37">
        <f>B26</f>
        <v>21074.431949999998</v>
      </c>
      <c r="C6" s="33"/>
      <c r="D6" s="37">
        <f>IF(ISERROR(TER_kantoor_gas_kWh/1000),0,TER_kantoor_gas_kWh/1000)*0.903</f>
        <v>6554.9993492759995</v>
      </c>
      <c r="E6" s="33">
        <f>$C$26*'E Balans VL '!I12/100/3.6*1000000</f>
        <v>5.0214159715952276</v>
      </c>
      <c r="F6" s="33">
        <f>$C$26*('E Balans VL '!L12+'E Balans VL '!N12)/100/3.6*1000000</f>
        <v>1830.5208631319094</v>
      </c>
      <c r="G6" s="34"/>
      <c r="H6" s="33"/>
      <c r="I6" s="33"/>
      <c r="J6" s="33">
        <f>$C$26*('E Balans VL '!D12+'E Balans VL '!E12)/100/3.6*1000000</f>
        <v>0</v>
      </c>
      <c r="K6" s="33"/>
      <c r="L6" s="33"/>
      <c r="M6" s="33"/>
      <c r="N6" s="33">
        <f>$C$26*'E Balans VL '!Y12/100/3.6*1000000</f>
        <v>28.168926618399691</v>
      </c>
      <c r="O6" s="33"/>
      <c r="P6" s="33"/>
      <c r="R6" s="32"/>
    </row>
    <row r="7" spans="1:18">
      <c r="A7" s="32" t="s">
        <v>52</v>
      </c>
      <c r="B7" s="37">
        <f t="shared" ref="B7:B12" si="0">B27</f>
        <v>694.40910499999995</v>
      </c>
      <c r="C7" s="33"/>
      <c r="D7" s="37">
        <f>IF(ISERROR(TER_horeca_gas_kWh/1000),0,TER_horeca_gas_kWh/1000)*0.903</f>
        <v>1052.2970480819999</v>
      </c>
      <c r="E7" s="33">
        <f>$C$27*'E Balans VL '!I9/100/3.6*1000000</f>
        <v>0</v>
      </c>
      <c r="F7" s="33">
        <f>$C$27*('E Balans VL '!L9+'E Balans VL '!N9)/100/3.6*1000000</f>
        <v>56.581775047856063</v>
      </c>
      <c r="G7" s="34"/>
      <c r="H7" s="33"/>
      <c r="I7" s="33"/>
      <c r="J7" s="33">
        <f>$C$27*('E Balans VL '!D9+'E Balans VL '!E9)/100/3.6*1000000</f>
        <v>0</v>
      </c>
      <c r="K7" s="33"/>
      <c r="L7" s="33"/>
      <c r="M7" s="33"/>
      <c r="N7" s="33">
        <f>$C$27*'E Balans VL '!Y9/100/3.6*1000000</f>
        <v>0.19233839402711245</v>
      </c>
      <c r="O7" s="33"/>
      <c r="P7" s="33"/>
      <c r="R7" s="32"/>
    </row>
    <row r="8" spans="1:18">
      <c r="A8" s="6" t="s">
        <v>51</v>
      </c>
      <c r="B8" s="37">
        <f t="shared" si="0"/>
        <v>5634.0047419999992</v>
      </c>
      <c r="C8" s="33"/>
      <c r="D8" s="37">
        <f>IF(ISERROR(TER_handel_gas_kWh/1000),0,TER_handel_gas_kWh/1000)*0.903</f>
        <v>1248.605191806</v>
      </c>
      <c r="E8" s="33">
        <f>$C$28*'E Balans VL '!I13/100/3.6*1000000</f>
        <v>45.036062554342777</v>
      </c>
      <c r="F8" s="33">
        <f>$C$28*('E Balans VL '!L13+'E Balans VL '!N13)/100/3.6*1000000</f>
        <v>559.70334810081215</v>
      </c>
      <c r="G8" s="34"/>
      <c r="H8" s="33"/>
      <c r="I8" s="33"/>
      <c r="J8" s="33">
        <f>$C$28*('E Balans VL '!D13+'E Balans VL '!E13)/100/3.6*1000000</f>
        <v>0</v>
      </c>
      <c r="K8" s="33"/>
      <c r="L8" s="33"/>
      <c r="M8" s="33"/>
      <c r="N8" s="33">
        <f>$C$28*'E Balans VL '!Y13/100/3.6*1000000</f>
        <v>2.1046361294218636</v>
      </c>
      <c r="O8" s="33"/>
      <c r="P8" s="33"/>
      <c r="R8" s="32"/>
    </row>
    <row r="9" spans="1:18">
      <c r="A9" s="32" t="s">
        <v>50</v>
      </c>
      <c r="B9" s="37">
        <f t="shared" si="0"/>
        <v>368.04101899999995</v>
      </c>
      <c r="C9" s="33"/>
      <c r="D9" s="37">
        <f>IF(ISERROR(TER_gezond_gas_kWh/1000),0,TER_gezond_gas_kWh/1000)*0.903</f>
        <v>930.69249153299995</v>
      </c>
      <c r="E9" s="33">
        <f>$C$29*'E Balans VL '!I10/100/3.6*1000000</f>
        <v>0</v>
      </c>
      <c r="F9" s="33">
        <f>$C$29*('E Balans VL '!L10+'E Balans VL '!N10)/100/3.6*1000000</f>
        <v>33.552936366651721</v>
      </c>
      <c r="G9" s="34"/>
      <c r="H9" s="33"/>
      <c r="I9" s="33"/>
      <c r="J9" s="33">
        <f>$C$29*('E Balans VL '!D10+'E Balans VL '!E10)/100/3.6*1000000</f>
        <v>0</v>
      </c>
      <c r="K9" s="33"/>
      <c r="L9" s="33"/>
      <c r="M9" s="33"/>
      <c r="N9" s="33">
        <f>$C$29*'E Balans VL '!Y10/100/3.6*1000000</f>
        <v>2.6900500252343145</v>
      </c>
      <c r="O9" s="33"/>
      <c r="P9" s="33"/>
      <c r="R9" s="32"/>
    </row>
    <row r="10" spans="1:18">
      <c r="A10" s="32" t="s">
        <v>49</v>
      </c>
      <c r="B10" s="37">
        <f t="shared" si="0"/>
        <v>1064.8313579999999</v>
      </c>
      <c r="C10" s="33"/>
      <c r="D10" s="37">
        <f>IF(ISERROR(TER_ander_gas_kWh/1000),0,TER_ander_gas_kWh/1000)*0.903</f>
        <v>1632.999990237</v>
      </c>
      <c r="E10" s="33">
        <f>$C$30*'E Balans VL '!I14/100/3.6*1000000</f>
        <v>13.805011581413702</v>
      </c>
      <c r="F10" s="33">
        <f>$C$30*('E Balans VL '!L14+'E Balans VL '!N14)/100/3.6*1000000</f>
        <v>976.59986044734887</v>
      </c>
      <c r="G10" s="34"/>
      <c r="H10" s="33"/>
      <c r="I10" s="33"/>
      <c r="J10" s="33">
        <f>$C$30*('E Balans VL '!D14+'E Balans VL '!E14)/100/3.6*1000000</f>
        <v>1.0769887631068767E-2</v>
      </c>
      <c r="K10" s="33"/>
      <c r="L10" s="33"/>
      <c r="M10" s="33"/>
      <c r="N10" s="33">
        <f>$C$30*'E Balans VL '!Y14/100/3.6*1000000</f>
        <v>407.23893949252152</v>
      </c>
      <c r="O10" s="33"/>
      <c r="P10" s="33"/>
      <c r="R10" s="32"/>
    </row>
    <row r="11" spans="1:18">
      <c r="A11" s="32" t="s">
        <v>54</v>
      </c>
      <c r="B11" s="37">
        <f t="shared" si="0"/>
        <v>71.147576000000001</v>
      </c>
      <c r="C11" s="33"/>
      <c r="D11" s="37">
        <f>IF(ISERROR(TER_onderwijs_gas_kWh/1000),0,TER_onderwijs_gas_kWh/1000)*0.903</f>
        <v>343.98577508400007</v>
      </c>
      <c r="E11" s="33">
        <f>$C$31*'E Balans VL '!I11/100/3.6*1000000</f>
        <v>0</v>
      </c>
      <c r="F11" s="33">
        <f>$C$31*('E Balans VL '!L11+'E Balans VL '!N11)/100/3.6*1000000</f>
        <v>2.787751858197824</v>
      </c>
      <c r="G11" s="34"/>
      <c r="H11" s="33"/>
      <c r="I11" s="33"/>
      <c r="J11" s="33">
        <f>$C$31*('E Balans VL '!D11+'E Balans VL '!E11)/100/3.6*1000000</f>
        <v>0</v>
      </c>
      <c r="K11" s="33"/>
      <c r="L11" s="33"/>
      <c r="M11" s="33"/>
      <c r="N11" s="33">
        <f>$C$31*'E Balans VL '!Y11/100/3.6*1000000</f>
        <v>0.22406129545669348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28906.865749999994</v>
      </c>
      <c r="C16" s="21">
        <f t="shared" ca="1" si="1"/>
        <v>0</v>
      </c>
      <c r="D16" s="21">
        <f t="shared" ca="1" si="1"/>
        <v>11763.579846017999</v>
      </c>
      <c r="E16" s="21">
        <f t="shared" si="1"/>
        <v>63.862490107351704</v>
      </c>
      <c r="F16" s="21">
        <f t="shared" ca="1" si="1"/>
        <v>3459.7465349527761</v>
      </c>
      <c r="G16" s="21">
        <f t="shared" si="1"/>
        <v>0</v>
      </c>
      <c r="H16" s="21">
        <f t="shared" si="1"/>
        <v>0</v>
      </c>
      <c r="I16" s="21">
        <f t="shared" si="1"/>
        <v>0</v>
      </c>
      <c r="J16" s="21">
        <f t="shared" si="1"/>
        <v>1.0769887631068767E-2</v>
      </c>
      <c r="K16" s="21">
        <f t="shared" si="1"/>
        <v>0</v>
      </c>
      <c r="L16" s="21">
        <f t="shared" ca="1" si="1"/>
        <v>0</v>
      </c>
      <c r="M16" s="21">
        <f t="shared" si="1"/>
        <v>0</v>
      </c>
      <c r="N16" s="21">
        <f t="shared" ca="1" si="1"/>
        <v>440.61895195506122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2.9866920135265759E-2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863.35905071609898</v>
      </c>
      <c r="C20" s="23">
        <f t="shared" ref="C20:P20" ca="1" si="2">C16*C18</f>
        <v>0</v>
      </c>
      <c r="D20" s="23">
        <f t="shared" ca="1" si="2"/>
        <v>2376.2431288956359</v>
      </c>
      <c r="E20" s="23">
        <f t="shared" si="2"/>
        <v>14.496785254368838</v>
      </c>
      <c r="F20" s="23">
        <f t="shared" ca="1" si="2"/>
        <v>923.75232483239131</v>
      </c>
      <c r="G20" s="23">
        <f t="shared" si="2"/>
        <v>0</v>
      </c>
      <c r="H20" s="23">
        <f t="shared" si="2"/>
        <v>0</v>
      </c>
      <c r="I20" s="23">
        <f t="shared" si="2"/>
        <v>0</v>
      </c>
      <c r="J20" s="23">
        <f t="shared" si="2"/>
        <v>3.8125402213983433E-3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21074.431949999998</v>
      </c>
      <c r="C26" s="39">
        <f>IF(ISERROR(B26*3.6/1000000/'E Balans VL '!Z12*100),0,B26*3.6/1000000/'E Balans VL '!Z12*100)</f>
        <v>0.60462346943384015</v>
      </c>
      <c r="D26" s="233" t="s">
        <v>841</v>
      </c>
      <c r="F26" s="6"/>
    </row>
    <row r="27" spans="1:18" ht="30">
      <c r="A27" s="228" t="s">
        <v>52</v>
      </c>
      <c r="B27" s="33">
        <f>IF(ISERROR(TER_horeca_ele_kWh/1000),0,TER_horeca_ele_kWh/1000)</f>
        <v>694.40910499999995</v>
      </c>
      <c r="C27" s="39">
        <f>IF(ISERROR(B27*3.6/1000000/'E Balans VL '!Z9*100),0,B27*3.6/1000000/'E Balans VL '!Z9*100)</f>
        <v>5.0872656877816384E-2</v>
      </c>
      <c r="D27" s="233" t="s">
        <v>841</v>
      </c>
      <c r="F27" s="6"/>
    </row>
    <row r="28" spans="1:18" ht="30">
      <c r="A28" s="168" t="s">
        <v>51</v>
      </c>
      <c r="B28" s="33">
        <f>IF(ISERROR(TER_handel_ele_kWh/1000),0,TER_handel_ele_kWh/1000)</f>
        <v>5634.0047419999992</v>
      </c>
      <c r="C28" s="39">
        <f>IF(ISERROR(B28*3.6/1000000/'E Balans VL '!Z13*100),0,B28*3.6/1000000/'E Balans VL '!Z13*100)</f>
        <v>0.17409549853663059</v>
      </c>
      <c r="D28" s="233" t="s">
        <v>841</v>
      </c>
      <c r="F28" s="6"/>
    </row>
    <row r="29" spans="1:18" ht="30">
      <c r="A29" s="228" t="s">
        <v>50</v>
      </c>
      <c r="B29" s="33">
        <f>IF(ISERROR(TER_gezond_ele_kWh/1000),0,TER_gezond_ele_kWh/1000)</f>
        <v>368.04101899999995</v>
      </c>
      <c r="C29" s="39">
        <f>IF(ISERROR(B29*3.6/1000000/'E Balans VL '!Z10*100),0,B29*3.6/1000000/'E Balans VL '!Z10*100)</f>
        <v>3.6070282929663522E-2</v>
      </c>
      <c r="D29" s="233" t="s">
        <v>841</v>
      </c>
      <c r="F29" s="6"/>
    </row>
    <row r="30" spans="1:18" ht="30">
      <c r="A30" s="228" t="s">
        <v>49</v>
      </c>
      <c r="B30" s="33">
        <f>IF(ISERROR(TER_ander_ele_kWh/1000),0,TER_ander_ele_kWh/1000)</f>
        <v>1064.8313579999999</v>
      </c>
      <c r="C30" s="39">
        <f>IF(ISERROR(B30*3.6/1000000/'E Balans VL '!Z14*100),0,B30*3.6/1000000/'E Balans VL '!Z14*100)</f>
        <v>4.4108754803012011E-2</v>
      </c>
      <c r="D30" s="233" t="s">
        <v>841</v>
      </c>
      <c r="F30" s="6"/>
    </row>
    <row r="31" spans="1:18" ht="30">
      <c r="A31" s="228" t="s">
        <v>54</v>
      </c>
      <c r="B31" s="33">
        <f>IF(ISERROR(TER_onderwijs_ele_kWh/1000),0,TER_onderwijs_ele_kWh/1000)</f>
        <v>71.147576000000001</v>
      </c>
      <c r="C31" s="39">
        <f>IF(ISERROR(B31*3.6/1000000/'E Balans VL '!Z11*100),0,B31*3.6/1000000/'E Balans VL '!Z11*100)</f>
        <v>2.1861487032076871E-2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3517.1259009999999</v>
      </c>
      <c r="C5" s="17">
        <f>IF(ISERROR('Eigen informatie GS &amp; warmtenet'!B61),0,'Eigen informatie GS &amp; warmtenet'!B61)</f>
        <v>0</v>
      </c>
      <c r="D5" s="30">
        <f>SUM(D6:D15)</f>
        <v>10619.182383894002</v>
      </c>
      <c r="E5" s="17">
        <f>SUM(E6:E15)</f>
        <v>40.883316106758066</v>
      </c>
      <c r="F5" s="17">
        <f>SUM(F6:F15)</f>
        <v>869.08781359011687</v>
      </c>
      <c r="G5" s="18"/>
      <c r="H5" s="17"/>
      <c r="I5" s="17"/>
      <c r="J5" s="17">
        <f>SUM(J6:J15)</f>
        <v>78.416895601622201</v>
      </c>
      <c r="K5" s="17"/>
      <c r="L5" s="17"/>
      <c r="M5" s="17"/>
      <c r="N5" s="17">
        <f>SUM(N6:N15)</f>
        <v>1245.3326601176668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236.03049200000001</v>
      </c>
      <c r="C8" s="33"/>
      <c r="D8" s="37">
        <f>IF( ISERROR(IND_metaal_Gas_kWH/1000),0,IND_metaal_Gas_kWH/1000)*0.903</f>
        <v>60.549830627999995</v>
      </c>
      <c r="E8" s="33">
        <f>C30*'E Balans VL '!I18/100/3.6*1000000</f>
        <v>1.2866390226108526</v>
      </c>
      <c r="F8" s="33">
        <f>C30*'E Balans VL '!L18/100/3.6*1000000+C30*'E Balans VL '!N18/100/3.6*1000000</f>
        <v>15.200381713446625</v>
      </c>
      <c r="G8" s="34"/>
      <c r="H8" s="33"/>
      <c r="I8" s="33"/>
      <c r="J8" s="40">
        <f>C30*'E Balans VL '!D18/100/3.6*1000000+C30*'E Balans VL '!E18/100/3.6*1000000</f>
        <v>0.19333776357165655</v>
      </c>
      <c r="K8" s="33"/>
      <c r="L8" s="33"/>
      <c r="M8" s="33"/>
      <c r="N8" s="33">
        <f>C30*'E Balans VL '!Y18/100/3.6*1000000</f>
        <v>5.0992828114431772</v>
      </c>
      <c r="O8" s="33"/>
      <c r="P8" s="33"/>
      <c r="R8" s="32"/>
    </row>
    <row r="9" spans="1:18">
      <c r="A9" s="6" t="s">
        <v>32</v>
      </c>
      <c r="B9" s="37">
        <f t="shared" si="0"/>
        <v>793.876667</v>
      </c>
      <c r="C9" s="33"/>
      <c r="D9" s="37">
        <f>IF( ISERROR(IND_andere_gas_kWh/1000),0,IND_andere_gas_kWh/1000)*0.903</f>
        <v>736.65334661100007</v>
      </c>
      <c r="E9" s="33">
        <f>C31*'E Balans VL '!I19/100/3.6*1000000</f>
        <v>2.5627690787134982</v>
      </c>
      <c r="F9" s="33">
        <f>C31*'E Balans VL '!L19/100/3.6*1000000+C31*'E Balans VL '!N19/100/3.6*1000000</f>
        <v>513.32688486279494</v>
      </c>
      <c r="G9" s="34"/>
      <c r="H9" s="33"/>
      <c r="I9" s="33"/>
      <c r="J9" s="40">
        <f>C31*'E Balans VL '!D19/100/3.6*1000000+C31*'E Balans VL '!E19/100/3.6*1000000</f>
        <v>0</v>
      </c>
      <c r="K9" s="33"/>
      <c r="L9" s="33"/>
      <c r="M9" s="33"/>
      <c r="N9" s="33">
        <f>C31*'E Balans VL '!Y19/100/3.6*1000000</f>
        <v>32.079639105498103</v>
      </c>
      <c r="O9" s="33"/>
      <c r="P9" s="33"/>
      <c r="R9" s="32"/>
    </row>
    <row r="10" spans="1:18">
      <c r="A10" s="6" t="s">
        <v>40</v>
      </c>
      <c r="B10" s="37">
        <f t="shared" si="0"/>
        <v>275.17893500000002</v>
      </c>
      <c r="C10" s="33"/>
      <c r="D10" s="37">
        <f>IF( ISERROR(IND_voed_gas_kWh/1000),0,IND_voed_gas_kWh/1000)*0.903</f>
        <v>0</v>
      </c>
      <c r="E10" s="33">
        <f>C32*'E Balans VL '!I20/100/3.6*1000000</f>
        <v>0.57684248684105766</v>
      </c>
      <c r="F10" s="33">
        <f>C32*'E Balans VL '!L20/100/3.6*1000000+C32*'E Balans VL '!N20/100/3.6*1000000</f>
        <v>5.36143663839536</v>
      </c>
      <c r="G10" s="34"/>
      <c r="H10" s="33"/>
      <c r="I10" s="33"/>
      <c r="J10" s="40">
        <f>C32*'E Balans VL '!D20/100/3.6*1000000+C32*'E Balans VL '!E20/100/3.6*1000000</f>
        <v>0</v>
      </c>
      <c r="K10" s="33"/>
      <c r="L10" s="33"/>
      <c r="M10" s="33"/>
      <c r="N10" s="33">
        <f>C32*'E Balans VL '!Y20/100/3.6*1000000</f>
        <v>10.945855126481979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2183.8987649999999</v>
      </c>
      <c r="C12" s="33"/>
      <c r="D12" s="37">
        <f>IF( ISERROR(IND_min_gas_kWh/1000),0,IND_min_gas_kWh/1000)*0.903</f>
        <v>0</v>
      </c>
      <c r="E12" s="33">
        <f>C34*'E Balans VL '!I22/100/3.6*1000000</f>
        <v>35.739631890720879</v>
      </c>
      <c r="F12" s="33">
        <f>C34*'E Balans VL '!L22/100/3.6*1000000+C34*'E Balans VL '!N22/100/3.6*1000000</f>
        <v>333.33792092501079</v>
      </c>
      <c r="G12" s="34"/>
      <c r="H12" s="33"/>
      <c r="I12" s="33"/>
      <c r="J12" s="40">
        <f>C34*'E Balans VL '!D22/100/3.6*1000000+C34*'E Balans VL '!E22/100/3.6*1000000</f>
        <v>78.154236528288848</v>
      </c>
      <c r="K12" s="33"/>
      <c r="L12" s="33"/>
      <c r="M12" s="33"/>
      <c r="N12" s="33">
        <f>C34*'E Balans VL '!Y22/100/3.6*1000000</f>
        <v>1196.8228739892481</v>
      </c>
      <c r="O12" s="33"/>
      <c r="P12" s="33"/>
      <c r="R12" s="32"/>
    </row>
    <row r="13" spans="1:18">
      <c r="A13" s="6" t="s">
        <v>38</v>
      </c>
      <c r="B13" s="37">
        <f t="shared" si="0"/>
        <v>15.954813</v>
      </c>
      <c r="C13" s="33"/>
      <c r="D13" s="37">
        <f>IF( ISERROR(IND_papier_gas_kWh/1000),0,IND_papier_gas_kWh/1000)*0.903</f>
        <v>0</v>
      </c>
      <c r="E13" s="33">
        <f>C35*'E Balans VL '!I23/100/3.6*1000000</f>
        <v>0</v>
      </c>
      <c r="F13" s="33">
        <f>C35*'E Balans VL '!L23/100/3.6*1000000+C35*'E Balans VL '!N23/100/3.6*1000000</f>
        <v>2.1371975015330733E-3</v>
      </c>
      <c r="G13" s="34"/>
      <c r="H13" s="33"/>
      <c r="I13" s="33"/>
      <c r="J13" s="40">
        <f>C35*'E Balans VL '!D23/100/3.6*1000000+C35*'E Balans VL '!E23/100/3.6*1000000</f>
        <v>3.15596239861463E-3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12.186228999999999</v>
      </c>
      <c r="C15" s="33"/>
      <c r="D15" s="37">
        <f>IF( ISERROR(IND_rest_gas_kWh/1000),0,IND_rest_gas_kWh/1000)*0.903</f>
        <v>9821.9792066550017</v>
      </c>
      <c r="E15" s="33">
        <f>C37*'E Balans VL '!I15/100/3.6*1000000</f>
        <v>0.71743362787177622</v>
      </c>
      <c r="F15" s="33">
        <f>C37*'E Balans VL '!L15/100/3.6*1000000+C37*'E Balans VL '!N15/100/3.6*1000000</f>
        <v>1.8590522529675488</v>
      </c>
      <c r="G15" s="34"/>
      <c r="H15" s="33"/>
      <c r="I15" s="33"/>
      <c r="J15" s="40">
        <f>C37*'E Balans VL '!D15/100/3.6*1000000+C37*'E Balans VL '!E15/100/3.6*1000000</f>
        <v>6.6165347363079247E-2</v>
      </c>
      <c r="K15" s="33"/>
      <c r="L15" s="33"/>
      <c r="M15" s="33"/>
      <c r="N15" s="33">
        <f>C37*'E Balans VL '!Y15/100/3.6*1000000</f>
        <v>0.38500908499542025</v>
      </c>
      <c r="O15" s="33"/>
      <c r="P15" s="33"/>
      <c r="R15" s="32"/>
    </row>
    <row r="16" spans="1:18">
      <c r="A16" s="16" t="s">
        <v>473</v>
      </c>
      <c r="B16" s="243">
        <f>'lokale energieproductie'!N37+'lokale energieproductie'!N30</f>
        <v>44190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-110475</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47707.125900999999</v>
      </c>
      <c r="C18" s="21">
        <f>C5+C16</f>
        <v>0</v>
      </c>
      <c r="D18" s="21">
        <f>MAX((D5+D16),0)</f>
        <v>10619.182383894002</v>
      </c>
      <c r="E18" s="21">
        <f>MAX((E5+E16),0)</f>
        <v>40.883316106758066</v>
      </c>
      <c r="F18" s="21">
        <f>MAX((F5+F16),0)</f>
        <v>869.08781359011687</v>
      </c>
      <c r="G18" s="21"/>
      <c r="H18" s="21"/>
      <c r="I18" s="21"/>
      <c r="J18" s="21">
        <f>MAX((J5+J16),0)</f>
        <v>78.416895601622201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2.9866920135265759E-2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1424.8649191682355</v>
      </c>
      <c r="C22" s="23">
        <f ca="1">C18*C20</f>
        <v>0</v>
      </c>
      <c r="D22" s="23">
        <f>D18*D20</f>
        <v>2145.0748415465887</v>
      </c>
      <c r="E22" s="23">
        <f>E18*E20</f>
        <v>9.2805127562340815</v>
      </c>
      <c r="F22" s="23">
        <f>F18*F20</f>
        <v>232.04644622856122</v>
      </c>
      <c r="G22" s="23"/>
      <c r="H22" s="23"/>
      <c r="I22" s="23"/>
      <c r="J22" s="23">
        <f>J18*J20</f>
        <v>27.759581042974258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236.03049200000001</v>
      </c>
      <c r="C30" s="39">
        <f>IF(ISERROR(B30*3.6/1000000/'E Balans VL '!Z18*100),0,B30*3.6/1000000/'E Balans VL '!Z18*100)</f>
        <v>1.4213109023033811E-2</v>
      </c>
      <c r="D30" s="233" t="s">
        <v>841</v>
      </c>
    </row>
    <row r="31" spans="1:18" ht="30">
      <c r="A31" s="6" t="s">
        <v>32</v>
      </c>
      <c r="B31" s="37">
        <f>IF( ISERROR(IND_ander_ele_kWh/1000),0,IND_ander_ele_kWh/1000)</f>
        <v>793.876667</v>
      </c>
      <c r="C31" s="39">
        <f>IF(ISERROR(B31*3.6/1000000/'E Balans VL '!Z19*100),0,B31*3.6/1000000/'E Balans VL '!Z19*100)</f>
        <v>3.2344178927418366E-2</v>
      </c>
      <c r="D31" s="233" t="s">
        <v>841</v>
      </c>
    </row>
    <row r="32" spans="1:18" ht="30">
      <c r="A32" s="168" t="s">
        <v>40</v>
      </c>
      <c r="B32" s="37">
        <f>IF( ISERROR(IND_voed_ele_kWh/1000),0,IND_voed_ele_kWh/1000)</f>
        <v>275.17893500000002</v>
      </c>
      <c r="C32" s="39">
        <f>IF(ISERROR(B32*3.6/1000000/'E Balans VL '!Z20*100),0,B32*3.6/1000000/'E Balans VL '!Z20*100)</f>
        <v>7.9565304136326488E-3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2183.8987649999999</v>
      </c>
      <c r="C34" s="39">
        <f>IF(ISERROR(B34*3.6/1000000/'E Balans VL '!Z22*100),0,B34*3.6/1000000/'E Balans VL '!Z22*100)</f>
        <v>0.9325044793246704</v>
      </c>
      <c r="D34" s="233" t="s">
        <v>841</v>
      </c>
    </row>
    <row r="35" spans="1:5" ht="30">
      <c r="A35" s="168" t="s">
        <v>38</v>
      </c>
      <c r="B35" s="37">
        <f>IF( ISERROR(IND_papier_ele_kWh/1000),0,IND_papier_ele_kWh/1000)</f>
        <v>15.954813</v>
      </c>
      <c r="C35" s="39">
        <f>IF(ISERROR(B35*3.6/1000000/'E Balans VL '!Z22*100),0,B35*3.6/1000000/'E Balans VL '!Z22*100)</f>
        <v>6.8125568949105953E-3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12.186228999999999</v>
      </c>
      <c r="C37" s="39">
        <f>IF(ISERROR(B37*3.6/1000000/'E Balans VL '!Z15*100),0,B37*3.6/1000000/'E Balans VL '!Z15*100)</f>
        <v>1.0005817020271638E-4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170.39405499999998</v>
      </c>
      <c r="C5" s="17">
        <f>'Eigen informatie GS &amp; warmtenet'!B62</f>
        <v>0</v>
      </c>
      <c r="D5" s="30">
        <f>IF(ISERROR(SUM(LB_lb_gas_kWh,LB_rest_gas_kWh)/1000),0,SUM(LB_lb_gas_kWh,LB_rest_gas_kWh)/1000)*0.903</f>
        <v>14.190436407</v>
      </c>
      <c r="E5" s="17">
        <f>B17*'E Balans VL '!I25/3.6*1000000/100</f>
        <v>4.8803740947337664</v>
      </c>
      <c r="F5" s="17">
        <f>B17*('E Balans VL '!L25/3.6*1000000+'E Balans VL '!N25/3.6*1000000)/100</f>
        <v>539.37955889719842</v>
      </c>
      <c r="G5" s="18"/>
      <c r="H5" s="17"/>
      <c r="I5" s="17"/>
      <c r="J5" s="17">
        <f>('E Balans VL '!D25+'E Balans VL '!E25)/3.6*1000000*landbouw!B17/100</f>
        <v>43.325857405590952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170.39405499999998</v>
      </c>
      <c r="C8" s="21">
        <f>C5+C6</f>
        <v>0</v>
      </c>
      <c r="D8" s="21">
        <f>MAX((D5+D6),0)</f>
        <v>14.190436407</v>
      </c>
      <c r="E8" s="21">
        <f>MAX((E5+E6),0)</f>
        <v>4.8803740947337664</v>
      </c>
      <c r="F8" s="21">
        <f>MAX((F5+F6),0)</f>
        <v>539.37955889719842</v>
      </c>
      <c r="G8" s="21"/>
      <c r="H8" s="21"/>
      <c r="I8" s="21"/>
      <c r="J8" s="21">
        <f>MAX((J5+J6),0)</f>
        <v>43.325857405590952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2.9866920135265759E-2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5.0891456322090809</v>
      </c>
      <c r="C12" s="23">
        <f ca="1">C8*C10</f>
        <v>0</v>
      </c>
      <c r="D12" s="23">
        <f>D8*D10</f>
        <v>2.866468154214</v>
      </c>
      <c r="E12" s="23">
        <f>E8*E10</f>
        <v>1.107844919504565</v>
      </c>
      <c r="F12" s="23">
        <f>F8*F10</f>
        <v>144.01434222555199</v>
      </c>
      <c r="G12" s="23"/>
      <c r="H12" s="23"/>
      <c r="I12" s="23"/>
      <c r="J12" s="23">
        <f>J8*J10</f>
        <v>15.337353521579196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2.3595711143207042E-2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69.759670474162192</v>
      </c>
      <c r="C26" s="243">
        <f>B26*'GWP N2O_CH4'!B5</f>
        <v>1464.9530799574061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12.364084234539643</v>
      </c>
      <c r="C27" s="243">
        <f>B27*'GWP N2O_CH4'!B5</f>
        <v>259.6457689253325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0.99225374774345665</v>
      </c>
      <c r="C28" s="243">
        <f>B28*'GWP N2O_CH4'!B4</f>
        <v>307.59866180047158</v>
      </c>
      <c r="D28" s="50"/>
    </row>
    <row r="29" spans="1:4">
      <c r="A29" s="41" t="s">
        <v>272</v>
      </c>
      <c r="B29" s="243">
        <f>B34*'ha_N2O bodem landbouw'!B4</f>
        <v>5.8094673432134769</v>
      </c>
      <c r="C29" s="243">
        <f>B29*'GWP N2O_CH4'!B4</f>
        <v>1800.9348763961777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1.3198070067278168E-3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1.1531248474892849E-3</v>
      </c>
      <c r="C5" s="434" t="s">
        <v>210</v>
      </c>
      <c r="D5" s="419">
        <f>SUM(D6:D11)</f>
        <v>1.9070975797191756E-3</v>
      </c>
      <c r="E5" s="419">
        <f>SUM(E6:E11)</f>
        <v>8.1735625775730529E-4</v>
      </c>
      <c r="F5" s="432" t="s">
        <v>210</v>
      </c>
      <c r="G5" s="419">
        <f>SUM(G6:G11)</f>
        <v>0.3937355738381042</v>
      </c>
      <c r="H5" s="419">
        <f>SUM(H6:H11)</f>
        <v>9.5258513713995865E-2</v>
      </c>
      <c r="I5" s="434" t="s">
        <v>210</v>
      </c>
      <c r="J5" s="434" t="s">
        <v>210</v>
      </c>
      <c r="K5" s="434" t="s">
        <v>210</v>
      </c>
      <c r="L5" s="434" t="s">
        <v>210</v>
      </c>
      <c r="M5" s="419">
        <f>SUM(M6:M11)</f>
        <v>2.9360598534833804E-2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3.7010932053792788E-4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6.1707818772812782E-4</v>
      </c>
      <c r="E6" s="886">
        <f>vkm_GW_PW*SUMIFS(TableVerdeelsleutelVkm[LPG],TableVerdeelsleutelVkm[Voertuigtype],"Lichte voertuigen")*SUMIFS(TableECFTransport[EnergieConsumptieFactor (PJ per km)],TableECFTransport[Index],CONCATENATE($A6,"_LPG_LPG"))</f>
        <v>2.4464640351887354E-4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7.3522389882781009E-2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3.0262594364903778E-2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6.3669027124633008E-3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5.3221996873336586E-7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2.1097535024548843E-2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1.5566927083093058E-7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1.2113847821356835E-3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2.1490440076406283E-4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4.9072414600306305E-4</v>
      </c>
      <c r="E8" s="422">
        <f>vkm_NGW_PW*SUMIFS(TableVerdeelsleutelVkm[LPG],TableVerdeelsleutelVkm[Voertuigtype],"Lichte voertuigen")*SUMIFS(TableECFTransport[EnergieConsumptieFactor (PJ per km)],TableECFTransport[Index],CONCATENATE($A8,"_LPG_LPG"))</f>
        <v>1.8628141223142749E-4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5.1279562344869335E-2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2.3841261779118026E-2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4.6345404732245649E-3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1.8546420117017648E-7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9.4675425313600729E-3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6.5476923513423035E-8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5.4360997067079073E-4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5.6382795094397995E-4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7.9929524598798475E-4</v>
      </c>
      <c r="E10" s="422">
        <f>vkm_SW_PW*SUMIFS(TableVerdeelsleutelVkm[LPG],TableVerdeelsleutelVkm[Voertuigtype],"Lichte voertuigen")*SUMIFS(TableECFTransport[EnergieConsumptieFactor (PJ per km)],TableECFTransport[Index],CONCATENATE($A10,"_LPG_LPG"))</f>
        <v>3.8642844200700432E-4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0.1053585505518229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4.1153363023957883E-2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8.9669451878416732E-3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3.5654910734105011E-6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0.13300999350272211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1.0733998218261617E-6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7.6372154084977896E-3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320.31245763591244</v>
      </c>
      <c r="C14" s="21"/>
      <c r="D14" s="21">
        <f t="shared" ref="D14:M14" si="0">((D5)*10^9/3600)+D12</f>
        <v>529.74932769977102</v>
      </c>
      <c r="E14" s="21">
        <f t="shared" si="0"/>
        <v>227.04340493258479</v>
      </c>
      <c r="F14" s="21"/>
      <c r="G14" s="21">
        <f t="shared" si="0"/>
        <v>109370.99273280671</v>
      </c>
      <c r="H14" s="21">
        <f t="shared" si="0"/>
        <v>26460.698253887738</v>
      </c>
      <c r="I14" s="21"/>
      <c r="J14" s="21"/>
      <c r="K14" s="21"/>
      <c r="L14" s="21"/>
      <c r="M14" s="21">
        <f t="shared" si="0"/>
        <v>8155.7218152316118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2.9866920135265759E-2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9.5667465905424933</v>
      </c>
      <c r="C18" s="23"/>
      <c r="D18" s="23">
        <f t="shared" ref="D18:M18" si="1">D14*D16</f>
        <v>107.00936419535375</v>
      </c>
      <c r="E18" s="23">
        <f t="shared" si="1"/>
        <v>51.538852919696751</v>
      </c>
      <c r="F18" s="23"/>
      <c r="G18" s="23">
        <f t="shared" si="1"/>
        <v>29202.055059659393</v>
      </c>
      <c r="H18" s="23">
        <f t="shared" si="1"/>
        <v>6588.7138652180465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6.3236236126512998E-5</v>
      </c>
      <c r="C50" s="315">
        <f t="shared" ref="C50:P50" si="2">SUM(C51:C52)</f>
        <v>0</v>
      </c>
      <c r="D50" s="315">
        <f t="shared" si="2"/>
        <v>0</v>
      </c>
      <c r="E50" s="315">
        <f t="shared" si="2"/>
        <v>0</v>
      </c>
      <c r="F50" s="315">
        <f t="shared" si="2"/>
        <v>0</v>
      </c>
      <c r="G50" s="315">
        <f t="shared" si="2"/>
        <v>3.958779558050826E-3</v>
      </c>
      <c r="H50" s="315">
        <f t="shared" si="2"/>
        <v>0</v>
      </c>
      <c r="I50" s="315">
        <f t="shared" si="2"/>
        <v>0</v>
      </c>
      <c r="J50" s="315">
        <f t="shared" si="2"/>
        <v>0</v>
      </c>
      <c r="K50" s="315">
        <f t="shared" si="2"/>
        <v>0</v>
      </c>
      <c r="L50" s="315">
        <f t="shared" si="2"/>
        <v>0</v>
      </c>
      <c r="M50" s="315">
        <f t="shared" si="2"/>
        <v>2.2730435656356121E-4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6.3236236126512998E-5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3.958779558050826E-3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2.2730435656356121E-4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17.565621146253608</v>
      </c>
      <c r="C54" s="21">
        <f t="shared" ref="C54:P54" si="3">(C50)*10^9/3600</f>
        <v>0</v>
      </c>
      <c r="D54" s="21">
        <f t="shared" si="3"/>
        <v>0</v>
      </c>
      <c r="E54" s="21">
        <f t="shared" si="3"/>
        <v>0</v>
      </c>
      <c r="F54" s="21">
        <f t="shared" si="3"/>
        <v>0</v>
      </c>
      <c r="G54" s="21">
        <f t="shared" si="3"/>
        <v>1099.6609883474516</v>
      </c>
      <c r="H54" s="21">
        <f t="shared" si="3"/>
        <v>0</v>
      </c>
      <c r="I54" s="21">
        <f t="shared" si="3"/>
        <v>0</v>
      </c>
      <c r="J54" s="21">
        <f t="shared" si="3"/>
        <v>0</v>
      </c>
      <c r="K54" s="21">
        <f t="shared" si="3"/>
        <v>0</v>
      </c>
      <c r="L54" s="21">
        <f t="shared" si="3"/>
        <v>0</v>
      </c>
      <c r="M54" s="21">
        <f t="shared" si="3"/>
        <v>63.140099045433672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2.9866920135265759E-2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0.52463100390149187</v>
      </c>
      <c r="C58" s="23">
        <f t="shared" ref="C58:P58" ca="1" si="4">C54*C56</f>
        <v>0</v>
      </c>
      <c r="D58" s="23">
        <f t="shared" si="4"/>
        <v>0</v>
      </c>
      <c r="E58" s="23">
        <f t="shared" si="4"/>
        <v>0</v>
      </c>
      <c r="F58" s="23">
        <f t="shared" si="4"/>
        <v>0</v>
      </c>
      <c r="G58" s="23">
        <f t="shared" si="4"/>
        <v>293.6094838887696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30049.723594331528</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1026.7241364055301</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7731.6696604340705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44190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82998.117391171138</v>
      </c>
      <c r="C10" s="560">
        <f t="shared" ref="C10:L10" si="0">SUM(C8:C9)</f>
        <v>0</v>
      </c>
      <c r="D10" s="560">
        <f t="shared" si="0"/>
        <v>0</v>
      </c>
      <c r="E10" s="560">
        <f t="shared" si="0"/>
        <v>0</v>
      </c>
      <c r="F10" s="560">
        <f t="shared" si="0"/>
        <v>0</v>
      </c>
      <c r="G10" s="560">
        <f t="shared" si="0"/>
        <v>0</v>
      </c>
      <c r="H10" s="560">
        <f t="shared" si="0"/>
        <v>0</v>
      </c>
      <c r="I10" s="560">
        <f t="shared" si="0"/>
        <v>0</v>
      </c>
      <c r="J10" s="560">
        <f t="shared" si="0"/>
        <v>110475</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38.25">
      <c r="A35" s="591"/>
      <c r="B35" s="787">
        <v>71069</v>
      </c>
      <c r="C35" s="787">
        <v>3945</v>
      </c>
      <c r="D35" s="639" t="s">
        <v>874</v>
      </c>
      <c r="E35" s="639" t="s">
        <v>875</v>
      </c>
      <c r="F35" s="639" t="s">
        <v>876</v>
      </c>
      <c r="G35" s="639" t="s">
        <v>877</v>
      </c>
      <c r="H35" s="639" t="s">
        <v>878</v>
      </c>
      <c r="I35" s="639" t="s">
        <v>879</v>
      </c>
      <c r="J35" s="786">
        <v>40742</v>
      </c>
      <c r="K35" s="786">
        <v>40774</v>
      </c>
      <c r="L35" s="639" t="s">
        <v>880</v>
      </c>
      <c r="M35" s="639">
        <v>9820</v>
      </c>
      <c r="N35" s="639">
        <v>44190</v>
      </c>
      <c r="O35" s="639">
        <v>0</v>
      </c>
      <c r="P35" s="639">
        <v>0</v>
      </c>
      <c r="Q35" s="639">
        <v>0</v>
      </c>
      <c r="R35" s="639">
        <v>0</v>
      </c>
      <c r="S35" s="639">
        <v>0</v>
      </c>
      <c r="T35" s="639">
        <v>0</v>
      </c>
      <c r="U35" s="639">
        <v>0</v>
      </c>
      <c r="V35" s="639">
        <v>110475</v>
      </c>
      <c r="W35" s="639">
        <v>0</v>
      </c>
      <c r="X35" s="639">
        <v>1600</v>
      </c>
      <c r="Y35" s="639" t="s">
        <v>32</v>
      </c>
      <c r="Z35" s="640" t="s">
        <v>379</v>
      </c>
    </row>
    <row r="36" spans="1:27" s="570" customFormat="1">
      <c r="A36" s="592" t="s">
        <v>275</v>
      </c>
      <c r="B36" s="593"/>
      <c r="C36" s="593"/>
      <c r="D36" s="593"/>
      <c r="E36" s="593"/>
      <c r="F36" s="593"/>
      <c r="G36" s="593"/>
      <c r="H36" s="593"/>
      <c r="I36" s="593"/>
      <c r="J36" s="593"/>
      <c r="K36" s="593"/>
      <c r="L36" s="594"/>
      <c r="M36" s="594">
        <f>SUM(M35:M35)</f>
        <v>9820</v>
      </c>
      <c r="N36" s="594">
        <f>SUM(N35:N35)</f>
        <v>44190</v>
      </c>
      <c r="O36" s="594">
        <f>SUM(O35:O35)</f>
        <v>0</v>
      </c>
      <c r="P36" s="594">
        <f>SUM(P35:P35)</f>
        <v>0</v>
      </c>
      <c r="Q36" s="594">
        <f>SUM(Q35:Q35)</f>
        <v>0</v>
      </c>
      <c r="R36" s="594">
        <f>SUM(R35:R35)</f>
        <v>0</v>
      </c>
      <c r="S36" s="594">
        <f>SUM(S35:S35)</f>
        <v>0</v>
      </c>
      <c r="T36" s="594">
        <f>SUM(T35:T35)</f>
        <v>0</v>
      </c>
      <c r="U36" s="594">
        <f>SUM(U35:U35)</f>
        <v>0</v>
      </c>
      <c r="V36" s="594">
        <f>SUM(V35:V35)</f>
        <v>110475</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9820</v>
      </c>
      <c r="N37" s="594">
        <f>SUMIF($Z$35:$Z$35,"industrie",N35:N35)</f>
        <v>44190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110475</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2021-06-29T14:21:52Z</dcterms:modified>
</cp:coreProperties>
</file>