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2" i="13"/>
  <c r="B33"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8" i="15"/>
  <c r="C20" i="15" s="1"/>
  <c r="D40" i="14" s="1"/>
  <c r="C10" i="13"/>
  <c r="C12" i="13" s="1"/>
  <c r="D41" i="14" s="1"/>
  <c r="D46" i="14" s="1"/>
  <c r="D61" i="14" s="1"/>
  <c r="D63" i="14" s="1"/>
  <c r="C29" i="20"/>
  <c r="C22" i="59"/>
  <c r="C17" i="19"/>
  <c r="C19" i="19" s="1"/>
  <c r="D39" i="14" s="1"/>
  <c r="C10" i="17"/>
  <c r="C12" i="17" s="1"/>
  <c r="D54" i="14" s="1"/>
  <c r="D56" i="14" s="1"/>
  <c r="C17" i="4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<sst xmlns="http://schemas.openxmlformats.org/spreadsheetml/2006/main" count="2438" uniqueCount="880">
  <si>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</si>
  <si>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</si>
  <si>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</si>
  <si>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</si>
  <si>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</si>
  <si>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</si>
  <si>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</si>
  <si>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</si>
  <si>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</si>
  <si>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</si>
  <si>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</si>
  <si>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</si>
  <si>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</si>
  <si>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</si>
  <si>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</si>
  <si>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</si>
  <si>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</si>
  <si>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</si>
  <si>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</si>
  <si>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</si>
  <si>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</si>
  <si>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</si>
  <si>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</si>
  <si>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</si>
  <si>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</si>
  <si>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</si>
  <si>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</si>
  <si>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</si>
  <si>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</si>
  <si>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</si>
  <si>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</si>
  <si>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</si>
  <si>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</si>
  <si>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</si>
  <si>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</si>
  <si>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</si>
  <si>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</si>
  <si>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</si>
  <si>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</si>
  <si>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</si>
  <si>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</si>
  <si>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</si>
  <si>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</si>
  <si>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</si>
  <si>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</si>
  <si>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</si>
  <si>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</si>
  <si>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</si>
  <si>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</si>
  <si>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</si>
  <si>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</si>
  <si>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</si>
  <si>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</si>
  <si>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</si>
  <si>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</si>
  <si>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</si>
  <si>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</si>
  <si>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</si>
  <si>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</si>
  <si>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</si>
  <si>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</si>
  <si>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</si>
  <si>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</si>
  <si>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</si>
  <si>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</si>
  <si>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</si>
  <si>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</si>
  <si>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</si>
  <si>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</si>
  <si>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</si>
  <si>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</si>
  <si>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</si>
  <si>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</si>
  <si>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</si>
  <si>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</si>
  <si>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</si>
  <si>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</si>
  <si>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</si>
  <si>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</si>
  <si>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</si>
  <si>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</si>
  <si>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</si>
  <si>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</si>
  <si>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</si>
  <si>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</si>
  <si>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</si>
  <si>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</si>
  <si>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</si>
  <si>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</si>
  <si>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</si>
  <si>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</si>
  <si>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</si>
  <si>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</si>
  <si>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</si>
  <si>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</si>
  <si>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</si>
  <si>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</si>
  <si>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</si>
  <si>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</si>
  <si>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</si>
  <si>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</si>
  <si>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</si>
  <si>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</si>
  <si>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</si>
  <si>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</si>
  <si>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</si>
  <si>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</si>
  <si>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</si>
  <si>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</si>
  <si>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</si>
  <si>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</si>
  <si>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</si>
  <si>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</si>
  <si>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</si>
  <si>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</si>
  <si>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</si>
  <si>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</si>
  <si>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</si>
  <si>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</si>
  <si>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</si>
  <si>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</si>
  <si>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</si>
  <si>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</si>
  <si>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</si>
  <si>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</si>
  <si>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</si>
  <si>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</si>
  <si>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</si>
  <si>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</si>
  <si>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</si>
  <si>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</si>
  <si>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</si>
  <si>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</si>
  <si>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</si>
  <si>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</si>
  <si>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</si>
  <si>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</si>
  <si>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</si>
  <si>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</si>
  <si>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</si>
  <si>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</si>
  <si>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</si>
  <si>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</si>
  <si>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</si>
  <si>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</si>
  <si>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</si>
  <si>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</si>
  <si>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</si>
  <si>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</si>
  <si>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</si>
  <si>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</si>
  <si>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</si>
  <si>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</si>
  <si>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</si>
  <si>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</si>
  <si>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</si>
  <si>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</si>
  <si>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</si>
  <si>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</si>
  <si>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</si>
  <si>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</si>
  <si>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</si>
  <si>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</si>
  <si>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</si>
  <si>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</si>
  <si>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</si>
  <si>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</si>
  <si>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</si>
  <si>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</si>
  <si>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</si>
  <si>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</si>
  <si>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</si>
  <si>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</si>
  <si>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</si>
  <si>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</si>
  <si>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</si>
  <si>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</si>
  <si>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</si>
  <si>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</si>
  <si>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</si>
  <si>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</si>
  <si>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</si>
  <si>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</si>
  <si>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</si>
  <si>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</si>
  <si>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</si>
  <si>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</si>
  <si>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</si>
  <si>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</si>
  <si>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</si>
  <si>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</si>
  <si>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</si>
  <si>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</si>
  <si>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</si>
  <si>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</si>
  <si>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</si>
  <si>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</si>
  <si>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</si>
  <si>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</si>
  <si>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</si>
  <si>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</si>
  <si>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</si>
  <si>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</si>
  <si>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</si>
  <si>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</si>
  <si>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</si>
  <si>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</si>
  <si>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</si>
  <si>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</si>
  <si>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</si>
  <si>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</si>
  <si>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</si>
  <si>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</si>
  <si>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</si>
  <si>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</si>
  <si>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</si>
  <si>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</si>
  <si>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</si>
  <si>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</si>
  <si>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</si>
  <si>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</si>
  <si>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</si>
  <si>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</si>
  <si>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</si>
  <si>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</si>
  <si>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</si>
  <si>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</si>
  <si>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</si>
  <si>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</si>
  <si>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</si>
  <si>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</si>
  <si>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</si>
  <si>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</si>
  <si>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</si>
  <si>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</si>
  <si>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</si>
  <si>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</si>
  <si>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</si>
  <si>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</si>
  <si>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</si>
  <si>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</si>
  <si>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</si>
  <si>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</si>
  <si>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</si>
  <si>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</si>
  <si>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</si>
  <si>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</si>
  <si>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</si>
  <si>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</si>
  <si>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</si>
  <si>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</si>
  <si>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</si>
  <si>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</si>
  <si>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</si>
  <si>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</si>
  <si>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</si>
  <si>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</si>
  <si>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</si>
  <si>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</si>
  <si>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</si>
  <si>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</si>
  <si>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</si>
  <si>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</si>
  <si>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</si>
  <si>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</si>
  <si>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</si>
  <si>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</si>
  <si>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</si>
  <si>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</si>
  <si>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</si>
  <si>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</si>
  <si>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</si>
  <si>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</si>
  <si>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</si>
  <si>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</si>
  <si>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</si>
  <si>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</si>
  <si>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</si>
  <si>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</si>
  <si>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</si>
  <si>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</si>
  <si>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</si>
  <si>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</si>
  <si>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</si>
  <si>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</si>
  <si>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</si>
  <si>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</si>
  <si>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</si>
  <si>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</si>
  <si>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</si>
  <si>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</si>
  <si>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</si>
  <si>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</si>
  <si>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</si>
  <si>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</si>
  <si>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</si>
  <si>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</si>
  <si>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</si>
  <si>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</si>
  <si>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</si>
  <si>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</si>
  <si>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</si>
  <si>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</si>
  <si>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</si>
  <si>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</si>
  <si>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</si>
  <si>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</si>
  <si>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</si>
  <si>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</si>
  <si>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</si>
  <si>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</si>
  <si>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</si>
  <si>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</si>
  <si>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</si>
  <si>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</si>
  <si>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</si>
  <si>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</si>
  <si>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</si>
  <si>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</si>
  <si>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</si>
  <si>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</si>
  <si>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</si>
  <si>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</si>
  <si>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</si>
  <si>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</si>
  <si>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</si>
  <si>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</si>
  <si>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</si>
  <si>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</si>
  <si>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</si>
  <si>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</si>
  <si>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</si>
  <si>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</si>
  <si>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</si>
  <si>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</si>
  <si>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</si>
  <si>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</si>
  <si>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</si>
  <si>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</si>
  <si>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</si>
  <si>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</si>
  <si>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</si>
  <si>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</si>
  <si>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</si>
  <si>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</si>
  <si>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</si>
  <si>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</si>
  <si>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</si>
  <si>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</si>
  <si>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</si>
  <si>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</si>
  <si>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</si>
  <si>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</si>
  <si>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</si>
  <si>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</si>
  <si>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</si>
  <si>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</si>
  <si>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</si>
  <si>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</si>
  <si>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</si>
  <si>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</si>
  <si>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</si>
  <si>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</si>
  <si>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</si>
  <si>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</si>
  <si>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</si>
  <si>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</si>
  <si>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</si>
  <si>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</si>
  <si>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</si>
  <si>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</si>
  <si>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</si>
  <si>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</si>
  <si>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</si>
  <si>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</si>
  <si>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</si>
  <si>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</si>
  <si>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</si>
  <si>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</si>
  <si>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</si>
  <si>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</si>
  <si>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</si>
  <si>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</si>
  <si>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</si>
  <si>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</si>
  <si>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</si>
  <si>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</si>
  <si>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</si>
  <si>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</si>
  <si>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</si>
  <si>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</si>
  <si>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</si>
  <si>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</si>
  <si>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</si>
  <si>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</si>
  <si>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</si>
  <si>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</si>
  <si>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</si>
  <si>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</si>
  <si>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</si>
  <si>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</si>
  <si>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</si>
  <si>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</si>
  <si>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</si>
  <si>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</si>
  <si>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</si>
  <si>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</si>
  <si>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</si>
  <si>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</si>
  <si>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</si>
  <si>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</si>
  <si>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</si>
  <si>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</si>
  <si>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</si>
  <si>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</si>
  <si>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</si>
  <si>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</si>
  <si>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</si>
  <si>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</si>
  <si>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</si>
  <si>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</si>
  <si>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</si>
  <si>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</si>
  <si>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</si>
  <si>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</si>
  <si>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</si>
  <si>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</si>
  <si>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</si>
  <si>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</si>
  <si>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</si>
  <si>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</si>
  <si>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</si>
  <si>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</si>
  <si>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</si>
  <si>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</si>
  <si>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</si>
  <si>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</si>
  <si>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</si>
  <si>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</si>
  <si>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</si>
  <si>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</si>
  <si>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</si>
  <si>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</si>
  <si>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</si>
  <si>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</si>
  <si>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</si>
  <si>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</si>
  <si>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</si>
  <si>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</si>
  <si>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</si>
  <si>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</si>
  <si>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</si>
  <si>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</si>
  <si>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</si>
  <si>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</si>
  <si>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</si>
  <si>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</si>
  <si>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</si>
  <si>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</si>
  <si>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</si>
  <si>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</si>
  <si>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</si>
  <si>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</si>
  <si>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</si>
  <si>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</si>
  <si>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</si>
  <si>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</si>
  <si>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</si>
  <si>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</si>
  <si>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</si>
  <si>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</si>
  <si>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</si>
  <si>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</si>
  <si>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</si>
  <si>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</si>
  <si>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</si>
  <si>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</si>
  <si>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</si>
  <si>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</si>
  <si>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</si>
  <si>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</si>
  <si>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</si>
  <si>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</si>
  <si>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</si>
  <si>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</si>
  <si>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</si>
  <si>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</si>
  <si>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</si>
  <si>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</si>
  <si>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</si>
  <si>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</si>
  <si>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</si>
  <si>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</si>
  <si>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</si>
  <si>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</si>
  <si>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</si>
  <si>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</si>
  <si>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</si>
  <si>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</si>
  <si>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</si>
  <si>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</si>
  <si>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</si>
  <si>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</si>
  <si>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</si>
  <si>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</si>
  <si>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</si>
  <si>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</si>
  <si>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</si>
  <si>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</si>
  <si>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</si>
  <si>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</si>
  <si>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</si>
  <si>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</si>
  <si>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</si>
  <si>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</si>
  <si>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</si>
  <si>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</si>
  <si>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</si>
  <si>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</si>
  <si>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</si>
  <si>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</si>
  <si>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</si>
  <si>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</si>
  <si>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</si>
  <si>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</si>
  <si>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</si>
  <si>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</si>
  <si>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</si>
  <si>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</si>
  <si>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</si>
  <si>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</si>
  <si>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</si>
  <si>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</si>
  <si>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</si>
  <si>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</si>
  <si>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</si>
  <si>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</si>
  <si>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</si>
  <si>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</si>
  <si>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</si>
  <si>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</si>
  <si>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</si>
  <si>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</si>
  <si>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</si>
  <si>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</si>
  <si>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</si>
  <si>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</si>
  <si>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</si>
  <si>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</si>
  <si>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</si>
  <si>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</si>
  <si>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</si>
  <si>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</si>
  <si>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</si>
  <si>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</si>
  <si>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</si>
  <si>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</si>
  <si>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</si>
  <si>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</si>
  <si>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</si>
  <si>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</si>
  <si>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</si>
  <si>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</si>
  <si>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</si>
  <si>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</si>
  <si>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</si>
  <si>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</si>
  <si>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</si>
  <si>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</si>
  <si>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</si>
  <si>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</si>
  <si>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</si>
  <si>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</si>
  <si>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</si>
  <si>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</si>
  <si>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</si>
  <si>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</si>
  <si>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</si>
  <si>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</si>
  <si>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</si>
  <si>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</si>
  <si>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</si>
  <si>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</si>
  <si>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</si>
  <si>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</si>
  <si>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</si>
  <si>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</si>
  <si>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</si>
  <si>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</si>
  <si>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</si>
  <si>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</si>
  <si>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</si>
  <si>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</si>
  <si>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</si>
  <si>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</si>
  <si>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</si>
  <si>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</si>
  <si>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</si>
  <si>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</si>
  <si>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</si>
  <si>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</si>
  <si>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</si>
  <si>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</si>
  <si>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</si>
  <si>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</si>
  <si>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</si>
  <si>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</si>
  <si>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</si>
  <si>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</si>
  <si>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</si>
  <si>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</si>
  <si>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</si>
  <si>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</si>
  <si>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</si>
  <si>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</si>
  <si>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</si>
  <si>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</si>
  <si>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</si>
  <si>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</si>
  <si>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</si>
  <si>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</si>
  <si>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</si>
  <si>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</si>
  <si>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</si>
  <si>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</si>
  <si>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</si>
  <si>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</si>
  <si>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</si>
  <si>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</si>
  <si>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</si>
  <si>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</si>
  <si>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</si>
  <si>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</si>
  <si>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</si>
  <si>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</si>
  <si>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</si>
  <si>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</si>
  <si>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</si>
  <si>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</si>
  <si>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</si>
  <si>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</si>
  <si>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</si>
  <si>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</si>
  <si>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</si>
  <si>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</si>
  <si>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</si>
  <si>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</si>
  <si>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</si>
  <si>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</si>
  <si>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</si>
  <si>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</si>
  <si>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</si>
  <si>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</si>
  <si>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</si>
  <si>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</si>
  <si>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</si>
  <si>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</si>
  <si>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</si>
  <si>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</si>
  <si>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</si>
  <si>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</si>
  <si>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</si>
  <si>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</si>
  <si>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</si>
  <si>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</si>
  <si>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</si>
  <si>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</si>
  <si>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</si>
  <si>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</si>
  <si>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</si>
  <si>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</si>
  <si>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</si>
  <si>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</si>
  <si>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</si>
  <si>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</si>
  <si>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</si>
  <si>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</si>
  <si>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</si>
  <si>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</si>
  <si>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</si>
  <si>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</si>
  <si>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</si>
  <si>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</si>
  <si>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</si>
  <si>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</si>
  <si>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</si>
  <si>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</si>
  <si>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</si>
  <si>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</si>
  <si>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</si>
  <si>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</si>
  <si>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</si>
  <si>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</si>
  <si>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</si>
  <si>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</si>
  <si>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</si>
  <si>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</si>
  <si>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</si>
  <si>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</si>
  <si>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</si>
  <si>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</si>
  <si>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</si>
  <si>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</si>
  <si>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</si>
  <si>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</si>
  <si>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</si>
  <si>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</si>
  <si>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</si>
  <si>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</si>
  <si>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</si>
  <si>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</si>
  <si>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</si>
  <si>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</si>
  <si>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</si>
  <si>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</si>
  <si>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</si>
  <si>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</si>
  <si>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</si>
  <si>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</si>
  <si>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</si>
  <si>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</si>
  <si>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</si>
  <si>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</si>
  <si>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</si>
  <si>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</si>
  <si>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</si>
  <si>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</si>
  <si>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</si>
  <si>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</si>
  <si>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</si>
  <si>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</si>
  <si>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</si>
  <si>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</si>
  <si>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</si>
  <si>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</si>
  <si>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</si>
  <si>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</si>
  <si>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</si>
  <si>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</si>
  <si>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</si>
  <si>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</si>
  <si>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</si>
  <si>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</si>
  <si>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</si>
  <si>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</si>
  <si>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</si>
  <si>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</si>
  <si>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</si>
  <si>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</si>
  <si>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</si>
  <si>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</si>
  <si>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</si>
  <si>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</si>
  <si>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</si>
  <si>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</si>
  <si>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</si>
  <si>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</si>
  <si>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</si>
  <si>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</si>
  <si>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</si>
  <si>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</si>
  <si>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</si>
  <si>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</si>
  <si>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</si>
  <si>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</si>
  <si>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</si>
  <si>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</si>
  <si>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</si>
  <si>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</si>
  <si>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</si>
  <si>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</si>
  <si>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</si>
  <si>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</si>
  <si>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</si>
  <si>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</si>
  <si>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</si>
  <si>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</si>
  <si>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</si>
  <si>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</si>
  <si>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</si>
  <si>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</si>
  <si>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</si>
  <si>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</si>
  <si>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</si>
  <si>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</si>
  <si>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</si>
  <si>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</si>
  <si>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</si>
  <si>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</si>
  <si>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</si>
  <si>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</si>
  <si>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</si>
  <si>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</si>
  <si>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</si>
  <si>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</si>
  <si>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</si>
  <si>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</si>
  <si>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</si>
  <si>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</si>
  <si>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</si>
  <si>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</si>
  <si>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</si>
  <si>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</si>
  <si>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</si>
  <si>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</si>
  <si>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</si>
  <si>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</si>
  <si>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</si>
  <si>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</si>
  <si>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</si>
  <si>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</si>
  <si>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</si>
  <si>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</si>
  <si>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</si>
  <si>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</si>
  <si>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</si>
  <si>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</si>
  <si>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</si>
  <si>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</si>
  <si>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</si>
  <si>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</si>
  <si>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</si>
  <si>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</si>
  <si>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</si>
  <si>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</si>
  <si>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</si>
  <si>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</si>
  <si>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</si>
  <si>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</si>
  <si>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</si>
  <si>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</si>
  <si>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</si>
  <si>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</si>
  <si>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</si>
  <si>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</si>
  <si>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</si>
  <si>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</si>
  <si>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</si>
  <si>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</si>
  <si>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</si>
  <si>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</si>
  <si>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</si>
  <si>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</si>
  <si>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</si>
  <si>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</si>
  <si>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</si>
  <si>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</si>
  <si>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</si>
  <si>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</si>
  <si>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</si>
  <si>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</si>
  <si>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</si>
  <si>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</si>
  <si>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</si>
  <si>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</si>
  <si>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</si>
  <si>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</si>
  <si>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</si>
  <si>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</si>
  <si>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</si>
  <si>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</si>
  <si>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</si>
  <si>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</si>
  <si>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</si>
  <si>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</si>
  <si>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</si>
  <si>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</si>
  <si>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</si>
  <si>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</si>
  <si>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</si>
  <si>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71037</t>
  </si>
  <si>
    <t>LUMMEN</t>
  </si>
  <si>
    <t>referentietaak LNE (2017); Jaarverslag De Lijn</t>
  </si>
  <si>
    <t>waterkracht</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</si>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</sst>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123732.42241123773</c:v>
                </c:pt>
                <c:pt idx="1">
                  <c:v>46649.845143039805</c:v>
                </c:pt>
                <c:pt idx="2">
                  <c:v>1184.8506850000001</c:v>
                </c:pt>
                <c:pt idx="3">
                  <c:v>6801.2144701405423</c:v>
                </c:pt>
                <c:pt idx="4">
                  <c:v>168579.1604441891</c:v>
                </c:pt>
                <c:pt idx="5">
                  <c:v>404340.44868014345</c:v>
                </c:pt>
                <c:pt idx="6">
                  <c:v>2007.7576756532064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123732.42241123773</c:v>
                </c:pt>
                <c:pt idx="1">
                  <c:v>46649.845143039805</c:v>
                </c:pt>
                <c:pt idx="2">
                  <c:v>1184.8506850000001</c:v>
                </c:pt>
                <c:pt idx="3">
                  <c:v>6801.2144701405423</c:v>
                </c:pt>
                <c:pt idx="4">
                  <c:v>168579.1604441891</c:v>
                </c:pt>
                <c:pt idx="5">
                  <c:v>404340.44868014345</c:v>
                </c:pt>
                <c:pt idx="6">
                  <c:v>2007.7576756532064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23999.606637198427</c:v>
                </c:pt>
                <c:pt idx="1">
                  <c:v>7053.3905072221369</c:v>
                </c:pt>
                <c:pt idx="2">
                  <c:v>150.73668186921773</c:v>
                </c:pt>
                <c:pt idx="3">
                  <c:v>1563.2676600006621</c:v>
                </c:pt>
                <c:pt idx="4">
                  <c:v>30026.498378783403</c:v>
                </c:pt>
                <c:pt idx="5">
                  <c:v>100297.12526424802</c:v>
                </c:pt>
                <c:pt idx="6">
                  <c:v>503.21940009943103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23999.606637198427</c:v>
                </c:pt>
                <c:pt idx="1">
                  <c:v>7053.3905072221369</c:v>
                </c:pt>
                <c:pt idx="2">
                  <c:v>150.73668186921773</c:v>
                </c:pt>
                <c:pt idx="3">
                  <c:v>1563.2676600006621</c:v>
                </c:pt>
                <c:pt idx="4">
                  <c:v>30026.498378783403</c:v>
                </c:pt>
                <c:pt idx="5">
                  <c:v>100297.12526424802</c:v>
                </c:pt>
                <c:pt idx="6">
                  <c:v>503.21940009943103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71037</v>
      </c>
      <c r="B6" s="386"/>
      <c r="C6" s="387"/>
    </row>
    <row r="7" spans="1:7" s="384" customFormat="1" ht="15.75" customHeight="1">
      <c r="A7" s="388" t="str">
        <f>txtMunicipality</f>
        <v>LUMMEN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24395.216636999998</v>
      </c>
      <c r="D10" s="683">
        <f ca="1">tertiair!C16</f>
        <v>4100.6250000000009</v>
      </c>
      <c r="E10" s="683">
        <f ca="1">tertiair!D16</f>
        <v>17650.420298595</v>
      </c>
      <c r="F10" s="683">
        <f>tertiair!E16</f>
        <v>60.316461132369668</v>
      </c>
      <c r="G10" s="683">
        <f ca="1">tertiair!F16</f>
        <v>747.06463960816154</v>
      </c>
      <c r="H10" s="683">
        <f>tertiair!G16</f>
        <v>0</v>
      </c>
      <c r="I10" s="683">
        <f>tertiair!H16</f>
        <v>0</v>
      </c>
      <c r="J10" s="683">
        <f>tertiair!I16</f>
        <v>0</v>
      </c>
      <c r="K10" s="683">
        <f>tertiair!J16</f>
        <v>1.5599724779075211E-2</v>
      </c>
      <c r="L10" s="683">
        <f>tertiair!K16</f>
        <v>0</v>
      </c>
      <c r="M10" s="683">
        <f ca="1">tertiair!L16</f>
        <v>0</v>
      </c>
      <c r="N10" s="683">
        <f>tertiair!M16</f>
        <v>0</v>
      </c>
      <c r="O10" s="683">
        <f ca="1">tertiair!N16</f>
        <v>613.44423968117815</v>
      </c>
      <c r="P10" s="683">
        <f>tertiair!O16</f>
        <v>4.8972607658411542</v>
      </c>
      <c r="Q10" s="684">
        <f>tertiair!P16</f>
        <v>262.69569153247511</v>
      </c>
      <c r="R10" s="686">
        <f ca="1">SUM(C10:Q10)</f>
        <v>47834.69582803981</v>
      </c>
      <c r="S10" s="67"/>
    </row>
    <row r="11" spans="1:19" s="445" customFormat="1">
      <c r="A11" s="804" t="s">
        <v>220</v>
      </c>
      <c r="B11" s="809"/>
      <c r="C11" s="683">
        <f>huishoudens!B8</f>
        <v>27404.228824655584</v>
      </c>
      <c r="D11" s="683">
        <f>huishoudens!C8</f>
        <v>0</v>
      </c>
      <c r="E11" s="683">
        <f>huishoudens!D8</f>
        <v>35145.787939080001</v>
      </c>
      <c r="F11" s="683">
        <f>huishoudens!E8</f>
        <v>2191.7030202247915</v>
      </c>
      <c r="G11" s="683">
        <f>huishoudens!F8</f>
        <v>48012.772945203098</v>
      </c>
      <c r="H11" s="683">
        <f>huishoudens!G8</f>
        <v>0</v>
      </c>
      <c r="I11" s="683">
        <f>huishoudens!H8</f>
        <v>0</v>
      </c>
      <c r="J11" s="683">
        <f>huishoudens!I8</f>
        <v>0</v>
      </c>
      <c r="K11" s="683">
        <f>huishoudens!J8</f>
        <v>273.63004435213338</v>
      </c>
      <c r="L11" s="683">
        <f>huishoudens!K8</f>
        <v>0</v>
      </c>
      <c r="M11" s="683">
        <f>huishoudens!L8</f>
        <v>0</v>
      </c>
      <c r="N11" s="683">
        <f>huishoudens!M8</f>
        <v>0</v>
      </c>
      <c r="O11" s="683">
        <f>huishoudens!N8</f>
        <v>8707.481415773158</v>
      </c>
      <c r="P11" s="683">
        <f>huishoudens!O8</f>
        <v>585.26767471917435</v>
      </c>
      <c r="Q11" s="684">
        <f>huishoudens!P8</f>
        <v>1411.5505472297932</v>
      </c>
      <c r="R11" s="686">
        <f>SUM(C11:Q11)</f>
        <v>123732.42241123773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49883.123700000004</v>
      </c>
      <c r="D13" s="683">
        <f>industrie!C18</f>
        <v>0</v>
      </c>
      <c r="E13" s="683">
        <f>industrie!D18</f>
        <v>113034.33962081099</v>
      </c>
      <c r="F13" s="683">
        <f>industrie!E18</f>
        <v>247.44154215548681</v>
      </c>
      <c r="G13" s="683">
        <f>industrie!F18</f>
        <v>2887.4742024578641</v>
      </c>
      <c r="H13" s="683">
        <f>industrie!G18</f>
        <v>0</v>
      </c>
      <c r="I13" s="683">
        <f>industrie!H18</f>
        <v>0</v>
      </c>
      <c r="J13" s="683">
        <f>industrie!I18</f>
        <v>0</v>
      </c>
      <c r="K13" s="683">
        <f>industrie!J18</f>
        <v>57.364050839117979</v>
      </c>
      <c r="L13" s="683">
        <f>industrie!K18</f>
        <v>0</v>
      </c>
      <c r="M13" s="683">
        <f>industrie!L18</f>
        <v>0</v>
      </c>
      <c r="N13" s="683">
        <f>industrie!M18</f>
        <v>0</v>
      </c>
      <c r="O13" s="683">
        <f>industrie!N18</f>
        <v>2469.4173279256338</v>
      </c>
      <c r="P13" s="683">
        <f>industrie!O18</f>
        <v>0</v>
      </c>
      <c r="Q13" s="684">
        <f>industrie!P18</f>
        <v>0</v>
      </c>
      <c r="R13" s="686">
        <f>SUM(C13:Q13)</f>
        <v>168579.1604441891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101682.56916165559</v>
      </c>
      <c r="D16" s="719">
        <f t="shared" ref="D16:R16" ca="1" si="0">SUM(D9:D15)</f>
        <v>4100.6250000000009</v>
      </c>
      <c r="E16" s="719">
        <f t="shared" ca="1" si="0"/>
        <v>165830.54785848601</v>
      </c>
      <c r="F16" s="719">
        <f t="shared" si="0"/>
        <v>2499.4610235126479</v>
      </c>
      <c r="G16" s="719">
        <f t="shared" ca="1" si="0"/>
        <v>51647.311787269129</v>
      </c>
      <c r="H16" s="719">
        <f t="shared" si="0"/>
        <v>0</v>
      </c>
      <c r="I16" s="719">
        <f t="shared" si="0"/>
        <v>0</v>
      </c>
      <c r="J16" s="719">
        <f t="shared" si="0"/>
        <v>0</v>
      </c>
      <c r="K16" s="719">
        <f t="shared" si="0"/>
        <v>331.00969491603041</v>
      </c>
      <c r="L16" s="719">
        <f t="shared" si="0"/>
        <v>0</v>
      </c>
      <c r="M16" s="719">
        <f t="shared" ca="1" si="0"/>
        <v>0</v>
      </c>
      <c r="N16" s="719">
        <f t="shared" si="0"/>
        <v>0</v>
      </c>
      <c r="O16" s="719">
        <f t="shared" ca="1" si="0"/>
        <v>11790.342983379969</v>
      </c>
      <c r="P16" s="719">
        <f t="shared" si="0"/>
        <v>590.16493548501546</v>
      </c>
      <c r="Q16" s="719">
        <f t="shared" si="0"/>
        <v>1674.2462387622684</v>
      </c>
      <c r="R16" s="719">
        <f t="shared" ca="1" si="0"/>
        <v>340146.2786834666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29.878435598759985</v>
      </c>
      <c r="D19" s="683">
        <f>transport!C54</f>
        <v>0</v>
      </c>
      <c r="E19" s="683">
        <f>transport!D54</f>
        <v>0</v>
      </c>
      <c r="F19" s="683">
        <f>transport!E54</f>
        <v>0</v>
      </c>
      <c r="G19" s="683">
        <f>transport!F54</f>
        <v>0</v>
      </c>
      <c r="H19" s="683">
        <f>transport!G54</f>
        <v>1870.4803973194901</v>
      </c>
      <c r="I19" s="683">
        <f>transport!H54</f>
        <v>0</v>
      </c>
      <c r="J19" s="683">
        <f>transport!I54</f>
        <v>0</v>
      </c>
      <c r="K19" s="683">
        <f>transport!J54</f>
        <v>0</v>
      </c>
      <c r="L19" s="683">
        <f>transport!K54</f>
        <v>0</v>
      </c>
      <c r="M19" s="683">
        <f>transport!L54</f>
        <v>0</v>
      </c>
      <c r="N19" s="683">
        <f>transport!M54</f>
        <v>107.39884273495646</v>
      </c>
      <c r="O19" s="683">
        <f>transport!N54</f>
        <v>0</v>
      </c>
      <c r="P19" s="683">
        <f>transport!O54</f>
        <v>0</v>
      </c>
      <c r="Q19" s="684">
        <f>transport!P54</f>
        <v>0</v>
      </c>
      <c r="R19" s="686">
        <f>SUM(C19:Q19)</f>
        <v>2007.7576756532064</v>
      </c>
      <c r="S19" s="67"/>
    </row>
    <row r="20" spans="1:19" s="445" customFormat="1">
      <c r="A20" s="804" t="s">
        <v>302</v>
      </c>
      <c r="B20" s="809"/>
      <c r="C20" s="683">
        <f>transport!B14</f>
        <v>964.16170053372275</v>
      </c>
      <c r="D20" s="683">
        <f>transport!C14</f>
        <v>0</v>
      </c>
      <c r="E20" s="683">
        <f>transport!D14</f>
        <v>1460.4035256763711</v>
      </c>
      <c r="F20" s="683">
        <f>transport!E14</f>
        <v>670.44527233631004</v>
      </c>
      <c r="G20" s="683">
        <f>transport!F14</f>
        <v>0</v>
      </c>
      <c r="H20" s="683">
        <f>transport!G14</f>
        <v>304317.23291556822</v>
      </c>
      <c r="I20" s="683">
        <f>transport!H14</f>
        <v>74195.063668151517</v>
      </c>
      <c r="J20" s="683">
        <f>transport!I14</f>
        <v>0</v>
      </c>
      <c r="K20" s="683">
        <f>transport!J14</f>
        <v>0</v>
      </c>
      <c r="L20" s="683">
        <f>transport!K14</f>
        <v>0</v>
      </c>
      <c r="M20" s="683">
        <f>transport!L14</f>
        <v>0</v>
      </c>
      <c r="N20" s="683">
        <f>transport!M14</f>
        <v>22733.141597877344</v>
      </c>
      <c r="O20" s="683">
        <f>transport!N14</f>
        <v>0</v>
      </c>
      <c r="P20" s="683">
        <f>transport!O14</f>
        <v>0</v>
      </c>
      <c r="Q20" s="684">
        <f>transport!P14</f>
        <v>0</v>
      </c>
      <c r="R20" s="686">
        <f>SUM(C20:Q20)</f>
        <v>404340.44868014345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994.04013613248276</v>
      </c>
      <c r="D22" s="807">
        <f t="shared" ref="D22:R22" si="1">SUM(D18:D21)</f>
        <v>0</v>
      </c>
      <c r="E22" s="807">
        <f t="shared" si="1"/>
        <v>1460.4035256763711</v>
      </c>
      <c r="F22" s="807">
        <f t="shared" si="1"/>
        <v>670.44527233631004</v>
      </c>
      <c r="G22" s="807">
        <f t="shared" si="1"/>
        <v>0</v>
      </c>
      <c r="H22" s="807">
        <f t="shared" si="1"/>
        <v>306187.7133128877</v>
      </c>
      <c r="I22" s="807">
        <f t="shared" si="1"/>
        <v>74195.063668151517</v>
      </c>
      <c r="J22" s="807">
        <f t="shared" si="1"/>
        <v>0</v>
      </c>
      <c r="K22" s="807">
        <f t="shared" si="1"/>
        <v>0</v>
      </c>
      <c r="L22" s="807">
        <f t="shared" si="1"/>
        <v>0</v>
      </c>
      <c r="M22" s="807">
        <f t="shared" si="1"/>
        <v>0</v>
      </c>
      <c r="N22" s="807">
        <f t="shared" si="1"/>
        <v>22840.540440612302</v>
      </c>
      <c r="O22" s="807">
        <f t="shared" si="1"/>
        <v>0</v>
      </c>
      <c r="P22" s="807">
        <f t="shared" si="1"/>
        <v>0</v>
      </c>
      <c r="Q22" s="807">
        <f t="shared" si="1"/>
        <v>0</v>
      </c>
      <c r="R22" s="807">
        <f t="shared" si="1"/>
        <v>406348.20635579666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1112.016676</v>
      </c>
      <c r="D24" s="683">
        <f>+landbouw!C8</f>
        <v>0</v>
      </c>
      <c r="E24" s="683">
        <f>+landbouw!D8</f>
        <v>1854.5264641889999</v>
      </c>
      <c r="F24" s="683">
        <f>+landbouw!E8</f>
        <v>31.850039477388759</v>
      </c>
      <c r="G24" s="683">
        <f>+landbouw!F8</f>
        <v>3520.0703697509207</v>
      </c>
      <c r="H24" s="683">
        <f>+landbouw!G8</f>
        <v>0</v>
      </c>
      <c r="I24" s="683">
        <f>+landbouw!H8</f>
        <v>0</v>
      </c>
      <c r="J24" s="683">
        <f>+landbouw!I8</f>
        <v>0</v>
      </c>
      <c r="K24" s="683">
        <f>+landbouw!J8</f>
        <v>282.75092072323315</v>
      </c>
      <c r="L24" s="683">
        <f>+landbouw!K8</f>
        <v>0</v>
      </c>
      <c r="M24" s="683">
        <f>+landbouw!L8</f>
        <v>0</v>
      </c>
      <c r="N24" s="683">
        <f>+landbouw!M8</f>
        <v>0</v>
      </c>
      <c r="O24" s="683">
        <f>+landbouw!N8</f>
        <v>0</v>
      </c>
      <c r="P24" s="683">
        <f>+landbouw!O8</f>
        <v>0</v>
      </c>
      <c r="Q24" s="684">
        <f>+landbouw!P8</f>
        <v>0</v>
      </c>
      <c r="R24" s="686">
        <f>SUM(C24:Q24)</f>
        <v>6801.2144701405423</v>
      </c>
      <c r="S24" s="67"/>
    </row>
    <row r="25" spans="1:19" s="445" customFormat="1" ht="15" thickBot="1">
      <c r="A25" s="826" t="s">
        <v>696</v>
      </c>
      <c r="B25" s="939"/>
      <c r="C25" s="940">
        <f>IF(Onbekend_ele_kWh="---",0,Onbekend_ele_kWh)/1000+IF(REST_rest_ele_kWh="---",0,REST_rest_ele_kWh)/1000</f>
        <v>383.903705</v>
      </c>
      <c r="D25" s="940"/>
      <c r="E25" s="940">
        <f>IF(onbekend_gas_kWh="---",0,onbekend_gas_kWh)/1000+IF(REST_rest_gas_kWh="---",0,REST_rest_gas_kWh)/1000</f>
        <v>4547.2485280000001</v>
      </c>
      <c r="F25" s="940"/>
      <c r="G25" s="940"/>
      <c r="H25" s="940"/>
      <c r="I25" s="940"/>
      <c r="J25" s="940"/>
      <c r="K25" s="940"/>
      <c r="L25" s="940"/>
      <c r="M25" s="940"/>
      <c r="N25" s="940"/>
      <c r="O25" s="940"/>
      <c r="P25" s="940"/>
      <c r="Q25" s="941"/>
      <c r="R25" s="686">
        <f>SUM(C25:Q25)</f>
        <v>4931.1522329999998</v>
      </c>
      <c r="S25" s="67"/>
    </row>
    <row r="26" spans="1:19" s="445" customFormat="1" ht="15.75" thickBot="1">
      <c r="A26" s="691" t="s">
        <v>697</v>
      </c>
      <c r="B26" s="812"/>
      <c r="C26" s="807">
        <f>SUM(C24:C25)</f>
        <v>1495.9203809999999</v>
      </c>
      <c r="D26" s="807">
        <f t="shared" ref="D26:R26" si="2">SUM(D24:D25)</f>
        <v>0</v>
      </c>
      <c r="E26" s="807">
        <f t="shared" si="2"/>
        <v>6401.7749921889999</v>
      </c>
      <c r="F26" s="807">
        <f t="shared" si="2"/>
        <v>31.850039477388759</v>
      </c>
      <c r="G26" s="807">
        <f t="shared" si="2"/>
        <v>3520.0703697509207</v>
      </c>
      <c r="H26" s="807">
        <f t="shared" si="2"/>
        <v>0</v>
      </c>
      <c r="I26" s="807">
        <f t="shared" si="2"/>
        <v>0</v>
      </c>
      <c r="J26" s="807">
        <f t="shared" si="2"/>
        <v>0</v>
      </c>
      <c r="K26" s="807">
        <f t="shared" si="2"/>
        <v>282.75092072323315</v>
      </c>
      <c r="L26" s="807">
        <f t="shared" si="2"/>
        <v>0</v>
      </c>
      <c r="M26" s="807">
        <f t="shared" si="2"/>
        <v>0</v>
      </c>
      <c r="N26" s="807">
        <f t="shared" si="2"/>
        <v>0</v>
      </c>
      <c r="O26" s="807">
        <f t="shared" si="2"/>
        <v>0</v>
      </c>
      <c r="P26" s="807">
        <f t="shared" si="2"/>
        <v>0</v>
      </c>
      <c r="Q26" s="807">
        <f t="shared" si="2"/>
        <v>0</v>
      </c>
      <c r="R26" s="807">
        <f t="shared" si="2"/>
        <v>11732.366703140542</v>
      </c>
      <c r="S26" s="67"/>
    </row>
    <row r="27" spans="1:19" s="445" customFormat="1" ht="17.25" thickTop="1" thickBot="1">
      <c r="A27" s="692" t="s">
        <v>115</v>
      </c>
      <c r="B27" s="799"/>
      <c r="C27" s="693">
        <f ca="1">C22+C16+C26</f>
        <v>104172.52967878807</v>
      </c>
      <c r="D27" s="693">
        <f t="shared" ref="D27:R27" ca="1" si="3">D22+D16+D26</f>
        <v>4100.6250000000009</v>
      </c>
      <c r="E27" s="693">
        <f t="shared" ca="1" si="3"/>
        <v>173692.72637635138</v>
      </c>
      <c r="F27" s="693">
        <f t="shared" si="3"/>
        <v>3201.7563353263467</v>
      </c>
      <c r="G27" s="693">
        <f t="shared" ca="1" si="3"/>
        <v>55167.382157020053</v>
      </c>
      <c r="H27" s="693">
        <f t="shared" si="3"/>
        <v>306187.7133128877</v>
      </c>
      <c r="I27" s="693">
        <f t="shared" si="3"/>
        <v>74195.063668151517</v>
      </c>
      <c r="J27" s="693">
        <f t="shared" si="3"/>
        <v>0</v>
      </c>
      <c r="K27" s="693">
        <f t="shared" si="3"/>
        <v>613.76061563926351</v>
      </c>
      <c r="L27" s="693">
        <f t="shared" si="3"/>
        <v>0</v>
      </c>
      <c r="M27" s="693">
        <f t="shared" ca="1" si="3"/>
        <v>0</v>
      </c>
      <c r="N27" s="693">
        <f t="shared" si="3"/>
        <v>22840.540440612302</v>
      </c>
      <c r="O27" s="693">
        <f t="shared" ca="1" si="3"/>
        <v>11790.342983379969</v>
      </c>
      <c r="P27" s="693">
        <f t="shared" si="3"/>
        <v>590.16493548501546</v>
      </c>
      <c r="Q27" s="693">
        <f t="shared" si="3"/>
        <v>1674.2462387622684</v>
      </c>
      <c r="R27" s="693">
        <f t="shared" ca="1" si="3"/>
        <v>758226.85174240381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3103.559001902519</v>
      </c>
      <c r="D40" s="683">
        <f ca="1">tertiair!C20</f>
        <v>322.01966911764708</v>
      </c>
      <c r="E40" s="683">
        <f ca="1">tertiair!D20</f>
        <v>3565.3849003161899</v>
      </c>
      <c r="F40" s="683">
        <f>tertiair!E20</f>
        <v>13.691836677047915</v>
      </c>
      <c r="G40" s="683">
        <f ca="1">tertiair!F20</f>
        <v>199.46625877537915</v>
      </c>
      <c r="H40" s="683">
        <f>tertiair!G20</f>
        <v>0</v>
      </c>
      <c r="I40" s="683">
        <f>tertiair!H20</f>
        <v>0</v>
      </c>
      <c r="J40" s="683">
        <f>tertiair!I20</f>
        <v>0</v>
      </c>
      <c r="K40" s="683">
        <f>tertiair!J20</f>
        <v>5.5223025717926243E-3</v>
      </c>
      <c r="L40" s="683">
        <f>tertiair!K20</f>
        <v>0</v>
      </c>
      <c r="M40" s="683">
        <f ca="1">tertiair!L20</f>
        <v>0</v>
      </c>
      <c r="N40" s="683">
        <f>tertiair!M20</f>
        <v>0</v>
      </c>
      <c r="O40" s="683">
        <f ca="1">tertiair!N20</f>
        <v>0</v>
      </c>
      <c r="P40" s="683">
        <f>tertiair!O20</f>
        <v>0</v>
      </c>
      <c r="Q40" s="766">
        <f>tertiair!P20</f>
        <v>0</v>
      </c>
      <c r="R40" s="845">
        <f t="shared" ca="1" si="4"/>
        <v>7204.1271890913549</v>
      </c>
    </row>
    <row r="41" spans="1:18">
      <c r="A41" s="817" t="s">
        <v>220</v>
      </c>
      <c r="B41" s="824"/>
      <c r="C41" s="683">
        <f ca="1">huishoudens!B12</f>
        <v>3486.365475843359</v>
      </c>
      <c r="D41" s="683">
        <f ca="1">huishoudens!C12</f>
        <v>0</v>
      </c>
      <c r="E41" s="683">
        <f>huishoudens!D12</f>
        <v>7099.4491636941602</v>
      </c>
      <c r="F41" s="683">
        <f>huishoudens!E12</f>
        <v>497.51658559102771</v>
      </c>
      <c r="G41" s="683">
        <f>huishoudens!F12</f>
        <v>12819.410376369227</v>
      </c>
      <c r="H41" s="683">
        <f>huishoudens!G12</f>
        <v>0</v>
      </c>
      <c r="I41" s="683">
        <f>huishoudens!H12</f>
        <v>0</v>
      </c>
      <c r="J41" s="683">
        <f>huishoudens!I12</f>
        <v>0</v>
      </c>
      <c r="K41" s="683">
        <f>huishoudens!J12</f>
        <v>96.865035700655213</v>
      </c>
      <c r="L41" s="683">
        <f>huishoudens!K12</f>
        <v>0</v>
      </c>
      <c r="M41" s="683">
        <f>huishoudens!L12</f>
        <v>0</v>
      </c>
      <c r="N41" s="683">
        <f>huishoudens!M12</f>
        <v>0</v>
      </c>
      <c r="O41" s="683">
        <f>huishoudens!N12</f>
        <v>0</v>
      </c>
      <c r="P41" s="683">
        <f>huishoudens!O12</f>
        <v>0</v>
      </c>
      <c r="Q41" s="766">
        <f>huishoudens!P12</f>
        <v>0</v>
      </c>
      <c r="R41" s="845">
        <f t="shared" ca="1" si="4"/>
        <v>23999.606637198427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6346.1300592569896</v>
      </c>
      <c r="D43" s="683">
        <f ca="1">industrie!C22</f>
        <v>0</v>
      </c>
      <c r="E43" s="683">
        <f>industrie!D22</f>
        <v>22832.936603403821</v>
      </c>
      <c r="F43" s="683">
        <f>industrie!E22</f>
        <v>56.169230069295509</v>
      </c>
      <c r="G43" s="683">
        <f>industrie!F22</f>
        <v>770.95561205624972</v>
      </c>
      <c r="H43" s="683">
        <f>industrie!G22</f>
        <v>0</v>
      </c>
      <c r="I43" s="683">
        <f>industrie!H22</f>
        <v>0</v>
      </c>
      <c r="J43" s="683">
        <f>industrie!I22</f>
        <v>0</v>
      </c>
      <c r="K43" s="683">
        <f>industrie!J22</f>
        <v>20.306873997047763</v>
      </c>
      <c r="L43" s="683">
        <f>industrie!K22</f>
        <v>0</v>
      </c>
      <c r="M43" s="683">
        <f>industrie!L22</f>
        <v>0</v>
      </c>
      <c r="N43" s="683">
        <f>industrie!M22</f>
        <v>0</v>
      </c>
      <c r="O43" s="683">
        <f>industrie!N22</f>
        <v>0</v>
      </c>
      <c r="P43" s="683">
        <f>industrie!O22</f>
        <v>0</v>
      </c>
      <c r="Q43" s="766">
        <f>industrie!P22</f>
        <v>0</v>
      </c>
      <c r="R43" s="844">
        <f t="shared" ca="1" si="4"/>
        <v>30026.498378783403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12936.054537002867</v>
      </c>
      <c r="D46" s="719">
        <f t="shared" ref="D46:Q46" ca="1" si="5">SUM(D39:D45)</f>
        <v>322.01966911764708</v>
      </c>
      <c r="E46" s="719">
        <f t="shared" ca="1" si="5"/>
        <v>33497.770667414174</v>
      </c>
      <c r="F46" s="719">
        <f t="shared" si="5"/>
        <v>567.37765233737105</v>
      </c>
      <c r="G46" s="719">
        <f t="shared" ca="1" si="5"/>
        <v>13789.832247200857</v>
      </c>
      <c r="H46" s="719">
        <f t="shared" si="5"/>
        <v>0</v>
      </c>
      <c r="I46" s="719">
        <f t="shared" si="5"/>
        <v>0</v>
      </c>
      <c r="J46" s="719">
        <f t="shared" si="5"/>
        <v>0</v>
      </c>
      <c r="K46" s="719">
        <f t="shared" si="5"/>
        <v>117.17743200027476</v>
      </c>
      <c r="L46" s="719">
        <f t="shared" si="5"/>
        <v>0</v>
      </c>
      <c r="M46" s="719">
        <f t="shared" ca="1" si="5"/>
        <v>0</v>
      </c>
      <c r="N46" s="719">
        <f t="shared" si="5"/>
        <v>0</v>
      </c>
      <c r="O46" s="719">
        <f t="shared" ca="1" si="5"/>
        <v>0</v>
      </c>
      <c r="P46" s="719">
        <f t="shared" si="5"/>
        <v>0</v>
      </c>
      <c r="Q46" s="719">
        <f t="shared" si="5"/>
        <v>0</v>
      </c>
      <c r="R46" s="719">
        <f ca="1">SUM(R39:R45)</f>
        <v>61230.232205073189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3.8011340151271411</v>
      </c>
      <c r="D49" s="683">
        <f ca="1">transport!C58</f>
        <v>0</v>
      </c>
      <c r="E49" s="683">
        <f>transport!D58</f>
        <v>0</v>
      </c>
      <c r="F49" s="683">
        <f>transport!E58</f>
        <v>0</v>
      </c>
      <c r="G49" s="683">
        <f>transport!F58</f>
        <v>0</v>
      </c>
      <c r="H49" s="683">
        <f>transport!G58</f>
        <v>499.41826608430387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503.21940009943103</v>
      </c>
    </row>
    <row r="50" spans="1:18">
      <c r="A50" s="820" t="s">
        <v>302</v>
      </c>
      <c r="B50" s="830"/>
      <c r="C50" s="689">
        <f ca="1">transport!B18</f>
        <v>122.660633414611</v>
      </c>
      <c r="D50" s="689">
        <f>transport!C18</f>
        <v>0</v>
      </c>
      <c r="E50" s="689">
        <f>transport!D18</f>
        <v>295.001512186627</v>
      </c>
      <c r="F50" s="689">
        <f>transport!E18</f>
        <v>152.19107682034237</v>
      </c>
      <c r="G50" s="689">
        <f>transport!F18</f>
        <v>0</v>
      </c>
      <c r="H50" s="689">
        <f>transport!G18</f>
        <v>81252.701188456718</v>
      </c>
      <c r="I50" s="689">
        <f>transport!H18</f>
        <v>18474.570853369729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100297.12526424802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126.46176742973815</v>
      </c>
      <c r="D52" s="719">
        <f t="shared" ref="D52:Q52" ca="1" si="6">SUM(D48:D51)</f>
        <v>0</v>
      </c>
      <c r="E52" s="719">
        <f t="shared" si="6"/>
        <v>295.001512186627</v>
      </c>
      <c r="F52" s="719">
        <f t="shared" si="6"/>
        <v>152.19107682034237</v>
      </c>
      <c r="G52" s="719">
        <f t="shared" si="6"/>
        <v>0</v>
      </c>
      <c r="H52" s="719">
        <f t="shared" si="6"/>
        <v>81752.119454541025</v>
      </c>
      <c r="I52" s="719">
        <f t="shared" si="6"/>
        <v>18474.570853369729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100800.34466434746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141.47074061359635</v>
      </c>
      <c r="D54" s="689">
        <f ca="1">+landbouw!C12</f>
        <v>0</v>
      </c>
      <c r="E54" s="689">
        <f>+landbouw!D12</f>
        <v>374.61434576617802</v>
      </c>
      <c r="F54" s="689">
        <f>+landbouw!E12</f>
        <v>7.2299589613672488</v>
      </c>
      <c r="G54" s="689">
        <f>+landbouw!F12</f>
        <v>939.85878872349588</v>
      </c>
      <c r="H54" s="689">
        <f>+landbouw!G12</f>
        <v>0</v>
      </c>
      <c r="I54" s="689">
        <f>+landbouw!H12</f>
        <v>0</v>
      </c>
      <c r="J54" s="689">
        <f>+landbouw!I12</f>
        <v>0</v>
      </c>
      <c r="K54" s="689">
        <f>+landbouw!J12</f>
        <v>100.09382593602453</v>
      </c>
      <c r="L54" s="689">
        <f>+landbouw!K12</f>
        <v>0</v>
      </c>
      <c r="M54" s="689">
        <f>+landbouw!L12</f>
        <v>0</v>
      </c>
      <c r="N54" s="689">
        <f>+landbouw!M12</f>
        <v>0</v>
      </c>
      <c r="O54" s="689">
        <f>+landbouw!N12</f>
        <v>0</v>
      </c>
      <c r="P54" s="689">
        <f>+landbouw!O12</f>
        <v>0</v>
      </c>
      <c r="Q54" s="690">
        <f>+landbouw!P12</f>
        <v>0</v>
      </c>
      <c r="R54" s="718">
        <f ca="1">SUM(C54:Q54)</f>
        <v>1563.2676600006621</v>
      </c>
    </row>
    <row r="55" spans="1:18" ht="15" thickBot="1">
      <c r="A55" s="820" t="s">
        <v>696</v>
      </c>
      <c r="B55" s="830"/>
      <c r="C55" s="689">
        <f ca="1">C25*'EF ele_warmte'!B12</f>
        <v>48.840222132292567</v>
      </c>
      <c r="D55" s="689"/>
      <c r="E55" s="689">
        <f>E25*EF_CO2_aardgas</f>
        <v>918.54420265600004</v>
      </c>
      <c r="F55" s="689"/>
      <c r="G55" s="689"/>
      <c r="H55" s="689"/>
      <c r="I55" s="689"/>
      <c r="J55" s="689"/>
      <c r="K55" s="689"/>
      <c r="L55" s="689"/>
      <c r="M55" s="689"/>
      <c r="N55" s="689"/>
      <c r="O55" s="689"/>
      <c r="P55" s="689"/>
      <c r="Q55" s="690"/>
      <c r="R55" s="718">
        <f ca="1">SUM(C55:Q55)</f>
        <v>967.38442478829256</v>
      </c>
    </row>
    <row r="56" spans="1:18" ht="15.75" thickBot="1">
      <c r="A56" s="818" t="s">
        <v>697</v>
      </c>
      <c r="B56" s="831"/>
      <c r="C56" s="719">
        <f ca="1">SUM(C54:C55)</f>
        <v>190.3109627458889</v>
      </c>
      <c r="D56" s="719">
        <f t="shared" ref="D56:Q56" ca="1" si="7">SUM(D54:D55)</f>
        <v>0</v>
      </c>
      <c r="E56" s="719">
        <f t="shared" si="7"/>
        <v>1293.158548422178</v>
      </c>
      <c r="F56" s="719">
        <f t="shared" si="7"/>
        <v>7.2299589613672488</v>
      </c>
      <c r="G56" s="719">
        <f t="shared" si="7"/>
        <v>939.85878872349588</v>
      </c>
      <c r="H56" s="719">
        <f t="shared" si="7"/>
        <v>0</v>
      </c>
      <c r="I56" s="719">
        <f t="shared" si="7"/>
        <v>0</v>
      </c>
      <c r="J56" s="719">
        <f t="shared" si="7"/>
        <v>0</v>
      </c>
      <c r="K56" s="719">
        <f t="shared" si="7"/>
        <v>100.09382593602453</v>
      </c>
      <c r="L56" s="719">
        <f t="shared" si="7"/>
        <v>0</v>
      </c>
      <c r="M56" s="719">
        <f t="shared" si="7"/>
        <v>0</v>
      </c>
      <c r="N56" s="719">
        <f t="shared" si="7"/>
        <v>0</v>
      </c>
      <c r="O56" s="719">
        <f t="shared" si="7"/>
        <v>0</v>
      </c>
      <c r="P56" s="719">
        <f t="shared" si="7"/>
        <v>0</v>
      </c>
      <c r="Q56" s="720">
        <f t="shared" si="7"/>
        <v>0</v>
      </c>
      <c r="R56" s="721">
        <f ca="1">SUM(R54:R55)</f>
        <v>2530.6520847889547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13252.827267178494</v>
      </c>
      <c r="D61" s="727">
        <f t="shared" ref="D61:Q61" ca="1" si="8">D46+D52+D56</f>
        <v>322.01966911764708</v>
      </c>
      <c r="E61" s="727">
        <f t="shared" ca="1" si="8"/>
        <v>35085.930728022977</v>
      </c>
      <c r="F61" s="727">
        <f t="shared" si="8"/>
        <v>726.79868811908068</v>
      </c>
      <c r="G61" s="727">
        <f t="shared" ca="1" si="8"/>
        <v>14729.691035924352</v>
      </c>
      <c r="H61" s="727">
        <f t="shared" si="8"/>
        <v>81752.119454541025</v>
      </c>
      <c r="I61" s="727">
        <f t="shared" si="8"/>
        <v>18474.570853369729</v>
      </c>
      <c r="J61" s="727">
        <f t="shared" si="8"/>
        <v>0</v>
      </c>
      <c r="K61" s="727">
        <f t="shared" si="8"/>
        <v>217.27125793629929</v>
      </c>
      <c r="L61" s="727">
        <f t="shared" si="8"/>
        <v>0</v>
      </c>
      <c r="M61" s="727">
        <f t="shared" ca="1" si="8"/>
        <v>0</v>
      </c>
      <c r="N61" s="727">
        <f t="shared" si="8"/>
        <v>0</v>
      </c>
      <c r="O61" s="727">
        <f t="shared" ca="1" si="8"/>
        <v>0</v>
      </c>
      <c r="P61" s="727">
        <f t="shared" si="8"/>
        <v>0</v>
      </c>
      <c r="Q61" s="727">
        <f t="shared" si="8"/>
        <v>0</v>
      </c>
      <c r="R61" s="727">
        <f ca="1">R46+R52+R56</f>
        <v>164561.2289542096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0.12721998119891176</v>
      </c>
      <c r="D63" s="773">
        <f t="shared" ca="1" si="9"/>
        <v>7.8529411764705875E-2</v>
      </c>
      <c r="E63" s="965">
        <f t="shared" ca="1" si="9"/>
        <v>0.20199999999999999</v>
      </c>
      <c r="F63" s="773">
        <f t="shared" si="9"/>
        <v>0.22699999999999998</v>
      </c>
      <c r="G63" s="773">
        <f t="shared" ca="1" si="9"/>
        <v>0.26699999999999996</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29531.624911670642</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12323.562860800037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2733.75</v>
      </c>
      <c r="C76" s="740">
        <f>'lokale energieproductie'!B8*IFERROR(SUM(D76:H76)/SUM(D76:O76),0)</f>
        <v>911.25000000000011</v>
      </c>
      <c r="D76" s="948">
        <f>'lokale energieproductie'!C8</f>
        <v>0</v>
      </c>
      <c r="E76" s="949">
        <f>'lokale energieproductie'!D8</f>
        <v>0</v>
      </c>
      <c r="F76" s="949">
        <f>'lokale energieproductie'!E8</f>
        <v>1072.0588235294117</v>
      </c>
      <c r="G76" s="949">
        <f>'lokale energieproductie'!F8</f>
        <v>0</v>
      </c>
      <c r="H76" s="949">
        <f>'lokale energieproductie'!G8</f>
        <v>0</v>
      </c>
      <c r="I76" s="949">
        <f>'lokale energieproductie'!I8</f>
        <v>3216.1764705882347</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286.23970588235295</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44588.937772470679</v>
      </c>
      <c r="C78" s="745">
        <f>SUM(C72:C77)</f>
        <v>911.25000000000011</v>
      </c>
      <c r="D78" s="746">
        <f t="shared" ref="D78:H78" si="10">SUM(D76:D77)</f>
        <v>0</v>
      </c>
      <c r="E78" s="746">
        <f t="shared" si="10"/>
        <v>0</v>
      </c>
      <c r="F78" s="746">
        <f t="shared" si="10"/>
        <v>1072.0588235294117</v>
      </c>
      <c r="G78" s="746">
        <f t="shared" si="10"/>
        <v>0</v>
      </c>
      <c r="H78" s="746">
        <f t="shared" si="10"/>
        <v>0</v>
      </c>
      <c r="I78" s="746">
        <f>SUM(I76:I77)</f>
        <v>3216.1764705882347</v>
      </c>
      <c r="J78" s="746">
        <f>SUM(J76:J77)</f>
        <v>0</v>
      </c>
      <c r="K78" s="746">
        <f t="shared" ref="K78:L78" si="11">SUM(K76:K77)</f>
        <v>0</v>
      </c>
      <c r="L78" s="746">
        <f t="shared" si="11"/>
        <v>0</v>
      </c>
      <c r="M78" s="746">
        <f>SUM(M76:M77)</f>
        <v>0</v>
      </c>
      <c r="N78" s="746">
        <f>SUM(N76:N77)</f>
        <v>0</v>
      </c>
      <c r="O78" s="855">
        <f>SUM(O76:O77)</f>
        <v>0</v>
      </c>
      <c r="P78" s="747">
        <v>0</v>
      </c>
      <c r="Q78" s="747">
        <f>SUM(Q76:Q77)</f>
        <v>286.23970588235295</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3075.4687500000009</v>
      </c>
      <c r="C87" s="758">
        <f>'lokale energieproductie'!B17*IFERROR(SUM(D87:H87)/SUM(D87:O87),0)</f>
        <v>1025.1562500000002</v>
      </c>
      <c r="D87" s="769">
        <f>'lokale energieproductie'!C17</f>
        <v>0</v>
      </c>
      <c r="E87" s="769">
        <f>'lokale energieproductie'!D17</f>
        <v>0</v>
      </c>
      <c r="F87" s="769">
        <f>'lokale energieproductie'!E17</f>
        <v>1206.0661764705883</v>
      </c>
      <c r="G87" s="769">
        <f>'lokale energieproductie'!F17</f>
        <v>0</v>
      </c>
      <c r="H87" s="769">
        <f>'lokale energieproductie'!G17</f>
        <v>0</v>
      </c>
      <c r="I87" s="769">
        <f>'lokale energieproductie'!I17</f>
        <v>3618.1985294117649</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322.01966911764708</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3075.4687500000009</v>
      </c>
      <c r="C90" s="745">
        <f>SUM(C87:C89)</f>
        <v>1025.1562500000002</v>
      </c>
      <c r="D90" s="745">
        <f t="shared" ref="D90:H90" si="12">SUM(D87:D89)</f>
        <v>0</v>
      </c>
      <c r="E90" s="745">
        <f t="shared" si="12"/>
        <v>0</v>
      </c>
      <c r="F90" s="745">
        <f t="shared" si="12"/>
        <v>1206.0661764705883</v>
      </c>
      <c r="G90" s="745">
        <f t="shared" si="12"/>
        <v>0</v>
      </c>
      <c r="H90" s="745">
        <f t="shared" si="12"/>
        <v>0</v>
      </c>
      <c r="I90" s="745">
        <f>SUM(I87:I89)</f>
        <v>3618.1985294117649</v>
      </c>
      <c r="J90" s="745">
        <f>SUM(J87:J89)</f>
        <v>0</v>
      </c>
      <c r="K90" s="745">
        <f t="shared" ref="K90:L90" si="13">SUM(K87:K89)</f>
        <v>0</v>
      </c>
      <c r="L90" s="745">
        <f t="shared" si="13"/>
        <v>0</v>
      </c>
      <c r="M90" s="745">
        <f>SUM(M87:M89)</f>
        <v>0</v>
      </c>
      <c r="N90" s="745">
        <f>SUM(N87:N89)</f>
        <v>0</v>
      </c>
      <c r="O90" s="745">
        <f>SUM(O87:O89)</f>
        <v>0</v>
      </c>
      <c r="P90" s="745">
        <v>0</v>
      </c>
      <c r="Q90" s="745">
        <f>SUM(Q87:Q89)</f>
        <v>322.01966911764708</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27404.228824655584</v>
      </c>
      <c r="C4" s="449">
        <f>huishoudens!C8</f>
        <v>0</v>
      </c>
      <c r="D4" s="449">
        <f>huishoudens!D8</f>
        <v>35145.787939080001</v>
      </c>
      <c r="E4" s="449">
        <f>huishoudens!E8</f>
        <v>2191.7030202247915</v>
      </c>
      <c r="F4" s="449">
        <f>huishoudens!F8</f>
        <v>48012.772945203098</v>
      </c>
      <c r="G4" s="449">
        <f>huishoudens!G8</f>
        <v>0</v>
      </c>
      <c r="H4" s="449">
        <f>huishoudens!H8</f>
        <v>0</v>
      </c>
      <c r="I4" s="449">
        <f>huishoudens!I8</f>
        <v>0</v>
      </c>
      <c r="J4" s="449">
        <f>huishoudens!J8</f>
        <v>273.63004435213338</v>
      </c>
      <c r="K4" s="449">
        <f>huishoudens!K8</f>
        <v>0</v>
      </c>
      <c r="L4" s="449">
        <f>huishoudens!L8</f>
        <v>0</v>
      </c>
      <c r="M4" s="449">
        <f>huishoudens!M8</f>
        <v>0</v>
      </c>
      <c r="N4" s="449">
        <f>huishoudens!N8</f>
        <v>8707.481415773158</v>
      </c>
      <c r="O4" s="449">
        <f>huishoudens!O8</f>
        <v>585.26767471917435</v>
      </c>
      <c r="P4" s="450">
        <f>huishoudens!P8</f>
        <v>1411.5505472297932</v>
      </c>
      <c r="Q4" s="451">
        <f>SUM(B4:P4)</f>
        <v>123732.42241123773</v>
      </c>
    </row>
    <row r="5" spans="1:17">
      <c r="A5" s="448" t="s">
        <v>155</v>
      </c>
      <c r="B5" s="449">
        <f ca="1">tertiair!B16</f>
        <v>23210.365951999996</v>
      </c>
      <c r="C5" s="449">
        <f ca="1">tertiair!C16</f>
        <v>4100.6250000000009</v>
      </c>
      <c r="D5" s="449">
        <f ca="1">tertiair!D16</f>
        <v>17650.420298595</v>
      </c>
      <c r="E5" s="449">
        <f>tertiair!E16</f>
        <v>60.316461132369668</v>
      </c>
      <c r="F5" s="449">
        <f ca="1">tertiair!F16</f>
        <v>747.06463960816154</v>
      </c>
      <c r="G5" s="449">
        <f>tertiair!G16</f>
        <v>0</v>
      </c>
      <c r="H5" s="449">
        <f>tertiair!H16</f>
        <v>0</v>
      </c>
      <c r="I5" s="449">
        <f>tertiair!I16</f>
        <v>0</v>
      </c>
      <c r="J5" s="449">
        <f>tertiair!J16</f>
        <v>1.5599724779075211E-2</v>
      </c>
      <c r="K5" s="449">
        <f>tertiair!K16</f>
        <v>0</v>
      </c>
      <c r="L5" s="449">
        <f ca="1">tertiair!L16</f>
        <v>0</v>
      </c>
      <c r="M5" s="449">
        <f>tertiair!M16</f>
        <v>0</v>
      </c>
      <c r="N5" s="449">
        <f ca="1">tertiair!N16</f>
        <v>613.44423968117815</v>
      </c>
      <c r="O5" s="449">
        <f>tertiair!O16</f>
        <v>4.8972607658411542</v>
      </c>
      <c r="P5" s="450">
        <f>tertiair!P16</f>
        <v>262.69569153247511</v>
      </c>
      <c r="Q5" s="448">
        <f t="shared" ref="Q5:Q14" ca="1" si="0">SUM(B5:P5)</f>
        <v>46649.845143039805</v>
      </c>
    </row>
    <row r="6" spans="1:17">
      <c r="A6" s="448" t="s">
        <v>193</v>
      </c>
      <c r="B6" s="449">
        <f>'openbare verlichting'!B8</f>
        <v>1184.8506850000001</v>
      </c>
      <c r="C6" s="449"/>
      <c r="D6" s="449"/>
      <c r="E6" s="449"/>
      <c r="F6" s="449"/>
      <c r="G6" s="449"/>
      <c r="H6" s="449"/>
      <c r="I6" s="449"/>
      <c r="J6" s="449"/>
      <c r="K6" s="449"/>
      <c r="L6" s="449"/>
      <c r="M6" s="449"/>
      <c r="N6" s="449"/>
      <c r="O6" s="449"/>
      <c r="P6" s="450"/>
      <c r="Q6" s="448">
        <f t="shared" si="0"/>
        <v>1184.8506850000001</v>
      </c>
    </row>
    <row r="7" spans="1:17">
      <c r="A7" s="448" t="s">
        <v>111</v>
      </c>
      <c r="B7" s="449">
        <f>landbouw!B8</f>
        <v>1112.016676</v>
      </c>
      <c r="C7" s="449">
        <f>landbouw!C8</f>
        <v>0</v>
      </c>
      <c r="D7" s="449">
        <f>landbouw!D8</f>
        <v>1854.5264641889999</v>
      </c>
      <c r="E7" s="449">
        <f>landbouw!E8</f>
        <v>31.850039477388759</v>
      </c>
      <c r="F7" s="449">
        <f>landbouw!F8</f>
        <v>3520.0703697509207</v>
      </c>
      <c r="G7" s="449">
        <f>landbouw!G8</f>
        <v>0</v>
      </c>
      <c r="H7" s="449">
        <f>landbouw!H8</f>
        <v>0</v>
      </c>
      <c r="I7" s="449">
        <f>landbouw!I8</f>
        <v>0</v>
      </c>
      <c r="J7" s="449">
        <f>landbouw!J8</f>
        <v>282.75092072323315</v>
      </c>
      <c r="K7" s="449">
        <f>landbouw!K8</f>
        <v>0</v>
      </c>
      <c r="L7" s="449">
        <f>landbouw!L8</f>
        <v>0</v>
      </c>
      <c r="M7" s="449">
        <f>landbouw!M8</f>
        <v>0</v>
      </c>
      <c r="N7" s="449">
        <f>landbouw!N8</f>
        <v>0</v>
      </c>
      <c r="O7" s="449">
        <f>landbouw!O8</f>
        <v>0</v>
      </c>
      <c r="P7" s="450">
        <f>landbouw!P8</f>
        <v>0</v>
      </c>
      <c r="Q7" s="448">
        <f t="shared" si="0"/>
        <v>6801.2144701405423</v>
      </c>
    </row>
    <row r="8" spans="1:17">
      <c r="A8" s="448" t="s">
        <v>617</v>
      </c>
      <c r="B8" s="449">
        <f>industrie!B18</f>
        <v>49883.123700000004</v>
      </c>
      <c r="C8" s="449">
        <f>industrie!C18</f>
        <v>0</v>
      </c>
      <c r="D8" s="449">
        <f>industrie!D18</f>
        <v>113034.33962081099</v>
      </c>
      <c r="E8" s="449">
        <f>industrie!E18</f>
        <v>247.44154215548681</v>
      </c>
      <c r="F8" s="449">
        <f>industrie!F18</f>
        <v>2887.4742024578641</v>
      </c>
      <c r="G8" s="449">
        <f>industrie!G18</f>
        <v>0</v>
      </c>
      <c r="H8" s="449">
        <f>industrie!H18</f>
        <v>0</v>
      </c>
      <c r="I8" s="449">
        <f>industrie!I18</f>
        <v>0</v>
      </c>
      <c r="J8" s="449">
        <f>industrie!J18</f>
        <v>57.364050839117979</v>
      </c>
      <c r="K8" s="449">
        <f>industrie!K18</f>
        <v>0</v>
      </c>
      <c r="L8" s="449">
        <f>industrie!L18</f>
        <v>0</v>
      </c>
      <c r="M8" s="449">
        <f>industrie!M18</f>
        <v>0</v>
      </c>
      <c r="N8" s="449">
        <f>industrie!N18</f>
        <v>2469.4173279256338</v>
      </c>
      <c r="O8" s="449">
        <f>industrie!O18</f>
        <v>0</v>
      </c>
      <c r="P8" s="450">
        <f>industrie!P18</f>
        <v>0</v>
      </c>
      <c r="Q8" s="448">
        <f t="shared" si="0"/>
        <v>168579.1604441891</v>
      </c>
    </row>
    <row r="9" spans="1:17" s="454" customFormat="1">
      <c r="A9" s="452" t="s">
        <v>543</v>
      </c>
      <c r="B9" s="453">
        <f>transport!B14</f>
        <v>964.16170053372275</v>
      </c>
      <c r="C9" s="453">
        <f>transport!C14</f>
        <v>0</v>
      </c>
      <c r="D9" s="453">
        <f>transport!D14</f>
        <v>1460.4035256763711</v>
      </c>
      <c r="E9" s="453">
        <f>transport!E14</f>
        <v>670.44527233631004</v>
      </c>
      <c r="F9" s="453">
        <f>transport!F14</f>
        <v>0</v>
      </c>
      <c r="G9" s="453">
        <f>transport!G14</f>
        <v>304317.23291556822</v>
      </c>
      <c r="H9" s="453">
        <f>transport!H14</f>
        <v>74195.063668151517</v>
      </c>
      <c r="I9" s="453">
        <f>transport!I14</f>
        <v>0</v>
      </c>
      <c r="J9" s="453">
        <f>transport!J14</f>
        <v>0</v>
      </c>
      <c r="K9" s="453">
        <f>transport!K14</f>
        <v>0</v>
      </c>
      <c r="L9" s="453">
        <f>transport!L14</f>
        <v>0</v>
      </c>
      <c r="M9" s="453">
        <f>transport!M14</f>
        <v>22733.141597877344</v>
      </c>
      <c r="N9" s="453">
        <f>transport!N14</f>
        <v>0</v>
      </c>
      <c r="O9" s="453">
        <f>transport!O14</f>
        <v>0</v>
      </c>
      <c r="P9" s="453">
        <f>transport!P14</f>
        <v>0</v>
      </c>
      <c r="Q9" s="452">
        <f>SUM(B9:P9)</f>
        <v>404340.44868014345</v>
      </c>
    </row>
    <row r="10" spans="1:17">
      <c r="A10" s="448" t="s">
        <v>533</v>
      </c>
      <c r="B10" s="449">
        <f>transport!B54</f>
        <v>29.878435598759985</v>
      </c>
      <c r="C10" s="449">
        <f>transport!C54</f>
        <v>0</v>
      </c>
      <c r="D10" s="449">
        <f>transport!D54</f>
        <v>0</v>
      </c>
      <c r="E10" s="449">
        <f>transport!E54</f>
        <v>0</v>
      </c>
      <c r="F10" s="449">
        <f>transport!F54</f>
        <v>0</v>
      </c>
      <c r="G10" s="449">
        <f>transport!G54</f>
        <v>1870.4803973194901</v>
      </c>
      <c r="H10" s="449">
        <f>transport!H54</f>
        <v>0</v>
      </c>
      <c r="I10" s="449">
        <f>transport!I54</f>
        <v>0</v>
      </c>
      <c r="J10" s="449">
        <f>transport!J54</f>
        <v>0</v>
      </c>
      <c r="K10" s="449">
        <f>transport!K54</f>
        <v>0</v>
      </c>
      <c r="L10" s="449">
        <f>transport!L54</f>
        <v>0</v>
      </c>
      <c r="M10" s="449">
        <f>transport!M54</f>
        <v>107.39884273495646</v>
      </c>
      <c r="N10" s="449">
        <f>transport!N54</f>
        <v>0</v>
      </c>
      <c r="O10" s="449">
        <f>transport!O54</f>
        <v>0</v>
      </c>
      <c r="P10" s="450">
        <f>transport!P54</f>
        <v>0</v>
      </c>
      <c r="Q10" s="448">
        <f t="shared" si="0"/>
        <v>2007.7576756532064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383.903705</v>
      </c>
      <c r="C14" s="456"/>
      <c r="D14" s="456">
        <f>'SEAP template'!E25</f>
        <v>4547.2485280000001</v>
      </c>
      <c r="E14" s="456"/>
      <c r="F14" s="456"/>
      <c r="G14" s="456"/>
      <c r="H14" s="456"/>
      <c r="I14" s="456"/>
      <c r="J14" s="456"/>
      <c r="K14" s="456"/>
      <c r="L14" s="456"/>
      <c r="M14" s="456"/>
      <c r="N14" s="456"/>
      <c r="O14" s="456"/>
      <c r="P14" s="457"/>
      <c r="Q14" s="448">
        <f t="shared" si="0"/>
        <v>4931.1522329999998</v>
      </c>
    </row>
    <row r="15" spans="1:17" s="460" customFormat="1">
      <c r="A15" s="458" t="s">
        <v>537</v>
      </c>
      <c r="B15" s="459">
        <f ca="1">SUM(B4:B14)</f>
        <v>104172.52967878807</v>
      </c>
      <c r="C15" s="459">
        <f t="shared" ref="C15:Q15" ca="1" si="1">SUM(C4:C14)</f>
        <v>4100.6250000000009</v>
      </c>
      <c r="D15" s="459">
        <f t="shared" ca="1" si="1"/>
        <v>173692.72637635138</v>
      </c>
      <c r="E15" s="459">
        <f t="shared" si="1"/>
        <v>3201.7563353263467</v>
      </c>
      <c r="F15" s="459">
        <f t="shared" ca="1" si="1"/>
        <v>55167.382157020053</v>
      </c>
      <c r="G15" s="459">
        <f t="shared" si="1"/>
        <v>306187.7133128877</v>
      </c>
      <c r="H15" s="459">
        <f t="shared" si="1"/>
        <v>74195.063668151517</v>
      </c>
      <c r="I15" s="459">
        <f t="shared" si="1"/>
        <v>0</v>
      </c>
      <c r="J15" s="459">
        <f t="shared" si="1"/>
        <v>613.76061563926362</v>
      </c>
      <c r="K15" s="459">
        <f t="shared" si="1"/>
        <v>0</v>
      </c>
      <c r="L15" s="459">
        <f t="shared" ca="1" si="1"/>
        <v>0</v>
      </c>
      <c r="M15" s="459">
        <f t="shared" si="1"/>
        <v>22840.540440612302</v>
      </c>
      <c r="N15" s="459">
        <f t="shared" ca="1" si="1"/>
        <v>11790.342983379969</v>
      </c>
      <c r="O15" s="459">
        <f t="shared" si="1"/>
        <v>590.16493548501546</v>
      </c>
      <c r="P15" s="459">
        <f t="shared" si="1"/>
        <v>1674.2462387622684</v>
      </c>
      <c r="Q15" s="459">
        <f t="shared" ca="1" si="1"/>
        <v>758226.85174240381</v>
      </c>
    </row>
    <row r="17" spans="1:17">
      <c r="A17" s="461" t="s">
        <v>538</v>
      </c>
      <c r="B17" s="778">
        <f ca="1">huishoudens!B10</f>
        <v>0.12721998119891176</v>
      </c>
      <c r="C17" s="778">
        <f ca="1">huishoudens!C10</f>
        <v>7.8529411764705875E-2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3486.365475843359</v>
      </c>
      <c r="C22" s="449">
        <f t="shared" ref="C22:C32" ca="1" si="3">C4*$C$17</f>
        <v>0</v>
      </c>
      <c r="D22" s="449">
        <f t="shared" ref="D22:D32" si="4">D4*$D$17</f>
        <v>7099.4491636941602</v>
      </c>
      <c r="E22" s="449">
        <f t="shared" ref="E22:E32" si="5">E4*$E$17</f>
        <v>497.51658559102771</v>
      </c>
      <c r="F22" s="449">
        <f t="shared" ref="F22:F32" si="6">F4*$F$17</f>
        <v>12819.410376369227</v>
      </c>
      <c r="G22" s="449">
        <f t="shared" ref="G22:G32" si="7">G4*$G$17</f>
        <v>0</v>
      </c>
      <c r="H22" s="449">
        <f t="shared" ref="H22:H32" si="8">H4*$H$17</f>
        <v>0</v>
      </c>
      <c r="I22" s="449">
        <f t="shared" ref="I22:I32" si="9">I4*$I$17</f>
        <v>0</v>
      </c>
      <c r="J22" s="449">
        <f t="shared" ref="J22:J32" si="10">J4*$J$17</f>
        <v>96.865035700655213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23999.606637198427</v>
      </c>
    </row>
    <row r="23" spans="1:17">
      <c r="A23" s="448" t="s">
        <v>155</v>
      </c>
      <c r="B23" s="449">
        <f t="shared" ca="1" si="2"/>
        <v>2952.8223200333014</v>
      </c>
      <c r="C23" s="449">
        <f t="shared" ca="1" si="3"/>
        <v>322.01966911764708</v>
      </c>
      <c r="D23" s="449">
        <f t="shared" ca="1" si="4"/>
        <v>3565.3849003161899</v>
      </c>
      <c r="E23" s="449">
        <f t="shared" si="5"/>
        <v>13.691836677047915</v>
      </c>
      <c r="F23" s="449">
        <f t="shared" ca="1" si="6"/>
        <v>199.46625877537915</v>
      </c>
      <c r="G23" s="449">
        <f t="shared" si="7"/>
        <v>0</v>
      </c>
      <c r="H23" s="449">
        <f t="shared" si="8"/>
        <v>0</v>
      </c>
      <c r="I23" s="449">
        <f t="shared" si="9"/>
        <v>0</v>
      </c>
      <c r="J23" s="449">
        <f t="shared" si="10"/>
        <v>5.5223025717926243E-3</v>
      </c>
      <c r="K23" s="449">
        <f t="shared" si="11"/>
        <v>0</v>
      </c>
      <c r="L23" s="449">
        <f t="shared" ca="1" si="12"/>
        <v>0</v>
      </c>
      <c r="M23" s="449">
        <f t="shared" si="13"/>
        <v>0</v>
      </c>
      <c r="N23" s="449">
        <f t="shared" ca="1" si="14"/>
        <v>0</v>
      </c>
      <c r="O23" s="449">
        <f t="shared" si="15"/>
        <v>0</v>
      </c>
      <c r="P23" s="450">
        <f t="shared" si="16"/>
        <v>0</v>
      </c>
      <c r="Q23" s="448">
        <f t="shared" ref="Q23:Q31" ca="1" si="17">SUM(B23:P23)</f>
        <v>7053.3905072221369</v>
      </c>
    </row>
    <row r="24" spans="1:17">
      <c r="A24" s="448" t="s">
        <v>193</v>
      </c>
      <c r="B24" s="449">
        <f t="shared" ca="1" si="2"/>
        <v>150.73668186921773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150.73668186921773</v>
      </c>
    </row>
    <row r="25" spans="1:17">
      <c r="A25" s="448" t="s">
        <v>111</v>
      </c>
      <c r="B25" s="449">
        <f t="shared" ca="1" si="2"/>
        <v>141.47074061359635</v>
      </c>
      <c r="C25" s="449">
        <f t="shared" ca="1" si="3"/>
        <v>0</v>
      </c>
      <c r="D25" s="449">
        <f t="shared" si="4"/>
        <v>374.61434576617802</v>
      </c>
      <c r="E25" s="449">
        <f t="shared" si="5"/>
        <v>7.2299589613672488</v>
      </c>
      <c r="F25" s="449">
        <f t="shared" si="6"/>
        <v>939.85878872349588</v>
      </c>
      <c r="G25" s="449">
        <f t="shared" si="7"/>
        <v>0</v>
      </c>
      <c r="H25" s="449">
        <f t="shared" si="8"/>
        <v>0</v>
      </c>
      <c r="I25" s="449">
        <f t="shared" si="9"/>
        <v>0</v>
      </c>
      <c r="J25" s="449">
        <f t="shared" si="10"/>
        <v>100.09382593602453</v>
      </c>
      <c r="K25" s="449">
        <f t="shared" si="11"/>
        <v>0</v>
      </c>
      <c r="L25" s="449">
        <f t="shared" si="12"/>
        <v>0</v>
      </c>
      <c r="M25" s="449">
        <f t="shared" si="13"/>
        <v>0</v>
      </c>
      <c r="N25" s="449">
        <f t="shared" si="14"/>
        <v>0</v>
      </c>
      <c r="O25" s="449">
        <f t="shared" si="15"/>
        <v>0</v>
      </c>
      <c r="P25" s="450">
        <f t="shared" si="16"/>
        <v>0</v>
      </c>
      <c r="Q25" s="448">
        <f t="shared" ca="1" si="17"/>
        <v>1563.2676600006621</v>
      </c>
    </row>
    <row r="26" spans="1:17">
      <c r="A26" s="448" t="s">
        <v>617</v>
      </c>
      <c r="B26" s="449">
        <f t="shared" ca="1" si="2"/>
        <v>6346.1300592569896</v>
      </c>
      <c r="C26" s="449">
        <f t="shared" ca="1" si="3"/>
        <v>0</v>
      </c>
      <c r="D26" s="449">
        <f t="shared" si="4"/>
        <v>22832.936603403821</v>
      </c>
      <c r="E26" s="449">
        <f t="shared" si="5"/>
        <v>56.169230069295509</v>
      </c>
      <c r="F26" s="449">
        <f t="shared" si="6"/>
        <v>770.95561205624972</v>
      </c>
      <c r="G26" s="449">
        <f t="shared" si="7"/>
        <v>0</v>
      </c>
      <c r="H26" s="449">
        <f t="shared" si="8"/>
        <v>0</v>
      </c>
      <c r="I26" s="449">
        <f t="shared" si="9"/>
        <v>0</v>
      </c>
      <c r="J26" s="449">
        <f t="shared" si="10"/>
        <v>20.306873997047763</v>
      </c>
      <c r="K26" s="449">
        <f t="shared" si="11"/>
        <v>0</v>
      </c>
      <c r="L26" s="449">
        <f t="shared" si="12"/>
        <v>0</v>
      </c>
      <c r="M26" s="449">
        <f t="shared" si="13"/>
        <v>0</v>
      </c>
      <c r="N26" s="449">
        <f t="shared" si="14"/>
        <v>0</v>
      </c>
      <c r="O26" s="449">
        <f t="shared" si="15"/>
        <v>0</v>
      </c>
      <c r="P26" s="450">
        <f t="shared" si="16"/>
        <v>0</v>
      </c>
      <c r="Q26" s="448">
        <f t="shared" ca="1" si="17"/>
        <v>30026.498378783403</v>
      </c>
    </row>
    <row r="27" spans="1:17" s="454" customFormat="1">
      <c r="A27" s="452" t="s">
        <v>543</v>
      </c>
      <c r="B27" s="772">
        <f t="shared" ca="1" si="2"/>
        <v>122.660633414611</v>
      </c>
      <c r="C27" s="453">
        <f t="shared" ca="1" si="3"/>
        <v>0</v>
      </c>
      <c r="D27" s="453">
        <f t="shared" si="4"/>
        <v>295.001512186627</v>
      </c>
      <c r="E27" s="453">
        <f t="shared" si="5"/>
        <v>152.19107682034237</v>
      </c>
      <c r="F27" s="453">
        <f t="shared" si="6"/>
        <v>0</v>
      </c>
      <c r="G27" s="453">
        <f t="shared" si="7"/>
        <v>81252.701188456718</v>
      </c>
      <c r="H27" s="453">
        <f t="shared" si="8"/>
        <v>18474.570853369729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100297.12526424802</v>
      </c>
    </row>
    <row r="28" spans="1:17" ht="16.5" customHeight="1">
      <c r="A28" s="448" t="s">
        <v>533</v>
      </c>
      <c r="B28" s="449">
        <f t="shared" ca="1" si="2"/>
        <v>3.8011340151271411</v>
      </c>
      <c r="C28" s="449">
        <f t="shared" ca="1" si="3"/>
        <v>0</v>
      </c>
      <c r="D28" s="449">
        <f t="shared" si="4"/>
        <v>0</v>
      </c>
      <c r="E28" s="449">
        <f t="shared" si="5"/>
        <v>0</v>
      </c>
      <c r="F28" s="449">
        <f t="shared" si="6"/>
        <v>0</v>
      </c>
      <c r="G28" s="449">
        <f t="shared" si="7"/>
        <v>499.41826608430387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503.21940009943103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48.840222132292567</v>
      </c>
      <c r="C32" s="449">
        <f t="shared" ca="1" si="3"/>
        <v>0</v>
      </c>
      <c r="D32" s="449">
        <f t="shared" si="4"/>
        <v>918.54420265600004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967.38442478829256</v>
      </c>
    </row>
    <row r="33" spans="1:17" s="460" customFormat="1">
      <c r="A33" s="458" t="s">
        <v>537</v>
      </c>
      <c r="B33" s="459">
        <f ca="1">SUM(B22:B32)</f>
        <v>13252.827267178494</v>
      </c>
      <c r="C33" s="459">
        <f t="shared" ref="C33:Q33" ca="1" si="19">SUM(C22:C32)</f>
        <v>322.01966911764708</v>
      </c>
      <c r="D33" s="459">
        <f t="shared" ca="1" si="19"/>
        <v>35085.93072802297</v>
      </c>
      <c r="E33" s="459">
        <f t="shared" si="19"/>
        <v>726.79868811908068</v>
      </c>
      <c r="F33" s="459">
        <f t="shared" ca="1" si="19"/>
        <v>14729.691035924352</v>
      </c>
      <c r="G33" s="459">
        <f t="shared" si="19"/>
        <v>81752.119454541025</v>
      </c>
      <c r="H33" s="459">
        <f t="shared" si="19"/>
        <v>18474.570853369729</v>
      </c>
      <c r="I33" s="459">
        <f t="shared" si="19"/>
        <v>0</v>
      </c>
      <c r="J33" s="459">
        <f t="shared" si="19"/>
        <v>217.27125793629932</v>
      </c>
      <c r="K33" s="459">
        <f t="shared" si="19"/>
        <v>0</v>
      </c>
      <c r="L33" s="459">
        <f t="shared" ca="1" si="19"/>
        <v>0</v>
      </c>
      <c r="M33" s="459">
        <f t="shared" si="19"/>
        <v>0</v>
      </c>
      <c r="N33" s="459">
        <f t="shared" ca="1" si="19"/>
        <v>0</v>
      </c>
      <c r="O33" s="459">
        <f t="shared" si="19"/>
        <v>0</v>
      </c>
      <c r="P33" s="459">
        <f t="shared" si="19"/>
        <v>0</v>
      </c>
      <c r="Q33" s="459">
        <f t="shared" ca="1" si="19"/>
        <v>164561.2289542096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29531.624911670642</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12323.562860800037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2733.75</v>
      </c>
      <c r="C8" s="1016">
        <f>'SEAP template'!C76</f>
        <v>911.25000000000011</v>
      </c>
      <c r="D8" s="1016">
        <f>'SEAP template'!D76</f>
        <v>0</v>
      </c>
      <c r="E8" s="1016">
        <f>'SEAP template'!E76</f>
        <v>0</v>
      </c>
      <c r="F8" s="1016">
        <f>'SEAP template'!F76</f>
        <v>1072.0588235294117</v>
      </c>
      <c r="G8" s="1016">
        <f>'SEAP template'!G76</f>
        <v>0</v>
      </c>
      <c r="H8" s="1016">
        <f>'SEAP template'!H76</f>
        <v>0</v>
      </c>
      <c r="I8" s="1016">
        <f>'SEAP template'!I76</f>
        <v>3216.1764705882347</v>
      </c>
      <c r="J8" s="1016">
        <f>'SEAP template'!J76</f>
        <v>0</v>
      </c>
      <c r="K8" s="1016">
        <f>'SEAP template'!K76</f>
        <v>0</v>
      </c>
      <c r="L8" s="1016">
        <f>'SEAP template'!L76</f>
        <v>0</v>
      </c>
      <c r="M8" s="1016">
        <f>'SEAP template'!M76</f>
        <v>0</v>
      </c>
      <c r="N8" s="1016">
        <f>'SEAP template'!N76</f>
        <v>0</v>
      </c>
      <c r="O8" s="1016">
        <f>'SEAP template'!O76</f>
        <v>0</v>
      </c>
      <c r="P8" s="1017">
        <f>'SEAP template'!Q76</f>
        <v>286.23970588235295</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44588.937772470679</v>
      </c>
      <c r="C10" s="1018">
        <f>SUM(C4:C9)</f>
        <v>911.25000000000011</v>
      </c>
      <c r="D10" s="1018">
        <f t="shared" ref="D10:H10" si="0">SUM(D8:D9)</f>
        <v>0</v>
      </c>
      <c r="E10" s="1018">
        <f t="shared" si="0"/>
        <v>0</v>
      </c>
      <c r="F10" s="1018">
        <f t="shared" si="0"/>
        <v>1072.0588235294117</v>
      </c>
      <c r="G10" s="1018">
        <f t="shared" si="0"/>
        <v>0</v>
      </c>
      <c r="H10" s="1018">
        <f t="shared" si="0"/>
        <v>0</v>
      </c>
      <c r="I10" s="1018">
        <f>SUM(I8:I9)</f>
        <v>3216.1764705882347</v>
      </c>
      <c r="J10" s="1018">
        <f>SUM(J8:J9)</f>
        <v>0</v>
      </c>
      <c r="K10" s="1018">
        <f t="shared" ref="K10:L10" si="1">SUM(K8:K9)</f>
        <v>0</v>
      </c>
      <c r="L10" s="1018">
        <f t="shared" si="1"/>
        <v>0</v>
      </c>
      <c r="M10" s="1018">
        <f>SUM(M8:M9)</f>
        <v>0</v>
      </c>
      <c r="N10" s="1018">
        <f>SUM(N8:N9)</f>
        <v>0</v>
      </c>
      <c r="O10" s="1018">
        <f>SUM(O8:O9)</f>
        <v>0</v>
      </c>
      <c r="P10" s="1018">
        <f>SUM(P8:P9)</f>
        <v>286.23970588235295</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0.12721998119891176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3075.4687500000009</v>
      </c>
      <c r="C17" s="1019">
        <f>'SEAP template'!C87</f>
        <v>1025.1562500000002</v>
      </c>
      <c r="D17" s="1017">
        <f>'SEAP template'!D87</f>
        <v>0</v>
      </c>
      <c r="E17" s="1017">
        <f>'SEAP template'!E87</f>
        <v>0</v>
      </c>
      <c r="F17" s="1017">
        <f>'SEAP template'!F87</f>
        <v>1206.0661764705883</v>
      </c>
      <c r="G17" s="1017">
        <f>'SEAP template'!G87</f>
        <v>0</v>
      </c>
      <c r="H17" s="1017">
        <f>'SEAP template'!H87</f>
        <v>0</v>
      </c>
      <c r="I17" s="1017">
        <f>'SEAP template'!I87</f>
        <v>3618.1985294117649</v>
      </c>
      <c r="J17" s="1017">
        <f>'SEAP template'!J87</f>
        <v>0</v>
      </c>
      <c r="K17" s="1017">
        <f>'SEAP template'!K87</f>
        <v>0</v>
      </c>
      <c r="L17" s="1017">
        <f>'SEAP template'!L87</f>
        <v>0</v>
      </c>
      <c r="M17" s="1017">
        <f>'SEAP template'!M87</f>
        <v>0</v>
      </c>
      <c r="N17" s="1017">
        <f>'SEAP template'!N87</f>
        <v>0</v>
      </c>
      <c r="O17" s="1017">
        <f>'SEAP template'!O87</f>
        <v>0</v>
      </c>
      <c r="P17" s="1017">
        <f>'SEAP template'!Q87</f>
        <v>322.01966911764708</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3075.4687500000009</v>
      </c>
      <c r="C20" s="1018">
        <f>SUM(C17:C19)</f>
        <v>1025.1562500000002</v>
      </c>
      <c r="D20" s="1018">
        <f t="shared" ref="D20:H20" si="2">SUM(D17:D19)</f>
        <v>0</v>
      </c>
      <c r="E20" s="1018">
        <f t="shared" si="2"/>
        <v>0</v>
      </c>
      <c r="F20" s="1018">
        <f t="shared" si="2"/>
        <v>1206.0661764705883</v>
      </c>
      <c r="G20" s="1018">
        <f t="shared" si="2"/>
        <v>0</v>
      </c>
      <c r="H20" s="1018">
        <f t="shared" si="2"/>
        <v>0</v>
      </c>
      <c r="I20" s="1018">
        <f>SUM(I17:I19)</f>
        <v>3618.1985294117649</v>
      </c>
      <c r="J20" s="1018">
        <f>SUM(J17:J19)</f>
        <v>0</v>
      </c>
      <c r="K20" s="1018">
        <f t="shared" ref="K20:L20" si="3">SUM(K17:K19)</f>
        <v>0</v>
      </c>
      <c r="L20" s="1018">
        <f t="shared" si="3"/>
        <v>0</v>
      </c>
      <c r="M20" s="1018">
        <f>SUM(M17:M19)</f>
        <v>0</v>
      </c>
      <c r="N20" s="1018">
        <f>SUM(N17:N19)</f>
        <v>0</v>
      </c>
      <c r="O20" s="1018">
        <f>SUM(O17:O19)</f>
        <v>0</v>
      </c>
      <c r="P20" s="1018">
        <f>SUM(P17:P19)</f>
        <v>322.01966911764708</v>
      </c>
    </row>
    <row r="21" spans="1:16">
      <c r="B21" s="883"/>
    </row>
    <row r="22" spans="1:16">
      <c r="A22" s="461" t="s">
        <v>755</v>
      </c>
      <c r="B22" s="778" t="s">
        <v>753</v>
      </c>
      <c r="C22" s="778">
        <f ca="1">'EF ele_warmte'!B22</f>
        <v>7.8529411764705875E-2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0.12721998119891176</v>
      </c>
      <c r="C17" s="498">
        <f ca="1">'EF ele_warmte'!B22</f>
        <v>7.8529411764705875E-2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0.12721998119891176</v>
      </c>
      <c r="C17" s="498">
        <f ca="1">'EF ele_warmte'!B22</f>
        <v>7.8529411764705875E-2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0.12721998119891176</v>
      </c>
      <c r="C29" s="499">
        <f ca="1">'EF ele_warmte'!B22</f>
        <v>7.8529411764705875E-2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6185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1824.43</v>
      </c>
      <c r="C14" s="326"/>
      <c r="D14" s="326"/>
      <c r="E14" s="326"/>
      <c r="F14" s="326"/>
    </row>
    <row r="15" spans="1:6">
      <c r="A15" s="1312" t="s">
        <v>183</v>
      </c>
      <c r="B15" s="1313">
        <v>663</v>
      </c>
      <c r="C15" s="326"/>
      <c r="D15" s="326"/>
      <c r="E15" s="326"/>
      <c r="F15" s="326"/>
    </row>
    <row r="16" spans="1:6">
      <c r="A16" s="1312" t="s">
        <v>6</v>
      </c>
      <c r="B16" s="1313">
        <v>587</v>
      </c>
      <c r="C16" s="326"/>
      <c r="D16" s="326"/>
      <c r="E16" s="326"/>
      <c r="F16" s="326"/>
    </row>
    <row r="17" spans="1:6">
      <c r="A17" s="1312" t="s">
        <v>7</v>
      </c>
      <c r="B17" s="1313">
        <v>197</v>
      </c>
      <c r="C17" s="326"/>
      <c r="D17" s="326"/>
      <c r="E17" s="326"/>
      <c r="F17" s="326"/>
    </row>
    <row r="18" spans="1:6">
      <c r="A18" s="1312" t="s">
        <v>8</v>
      </c>
      <c r="B18" s="1313">
        <v>436</v>
      </c>
      <c r="C18" s="326"/>
      <c r="D18" s="326"/>
      <c r="E18" s="326"/>
      <c r="F18" s="326"/>
    </row>
    <row r="19" spans="1:6">
      <c r="A19" s="1312" t="s">
        <v>9</v>
      </c>
      <c r="B19" s="1313">
        <v>368</v>
      </c>
      <c r="C19" s="326"/>
      <c r="D19" s="326"/>
      <c r="E19" s="326"/>
      <c r="F19" s="326"/>
    </row>
    <row r="20" spans="1:6">
      <c r="A20" s="1312" t="s">
        <v>10</v>
      </c>
      <c r="B20" s="1313">
        <v>251</v>
      </c>
      <c r="C20" s="326"/>
      <c r="D20" s="326"/>
      <c r="E20" s="326"/>
      <c r="F20" s="326"/>
    </row>
    <row r="21" spans="1:6">
      <c r="A21" s="1312" t="s">
        <v>11</v>
      </c>
      <c r="B21" s="1313">
        <v>4089</v>
      </c>
      <c r="C21" s="326"/>
      <c r="D21" s="326"/>
      <c r="E21" s="326"/>
      <c r="F21" s="326"/>
    </row>
    <row r="22" spans="1:6">
      <c r="A22" s="1312" t="s">
        <v>12</v>
      </c>
      <c r="B22" s="1313">
        <v>10470</v>
      </c>
      <c r="C22" s="326"/>
      <c r="D22" s="326"/>
      <c r="E22" s="326"/>
      <c r="F22" s="326"/>
    </row>
    <row r="23" spans="1:6">
      <c r="A23" s="1312" t="s">
        <v>13</v>
      </c>
      <c r="B23" s="1313">
        <v>165</v>
      </c>
      <c r="C23" s="326"/>
      <c r="D23" s="326"/>
      <c r="E23" s="326"/>
      <c r="F23" s="326"/>
    </row>
    <row r="24" spans="1:6">
      <c r="A24" s="1312" t="s">
        <v>14</v>
      </c>
      <c r="B24" s="1313">
        <v>20</v>
      </c>
      <c r="C24" s="326"/>
      <c r="D24" s="326"/>
      <c r="E24" s="326"/>
      <c r="F24" s="326"/>
    </row>
    <row r="25" spans="1:6">
      <c r="A25" s="1312" t="s">
        <v>15</v>
      </c>
      <c r="B25" s="1313">
        <v>1207</v>
      </c>
      <c r="C25" s="326"/>
      <c r="D25" s="326"/>
      <c r="E25" s="326"/>
      <c r="F25" s="326"/>
    </row>
    <row r="26" spans="1:6">
      <c r="A26" s="1312" t="s">
        <v>16</v>
      </c>
      <c r="B26" s="1313">
        <v>389</v>
      </c>
      <c r="C26" s="326"/>
      <c r="D26" s="326"/>
      <c r="E26" s="326"/>
      <c r="F26" s="326"/>
    </row>
    <row r="27" spans="1:6">
      <c r="A27" s="1312" t="s">
        <v>17</v>
      </c>
      <c r="B27" s="1313">
        <v>533</v>
      </c>
      <c r="C27" s="326"/>
      <c r="D27" s="326"/>
      <c r="E27" s="326"/>
      <c r="F27" s="326"/>
    </row>
    <row r="28" spans="1:6" s="43" customFormat="1">
      <c r="A28" s="1314" t="s">
        <v>18</v>
      </c>
      <c r="B28" s="1315">
        <v>579</v>
      </c>
      <c r="C28" s="332"/>
      <c r="D28" s="332"/>
      <c r="E28" s="332"/>
      <c r="F28" s="332"/>
    </row>
    <row r="29" spans="1:6">
      <c r="A29" s="1314" t="s">
        <v>684</v>
      </c>
      <c r="B29" s="1315">
        <v>251</v>
      </c>
      <c r="C29" s="332"/>
      <c r="D29" s="332"/>
      <c r="E29" s="332"/>
      <c r="F29" s="332"/>
    </row>
    <row r="30" spans="1:6">
      <c r="A30" s="1307" t="s">
        <v>685</v>
      </c>
      <c r="B30" s="1316">
        <v>56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10</v>
      </c>
      <c r="F36" s="1313">
        <v>83655.573000000004</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2735</v>
      </c>
      <c r="D39" s="1313">
        <v>38921138.359999999</v>
      </c>
      <c r="E39" s="1313">
        <v>6228</v>
      </c>
      <c r="F39" s="1313">
        <v>19992963.394000102</v>
      </c>
    </row>
    <row r="40" spans="1:6">
      <c r="A40" s="1312" t="s">
        <v>29</v>
      </c>
      <c r="B40" s="1312" t="s">
        <v>28</v>
      </c>
      <c r="C40" s="1313">
        <v>0</v>
      </c>
      <c r="D40" s="1313">
        <v>0</v>
      </c>
      <c r="E40" s="1313">
        <v>0</v>
      </c>
      <c r="F40" s="1313">
        <v>0</v>
      </c>
    </row>
    <row r="41" spans="1:6">
      <c r="A41" s="1312" t="s">
        <v>31</v>
      </c>
      <c r="B41" s="1312" t="s">
        <v>32</v>
      </c>
      <c r="C41" s="1313">
        <v>64</v>
      </c>
      <c r="D41" s="1313">
        <v>2961313.1740000001</v>
      </c>
      <c r="E41" s="1313">
        <v>148</v>
      </c>
      <c r="F41" s="1313">
        <v>2018407.13</v>
      </c>
    </row>
    <row r="42" spans="1:6">
      <c r="A42" s="1312" t="s">
        <v>31</v>
      </c>
      <c r="B42" s="1312" t="s">
        <v>33</v>
      </c>
      <c r="C42" s="1313">
        <v>0</v>
      </c>
      <c r="D42" s="1313">
        <v>0</v>
      </c>
      <c r="E42" s="1313">
        <v>3</v>
      </c>
      <c r="F42" s="1313">
        <v>410015.34</v>
      </c>
    </row>
    <row r="43" spans="1:6">
      <c r="A43" s="1312" t="s">
        <v>31</v>
      </c>
      <c r="B43" s="1312" t="s">
        <v>34</v>
      </c>
      <c r="C43" s="1313">
        <v>0</v>
      </c>
      <c r="D43" s="1313">
        <v>0</v>
      </c>
      <c r="E43" s="1313">
        <v>0</v>
      </c>
      <c r="F43" s="1313">
        <v>0</v>
      </c>
    </row>
    <row r="44" spans="1:6">
      <c r="A44" s="1312" t="s">
        <v>31</v>
      </c>
      <c r="B44" s="1312" t="s">
        <v>35</v>
      </c>
      <c r="C44" s="1313">
        <v>16</v>
      </c>
      <c r="D44" s="1313">
        <v>28063578.710000001</v>
      </c>
      <c r="E44" s="1313">
        <v>31</v>
      </c>
      <c r="F44" s="1313">
        <v>10488596.017000001</v>
      </c>
    </row>
    <row r="45" spans="1:6">
      <c r="A45" s="1312" t="s">
        <v>31</v>
      </c>
      <c r="B45" s="1312" t="s">
        <v>36</v>
      </c>
      <c r="C45" s="1313">
        <v>0</v>
      </c>
      <c r="D45" s="1313">
        <v>0</v>
      </c>
      <c r="E45" s="1313">
        <v>4</v>
      </c>
      <c r="F45" s="1313">
        <v>1359559.4620000001</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4</v>
      </c>
      <c r="D48" s="1313">
        <v>14889709.618999999</v>
      </c>
      <c r="E48" s="1313">
        <v>2</v>
      </c>
      <c r="F48" s="1313">
        <v>21852.286</v>
      </c>
    </row>
    <row r="49" spans="1:6">
      <c r="A49" s="1312" t="s">
        <v>31</v>
      </c>
      <c r="B49" s="1312" t="s">
        <v>39</v>
      </c>
      <c r="C49" s="1313">
        <v>0</v>
      </c>
      <c r="D49" s="1313">
        <v>0</v>
      </c>
      <c r="E49" s="1313">
        <v>3</v>
      </c>
      <c r="F49" s="1313">
        <v>2632.7260000000001</v>
      </c>
    </row>
    <row r="50" spans="1:6">
      <c r="A50" s="1312" t="s">
        <v>31</v>
      </c>
      <c r="B50" s="1312" t="s">
        <v>40</v>
      </c>
      <c r="C50" s="1313">
        <v>11</v>
      </c>
      <c r="D50" s="1313">
        <v>79261854.334000006</v>
      </c>
      <c r="E50" s="1313">
        <v>13</v>
      </c>
      <c r="F50" s="1313">
        <v>35582060.739</v>
      </c>
    </row>
    <row r="51" spans="1:6">
      <c r="A51" s="1312" t="s">
        <v>41</v>
      </c>
      <c r="B51" s="1312" t="s">
        <v>42</v>
      </c>
      <c r="C51" s="1313">
        <v>5</v>
      </c>
      <c r="D51" s="1313">
        <v>2053739.1629999999</v>
      </c>
      <c r="E51" s="1313">
        <v>51</v>
      </c>
      <c r="F51" s="1313">
        <v>1112016.676</v>
      </c>
    </row>
    <row r="52" spans="1:6">
      <c r="A52" s="1312" t="s">
        <v>41</v>
      </c>
      <c r="B52" s="1312" t="s">
        <v>28</v>
      </c>
      <c r="C52" s="1313">
        <v>0</v>
      </c>
      <c r="D52" s="1313">
        <v>0</v>
      </c>
      <c r="E52" s="1313">
        <v>0</v>
      </c>
      <c r="F52" s="1313">
        <v>0</v>
      </c>
    </row>
    <row r="53" spans="1:6">
      <c r="A53" s="1312" t="s">
        <v>43</v>
      </c>
      <c r="B53" s="1312" t="s">
        <v>44</v>
      </c>
      <c r="C53" s="1313">
        <v>42</v>
      </c>
      <c r="D53" s="1313">
        <v>4547248.5279999999</v>
      </c>
      <c r="E53" s="1313">
        <v>114</v>
      </c>
      <c r="F53" s="1313">
        <v>383903.70500000002</v>
      </c>
    </row>
    <row r="54" spans="1:6">
      <c r="A54" s="1312" t="s">
        <v>45</v>
      </c>
      <c r="B54" s="1312" t="s">
        <v>46</v>
      </c>
      <c r="C54" s="1313">
        <v>0</v>
      </c>
      <c r="D54" s="1313">
        <v>0</v>
      </c>
      <c r="E54" s="1313">
        <v>3</v>
      </c>
      <c r="F54" s="1313">
        <v>1184850.6850000001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37</v>
      </c>
      <c r="D57" s="1313">
        <v>3521932.6710000001</v>
      </c>
      <c r="E57" s="1313">
        <v>94</v>
      </c>
      <c r="F57" s="1313">
        <v>1542362.993</v>
      </c>
    </row>
    <row r="58" spans="1:6">
      <c r="A58" s="1312" t="s">
        <v>48</v>
      </c>
      <c r="B58" s="1312" t="s">
        <v>50</v>
      </c>
      <c r="C58" s="1313">
        <v>24</v>
      </c>
      <c r="D58" s="1313">
        <v>910233.52599999995</v>
      </c>
      <c r="E58" s="1313">
        <v>52</v>
      </c>
      <c r="F58" s="1313">
        <v>963118.63</v>
      </c>
    </row>
    <row r="59" spans="1:6">
      <c r="A59" s="1312" t="s">
        <v>48</v>
      </c>
      <c r="B59" s="1312" t="s">
        <v>51</v>
      </c>
      <c r="C59" s="1313">
        <v>66</v>
      </c>
      <c r="D59" s="1313">
        <v>4359764.199</v>
      </c>
      <c r="E59" s="1313">
        <v>156</v>
      </c>
      <c r="F59" s="1313">
        <v>4738219.0369999995</v>
      </c>
    </row>
    <row r="60" spans="1:6">
      <c r="A60" s="1312" t="s">
        <v>48</v>
      </c>
      <c r="B60" s="1312" t="s">
        <v>52</v>
      </c>
      <c r="C60" s="1313">
        <v>35</v>
      </c>
      <c r="D60" s="1313">
        <v>4764860.6840000004</v>
      </c>
      <c r="E60" s="1313">
        <v>58</v>
      </c>
      <c r="F60" s="1313">
        <v>1893164.662</v>
      </c>
    </row>
    <row r="61" spans="1:6">
      <c r="A61" s="1312" t="s">
        <v>48</v>
      </c>
      <c r="B61" s="1312" t="s">
        <v>53</v>
      </c>
      <c r="C61" s="1313">
        <v>127</v>
      </c>
      <c r="D61" s="1313">
        <v>5332792.3080000002</v>
      </c>
      <c r="E61" s="1313">
        <v>291</v>
      </c>
      <c r="F61" s="1313">
        <v>10261409.211999999</v>
      </c>
    </row>
    <row r="62" spans="1:6">
      <c r="A62" s="1312" t="s">
        <v>48</v>
      </c>
      <c r="B62" s="1312" t="s">
        <v>54</v>
      </c>
      <c r="C62" s="1313">
        <v>7</v>
      </c>
      <c r="D62" s="1313">
        <v>656839.97699999996</v>
      </c>
      <c r="E62" s="1313">
        <v>17</v>
      </c>
      <c r="F62" s="1313">
        <v>167091.41800000001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17385.995999999999</v>
      </c>
      <c r="E65" s="1313">
        <v>1</v>
      </c>
      <c r="F65" s="1313">
        <v>14002.674000000001</v>
      </c>
    </row>
    <row r="66" spans="1:6">
      <c r="A66" s="1312" t="s">
        <v>55</v>
      </c>
      <c r="B66" s="1312" t="s">
        <v>57</v>
      </c>
      <c r="C66" s="1313">
        <v>0</v>
      </c>
      <c r="D66" s="1313">
        <v>0</v>
      </c>
      <c r="E66" s="1313">
        <v>13</v>
      </c>
      <c r="F66" s="1313">
        <v>1029051.611</v>
      </c>
    </row>
    <row r="67" spans="1:6">
      <c r="A67" s="1314" t="s">
        <v>55</v>
      </c>
      <c r="B67" s="1314" t="s">
        <v>58</v>
      </c>
      <c r="C67" s="1313">
        <v>0</v>
      </c>
      <c r="D67" s="1313">
        <v>0</v>
      </c>
      <c r="E67" s="1313">
        <v>0</v>
      </c>
      <c r="F67" s="1313">
        <v>0</v>
      </c>
    </row>
    <row r="68" spans="1:6">
      <c r="A68" s="1307" t="s">
        <v>55</v>
      </c>
      <c r="B68" s="1307" t="s">
        <v>59</v>
      </c>
      <c r="C68" s="1316">
        <v>0</v>
      </c>
      <c r="D68" s="1316">
        <v>0</v>
      </c>
      <c r="E68" s="1316">
        <v>4</v>
      </c>
      <c r="F68" s="1316">
        <v>24578.224999999999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58461811</v>
      </c>
      <c r="E73" s="447"/>
      <c r="F73" s="326"/>
    </row>
    <row r="74" spans="1:6">
      <c r="A74" s="1312" t="s">
        <v>63</v>
      </c>
      <c r="B74" s="1312" t="s">
        <v>638</v>
      </c>
      <c r="C74" s="1326" t="s">
        <v>640</v>
      </c>
      <c r="D74" s="1327">
        <v>714621.04936091695</v>
      </c>
      <c r="E74" s="447"/>
      <c r="F74" s="326"/>
    </row>
    <row r="75" spans="1:6">
      <c r="A75" s="1312" t="s">
        <v>64</v>
      </c>
      <c r="B75" s="1312" t="s">
        <v>637</v>
      </c>
      <c r="C75" s="1326" t="s">
        <v>641</v>
      </c>
      <c r="D75" s="1327">
        <v>33110911</v>
      </c>
      <c r="E75" s="447"/>
      <c r="F75" s="326"/>
    </row>
    <row r="76" spans="1:6">
      <c r="A76" s="1312" t="s">
        <v>64</v>
      </c>
      <c r="B76" s="1312" t="s">
        <v>638</v>
      </c>
      <c r="C76" s="1326" t="s">
        <v>642</v>
      </c>
      <c r="D76" s="1327">
        <v>89892.049360917008</v>
      </c>
      <c r="E76" s="447"/>
      <c r="F76" s="326"/>
    </row>
    <row r="77" spans="1:6">
      <c r="A77" s="1312" t="s">
        <v>65</v>
      </c>
      <c r="B77" s="1312" t="s">
        <v>637</v>
      </c>
      <c r="C77" s="1326" t="s">
        <v>643</v>
      </c>
      <c r="D77" s="1327">
        <v>333050864</v>
      </c>
      <c r="E77" s="447"/>
      <c r="F77" s="326"/>
    </row>
    <row r="78" spans="1:6">
      <c r="A78" s="1307" t="s">
        <v>65</v>
      </c>
      <c r="B78" s="1307" t="s">
        <v>638</v>
      </c>
      <c r="C78" s="1307" t="s">
        <v>644</v>
      </c>
      <c r="D78" s="1328">
        <v>46413290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557297.90127816598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29531.624911670642</v>
      </c>
      <c r="C90" s="326"/>
      <c r="D90" s="326"/>
      <c r="E90" s="326"/>
      <c r="F90" s="326"/>
    </row>
    <row r="91" spans="1:6">
      <c r="A91" s="1312" t="s">
        <v>67</v>
      </c>
      <c r="B91" s="1313">
        <v>7411.2654306554832</v>
      </c>
      <c r="C91" s="326"/>
      <c r="D91" s="326"/>
      <c r="E91" s="326"/>
      <c r="F91" s="326"/>
    </row>
    <row r="92" spans="1:6">
      <c r="A92" s="1307" t="s">
        <v>68</v>
      </c>
      <c r="B92" s="1308">
        <v>4912.2974301445529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483</v>
      </c>
      <c r="C97" s="326"/>
      <c r="D97" s="326"/>
      <c r="E97" s="326"/>
      <c r="F97" s="326"/>
    </row>
    <row r="98" spans="1:6">
      <c r="A98" s="1312" t="s">
        <v>71</v>
      </c>
      <c r="B98" s="1313">
        <v>1</v>
      </c>
      <c r="C98" s="326"/>
      <c r="D98" s="326"/>
      <c r="E98" s="326"/>
      <c r="F98" s="326"/>
    </row>
    <row r="99" spans="1:6">
      <c r="A99" s="1312" t="s">
        <v>72</v>
      </c>
      <c r="B99" s="1313">
        <v>32</v>
      </c>
      <c r="C99" s="326"/>
      <c r="D99" s="326"/>
      <c r="E99" s="326"/>
      <c r="F99" s="326"/>
    </row>
    <row r="100" spans="1:6">
      <c r="A100" s="1312" t="s">
        <v>73</v>
      </c>
      <c r="B100" s="1313">
        <v>203</v>
      </c>
      <c r="C100" s="326"/>
      <c r="D100" s="326"/>
      <c r="E100" s="326"/>
      <c r="F100" s="326"/>
    </row>
    <row r="101" spans="1:6">
      <c r="A101" s="1312" t="s">
        <v>74</v>
      </c>
      <c r="B101" s="1313">
        <v>70</v>
      </c>
      <c r="C101" s="326"/>
      <c r="D101" s="326"/>
      <c r="E101" s="326"/>
      <c r="F101" s="326"/>
    </row>
    <row r="102" spans="1:6">
      <c r="A102" s="1312" t="s">
        <v>75</v>
      </c>
      <c r="B102" s="1313">
        <v>48</v>
      </c>
      <c r="C102" s="326"/>
      <c r="D102" s="326"/>
      <c r="E102" s="326"/>
      <c r="F102" s="326"/>
    </row>
    <row r="103" spans="1:6">
      <c r="A103" s="1312" t="s">
        <v>76</v>
      </c>
      <c r="B103" s="1313">
        <v>81</v>
      </c>
      <c r="C103" s="326"/>
      <c r="D103" s="326"/>
      <c r="E103" s="326"/>
      <c r="F103" s="326"/>
    </row>
    <row r="104" spans="1:6">
      <c r="A104" s="1312" t="s">
        <v>77</v>
      </c>
      <c r="B104" s="1313">
        <v>4055</v>
      </c>
      <c r="C104" s="326"/>
      <c r="D104" s="326"/>
      <c r="E104" s="326"/>
      <c r="F104" s="326"/>
    </row>
    <row r="105" spans="1:6">
      <c r="A105" s="1307" t="s">
        <v>78</v>
      </c>
      <c r="B105" s="1316">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3</v>
      </c>
      <c r="C121" s="1313">
        <v>0</v>
      </c>
      <c r="D121" s="326"/>
      <c r="E121" s="326"/>
      <c r="F121" s="326"/>
    </row>
    <row r="122" spans="1:6">
      <c r="A122" s="1312" t="s">
        <v>86</v>
      </c>
      <c r="B122" s="1313">
        <v>0</v>
      </c>
      <c r="C122" s="1313">
        <v>0</v>
      </c>
      <c r="D122" s="326"/>
      <c r="E122" s="326"/>
      <c r="F122" s="326"/>
    </row>
    <row r="123" spans="1:6">
      <c r="A123" s="1312" t="s">
        <v>87</v>
      </c>
      <c r="B123" s="1313">
        <v>70</v>
      </c>
      <c r="C123" s="1313">
        <v>51</v>
      </c>
      <c r="D123" s="326"/>
      <c r="E123" s="326"/>
      <c r="F123" s="326"/>
    </row>
    <row r="124" spans="1:6" s="43" customFormat="1">
      <c r="A124" s="1314" t="s">
        <v>88</v>
      </c>
      <c r="B124" s="1335">
        <v>2</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243</v>
      </c>
      <c r="C129" s="326"/>
      <c r="D129" s="326"/>
      <c r="E129" s="326"/>
      <c r="F129" s="326"/>
    </row>
    <row r="130" spans="1:6">
      <c r="A130" s="1312" t="s">
        <v>290</v>
      </c>
      <c r="B130" s="1313">
        <v>1</v>
      </c>
      <c r="C130" s="326"/>
      <c r="D130" s="326"/>
      <c r="E130" s="326"/>
      <c r="F130" s="326"/>
    </row>
    <row r="131" spans="1:6">
      <c r="A131" s="1312" t="s">
        <v>291</v>
      </c>
      <c r="B131" s="1313">
        <v>2</v>
      </c>
      <c r="C131" s="326"/>
      <c r="D131" s="326"/>
      <c r="E131" s="326"/>
      <c r="F131" s="326"/>
    </row>
    <row r="132" spans="1:6">
      <c r="A132" s="1307" t="s">
        <v>292</v>
      </c>
      <c r="B132" s="1308">
        <v>62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104172.52967878807</v>
      </c>
      <c r="C3" s="43" t="s">
        <v>169</v>
      </c>
      <c r="D3" s="43"/>
      <c r="E3" s="154"/>
      <c r="F3" s="43"/>
      <c r="G3" s="43"/>
      <c r="H3" s="43"/>
      <c r="I3" s="43"/>
      <c r="J3" s="43"/>
      <c r="K3" s="96"/>
    </row>
    <row r="4" spans="1:11">
      <c r="A4" s="354" t="s">
        <v>170</v>
      </c>
      <c r="B4" s="49">
        <f>IF(ISERROR('SEAP template'!B78+'SEAP template'!C78),0,'SEAP template'!B78+'SEAP template'!C78)</f>
        <v>45500.187772470679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286.23970588235295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0.12721998119891176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322.01966911764708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4100.6250000000009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7.8529411764705875E-2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1184.8506850000001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1184.8506850000001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0.12721998119891176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150.73668186921773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19992.9633940001</v>
      </c>
      <c r="C5" s="17">
        <f>IF(ISERROR('Eigen informatie GS &amp; warmtenet'!B59),0,'Eigen informatie GS &amp; warmtenet'!B59)</f>
        <v>0</v>
      </c>
      <c r="D5" s="30">
        <f>(SUM(HH_hh_gas_kWh,HH_rest_gas_kWh)/1000)*0.903</f>
        <v>35145.787939080001</v>
      </c>
      <c r="E5" s="17">
        <f>B32*B41</f>
        <v>2191.7030202247915</v>
      </c>
      <c r="F5" s="17">
        <f>B36*B45</f>
        <v>48012.772945203098</v>
      </c>
      <c r="G5" s="18"/>
      <c r="H5" s="17"/>
      <c r="I5" s="17"/>
      <c r="J5" s="17">
        <f>B35*B44+C35*C44</f>
        <v>273.63004435213338</v>
      </c>
      <c r="K5" s="17"/>
      <c r="L5" s="17"/>
      <c r="M5" s="17"/>
      <c r="N5" s="17">
        <f>B34*B43+C34*C43</f>
        <v>8707.481415773158</v>
      </c>
      <c r="O5" s="17">
        <f>B52*B53*B54</f>
        <v>585.26767471917435</v>
      </c>
      <c r="P5" s="17">
        <f>B60*B61*B62/1000-B60*B61*B62/1000/B63</f>
        <v>1411.5505472297932</v>
      </c>
    </row>
    <row r="6" spans="1:16">
      <c r="A6" s="16" t="s">
        <v>603</v>
      </c>
      <c r="B6" s="780">
        <f>kWh_PV_kleiner_dan_10kW</f>
        <v>7411.2654306554832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27404.228824655584</v>
      </c>
      <c r="C8" s="21">
        <f>C5</f>
        <v>0</v>
      </c>
      <c r="D8" s="21">
        <f>D5</f>
        <v>35145.787939080001</v>
      </c>
      <c r="E8" s="21">
        <f>E5</f>
        <v>2191.7030202247915</v>
      </c>
      <c r="F8" s="21">
        <f>F5</f>
        <v>48012.772945203098</v>
      </c>
      <c r="G8" s="21"/>
      <c r="H8" s="21"/>
      <c r="I8" s="21"/>
      <c r="J8" s="21">
        <f>J5</f>
        <v>273.63004435213338</v>
      </c>
      <c r="K8" s="21"/>
      <c r="L8" s="21">
        <f>L5</f>
        <v>0</v>
      </c>
      <c r="M8" s="21">
        <f>M5</f>
        <v>0</v>
      </c>
      <c r="N8" s="21">
        <f>N5</f>
        <v>8707.481415773158</v>
      </c>
      <c r="O8" s="21">
        <f>O5</f>
        <v>585.26767471917435</v>
      </c>
      <c r="P8" s="21">
        <f>P5</f>
        <v>1411.5505472297932</v>
      </c>
    </row>
    <row r="9" spans="1:16">
      <c r="B9" s="19"/>
      <c r="C9" s="19"/>
      <c r="D9" s="254"/>
      <c r="E9" s="19"/>
      <c r="F9" s="19"/>
      <c r="G9" s="19"/>
      <c r="H9" s="19"/>
      <c r="I9" s="19"/>
      <c r="J9" s="19"/>
      <c r="K9" s="19"/>
      <c r="L9" s="19"/>
      <c r="M9" s="19"/>
      <c r="N9" s="19"/>
      <c r="O9" s="19"/>
      <c r="P9" s="19"/>
    </row>
    <row r="10" spans="1:16">
      <c r="A10" s="24" t="s">
        <v>213</v>
      </c>
      <c r="B10" s="25">
        <f ca="1">'EF ele_warmte'!B12</f>
        <v>0.12721998119891176</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3486.365475843359</v>
      </c>
      <c r="C12" s="23">
        <f ca="1">C10*C8</f>
        <v>0</v>
      </c>
      <c r="D12" s="23">
        <f>D8*D10</f>
        <v>7099.4491636941602</v>
      </c>
      <c r="E12" s="23">
        <f>E10*E8</f>
        <v>497.51658559102771</v>
      </c>
      <c r="F12" s="23">
        <f>F10*F8</f>
        <v>12819.410376369227</v>
      </c>
      <c r="G12" s="23"/>
      <c r="H12" s="23"/>
      <c r="I12" s="23"/>
      <c r="J12" s="23">
        <f>J10*J8</f>
        <v>96.865035700655213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6185</v>
      </c>
      <c r="C26" s="36"/>
      <c r="D26" s="225"/>
    </row>
    <row r="27" spans="1:5" s="15" customFormat="1">
      <c r="A27" s="227" t="s">
        <v>866</v>
      </c>
      <c r="B27" s="37">
        <f>SUM(HH_hh_gas_aantal,HH_rest_gas_aantal)</f>
        <v>2735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2598.25</v>
      </c>
      <c r="C31" s="34" t="s">
        <v>110</v>
      </c>
      <c r="D31" s="171"/>
    </row>
    <row r="32" spans="1:5">
      <c r="A32" s="168" t="s">
        <v>72</v>
      </c>
      <c r="B32" s="33">
        <f>IF((B21*($B$26-($B$27-0.05*$B$27)-$B$60))&lt;0,0,(B21*($B$26-($B$27-0.05*$B$27)-$B$60)))</f>
        <v>54.813092290483027</v>
      </c>
      <c r="C32" s="34" t="s">
        <v>110</v>
      </c>
      <c r="D32" s="171"/>
    </row>
    <row r="33" spans="1:6">
      <c r="A33" s="168" t="s">
        <v>73</v>
      </c>
      <c r="B33" s="33">
        <f>IF((B22*($B$26-($B$27-0.05*$B$27)-$B$60))&lt;0,0,B22*($B$26-($B$27-0.05*$B$27)-$B$60))</f>
        <v>890.05606027663691</v>
      </c>
      <c r="C33" s="34" t="s">
        <v>110</v>
      </c>
      <c r="D33" s="171"/>
    </row>
    <row r="34" spans="1:6">
      <c r="A34" s="168" t="s">
        <v>74</v>
      </c>
      <c r="B34" s="33">
        <f>IF((B24*($B$26-($B$27-0.05*$B$27)-$B$60))&lt;0,0,B24*($B$26-($B$27-0.05*$B$27)-$B$60))</f>
        <v>170.63565789830128</v>
      </c>
      <c r="C34" s="33">
        <f>B26*C24</f>
        <v>1267.3432377034758</v>
      </c>
      <c r="D34" s="230"/>
    </row>
    <row r="35" spans="1:6">
      <c r="A35" s="168" t="s">
        <v>76</v>
      </c>
      <c r="B35" s="33">
        <f>IF((B19*($B$26-($B$27-0.05*$B$27)-$B$60))&lt;0,0,B19*($B$26-($B$27-0.05*$B$27)-$B$60))</f>
        <v>23.827120540684113</v>
      </c>
      <c r="C35" s="33">
        <f>B35/2</f>
        <v>11.913560270342057</v>
      </c>
      <c r="D35" s="230"/>
    </row>
    <row r="36" spans="1:6">
      <c r="A36" s="168" t="s">
        <v>77</v>
      </c>
      <c r="B36" s="33">
        <f>IF((B18*($B$26-($B$27-0.05*$B$27)-$B$60))&lt;0,0,B18*($B$26-($B$27-0.05*$B$27)-$B$60))</f>
        <v>2313.4180689938939</v>
      </c>
      <c r="C36" s="34" t="s">
        <v>110</v>
      </c>
      <c r="D36" s="171"/>
    </row>
    <row r="37" spans="1:6">
      <c r="A37" s="168" t="s">
        <v>78</v>
      </c>
      <c r="B37" s="33">
        <f>B60</f>
        <v>134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295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19565.365951999996</v>
      </c>
      <c r="C5" s="17">
        <f>IF(ISERROR('Eigen informatie GS &amp; warmtenet'!B60),0,'Eigen informatie GS &amp; warmtenet'!B60)</f>
        <v>0</v>
      </c>
      <c r="D5" s="30">
        <f>SUM(D6:D12)</f>
        <v>17650.420298595</v>
      </c>
      <c r="E5" s="17">
        <f>SUM(E6:E12)</f>
        <v>60.316461132369668</v>
      </c>
      <c r="F5" s="17">
        <f>SUM(F6:F12)</f>
        <v>3025.1896396081615</v>
      </c>
      <c r="G5" s="18"/>
      <c r="H5" s="17"/>
      <c r="I5" s="17"/>
      <c r="J5" s="17">
        <f>SUM(J6:J12)</f>
        <v>1.5599724779075211E-2</v>
      </c>
      <c r="K5" s="17"/>
      <c r="L5" s="17"/>
      <c r="M5" s="17"/>
      <c r="N5" s="17">
        <f>SUM(N6:N12)</f>
        <v>613.44423968117815</v>
      </c>
      <c r="O5" s="17">
        <f>B38*B39*B40</f>
        <v>4.8972607658411542</v>
      </c>
      <c r="P5" s="17">
        <f>B46*B47*B48/1000-B46*B47*B48/1000/B49</f>
        <v>262.69569153247511</v>
      </c>
      <c r="R5" s="32"/>
    </row>
    <row r="6" spans="1:18">
      <c r="A6" s="32" t="s">
        <v>53</v>
      </c>
      <c r="B6" s="37">
        <f>B26</f>
        <v>10261.409211999999</v>
      </c>
      <c r="C6" s="33"/>
      <c r="D6" s="37">
        <f>IF(ISERROR(TER_kantoor_gas_kWh/1000),0,TER_kantoor_gas_kWh/1000)*0.903</f>
        <v>4815.511454124</v>
      </c>
      <c r="E6" s="33">
        <f>$C$26*'E Balans VL '!I12/100/3.6*1000000</f>
        <v>2.444991363490165</v>
      </c>
      <c r="F6" s="33">
        <f>$C$26*('E Balans VL '!L12+'E Balans VL '!N12)/100/3.6*1000000</f>
        <v>891.30391235527304</v>
      </c>
      <c r="G6" s="34"/>
      <c r="H6" s="33"/>
      <c r="I6" s="33"/>
      <c r="J6" s="33">
        <f>$C$26*('E Balans VL '!D12+'E Balans VL '!E12)/100/3.6*1000000</f>
        <v>0</v>
      </c>
      <c r="K6" s="33"/>
      <c r="L6" s="33"/>
      <c r="M6" s="33"/>
      <c r="N6" s="33">
        <f>$C$26*'E Balans VL '!Y12/100/3.6*1000000</f>
        <v>13.715808985029303</v>
      </c>
      <c r="O6" s="33"/>
      <c r="P6" s="33"/>
      <c r="R6" s="32"/>
    </row>
    <row r="7" spans="1:18">
      <c r="A7" s="32" t="s">
        <v>52</v>
      </c>
      <c r="B7" s="37">
        <f t="shared" ref="B7:B12" si="0">B27</f>
        <v>1893.1646619999999</v>
      </c>
      <c r="C7" s="33"/>
      <c r="D7" s="37">
        <f>IF(ISERROR(TER_horeca_gas_kWh/1000),0,TER_horeca_gas_kWh/1000)*0.903</f>
        <v>4302.6691976520005</v>
      </c>
      <c r="E7" s="33">
        <f>$C$27*'E Balans VL '!I9/100/3.6*1000000</f>
        <v>0</v>
      </c>
      <c r="F7" s="33">
        <f>$C$27*('E Balans VL '!L9+'E Balans VL '!N9)/100/3.6*1000000</f>
        <v>154.25865856674568</v>
      </c>
      <c r="G7" s="34"/>
      <c r="H7" s="33"/>
      <c r="I7" s="33"/>
      <c r="J7" s="33">
        <f>$C$27*('E Balans VL '!D9+'E Balans VL '!E9)/100/3.6*1000000</f>
        <v>0</v>
      </c>
      <c r="K7" s="33"/>
      <c r="L7" s="33"/>
      <c r="M7" s="33"/>
      <c r="N7" s="33">
        <f>$C$27*'E Balans VL '!Y9/100/3.6*1000000</f>
        <v>0.52437136566341702</v>
      </c>
      <c r="O7" s="33"/>
      <c r="P7" s="33"/>
      <c r="R7" s="32"/>
    </row>
    <row r="8" spans="1:18">
      <c r="A8" s="6" t="s">
        <v>51</v>
      </c>
      <c r="B8" s="37">
        <f t="shared" si="0"/>
        <v>4738.2190369999998</v>
      </c>
      <c r="C8" s="33"/>
      <c r="D8" s="37">
        <f>IF(ISERROR(TER_handel_gas_kWh/1000),0,TER_handel_gas_kWh/1000)*0.903</f>
        <v>3936.8670716970005</v>
      </c>
      <c r="E8" s="33">
        <f>$C$28*'E Balans VL '!I13/100/3.6*1000000</f>
        <v>37.875496865620107</v>
      </c>
      <c r="F8" s="33">
        <f>$C$28*('E Balans VL '!L13+'E Balans VL '!N13)/100/3.6*1000000</f>
        <v>470.71260683789922</v>
      </c>
      <c r="G8" s="34"/>
      <c r="H8" s="33"/>
      <c r="I8" s="33"/>
      <c r="J8" s="33">
        <f>$C$28*('E Balans VL '!D13+'E Balans VL '!E13)/100/3.6*1000000</f>
        <v>0</v>
      </c>
      <c r="K8" s="33"/>
      <c r="L8" s="33"/>
      <c r="M8" s="33"/>
      <c r="N8" s="33">
        <f>$C$28*'E Balans VL '!Y13/100/3.6*1000000</f>
        <v>1.7700068478899891</v>
      </c>
      <c r="O8" s="33"/>
      <c r="P8" s="33"/>
      <c r="R8" s="32"/>
    </row>
    <row r="9" spans="1:18">
      <c r="A9" s="32" t="s">
        <v>50</v>
      </c>
      <c r="B9" s="37">
        <f t="shared" si="0"/>
        <v>963.11863000000005</v>
      </c>
      <c r="C9" s="33"/>
      <c r="D9" s="37">
        <f>IF(ISERROR(TER_gezond_gas_kWh/1000),0,TER_gezond_gas_kWh/1000)*0.903</f>
        <v>821.94087397800001</v>
      </c>
      <c r="E9" s="33">
        <f>$C$29*'E Balans VL '!I10/100/3.6*1000000</f>
        <v>0</v>
      </c>
      <c r="F9" s="33">
        <f>$C$29*('E Balans VL '!L10+'E Balans VL '!N10)/100/3.6*1000000</f>
        <v>87.803957813535959</v>
      </c>
      <c r="G9" s="34"/>
      <c r="H9" s="33"/>
      <c r="I9" s="33"/>
      <c r="J9" s="33">
        <f>$C$29*('E Balans VL '!D10+'E Balans VL '!E10)/100/3.6*1000000</f>
        <v>0</v>
      </c>
      <c r="K9" s="33"/>
      <c r="L9" s="33"/>
      <c r="M9" s="33"/>
      <c r="N9" s="33">
        <f>$C$29*'E Balans VL '!Y10/100/3.6*1000000</f>
        <v>7.0395340768664116</v>
      </c>
      <c r="O9" s="33"/>
      <c r="P9" s="33"/>
      <c r="R9" s="32"/>
    </row>
    <row r="10" spans="1:18">
      <c r="A10" s="32" t="s">
        <v>49</v>
      </c>
      <c r="B10" s="37">
        <f t="shared" si="0"/>
        <v>1542.362993</v>
      </c>
      <c r="C10" s="33"/>
      <c r="D10" s="37">
        <f>IF(ISERROR(TER_ander_gas_kWh/1000),0,TER_ander_gas_kWh/1000)*0.903</f>
        <v>3180.305201913</v>
      </c>
      <c r="E10" s="33">
        <f>$C$30*'E Balans VL '!I14/100/3.6*1000000</f>
        <v>19.995972903259389</v>
      </c>
      <c r="F10" s="33">
        <f>$C$30*('E Balans VL '!L14+'E Balans VL '!N14)/100/3.6*1000000</f>
        <v>1414.5634164569326</v>
      </c>
      <c r="G10" s="34"/>
      <c r="H10" s="33"/>
      <c r="I10" s="33"/>
      <c r="J10" s="33">
        <f>$C$30*('E Balans VL '!D14+'E Balans VL '!E14)/100/3.6*1000000</f>
        <v>1.5599724779075211E-2</v>
      </c>
      <c r="K10" s="33"/>
      <c r="L10" s="33"/>
      <c r="M10" s="33"/>
      <c r="N10" s="33">
        <f>$C$30*'E Balans VL '!Y14/100/3.6*1000000</f>
        <v>589.86830624669813</v>
      </c>
      <c r="O10" s="33"/>
      <c r="P10" s="33"/>
      <c r="R10" s="32"/>
    </row>
    <row r="11" spans="1:18">
      <c r="A11" s="32" t="s">
        <v>54</v>
      </c>
      <c r="B11" s="37">
        <f t="shared" si="0"/>
        <v>167.091418</v>
      </c>
      <c r="C11" s="33"/>
      <c r="D11" s="37">
        <f>IF(ISERROR(TER_onderwijs_gas_kWh/1000),0,TER_onderwijs_gas_kWh/1000)*0.903</f>
        <v>593.12649923100003</v>
      </c>
      <c r="E11" s="33">
        <f>$C$31*'E Balans VL '!I11/100/3.6*1000000</f>
        <v>0</v>
      </c>
      <c r="F11" s="33">
        <f>$C$31*('E Balans VL '!L11+'E Balans VL '!N11)/100/3.6*1000000</f>
        <v>6.5470875777750939</v>
      </c>
      <c r="G11" s="34"/>
      <c r="H11" s="33"/>
      <c r="I11" s="33"/>
      <c r="J11" s="33">
        <f>$C$31*('E Balans VL '!D11+'E Balans VL '!E11)/100/3.6*1000000</f>
        <v>0</v>
      </c>
      <c r="K11" s="33"/>
      <c r="L11" s="33"/>
      <c r="M11" s="33"/>
      <c r="N11" s="33">
        <f>$C$31*'E Balans VL '!Y11/100/3.6*1000000</f>
        <v>0.52621215903091167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3645.0000000000005</v>
      </c>
      <c r="C13" s="243">
        <f ca="1">'lokale energieproductie'!O38+'lokale energieproductie'!O31</f>
        <v>4100.6250000000009</v>
      </c>
      <c r="D13" s="304">
        <f ca="1">('lokale energieproductie'!P31+'lokale energieproductie'!P38)*(-1)</f>
        <v>0</v>
      </c>
      <c r="E13" s="244"/>
      <c r="F13" s="304">
        <f ca="1">('lokale energieproductie'!S31+'lokale energieproductie'!S38)*(-1)</f>
        <v>-2278.125</v>
      </c>
      <c r="G13" s="245"/>
      <c r="H13" s="244"/>
      <c r="I13" s="244"/>
      <c r="J13" s="244"/>
      <c r="K13" s="244"/>
      <c r="L13" s="304">
        <f ca="1">('lokale energieproductie'!U31+'lokale energieproductie'!T31+'lokale energieproductie'!U38+'lokale energieproductie'!T38)*(-1)</f>
        <v>-6834.375</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23210.365951999996</v>
      </c>
      <c r="C16" s="21">
        <f t="shared" ca="1" si="1"/>
        <v>4100.6250000000009</v>
      </c>
      <c r="D16" s="21">
        <f t="shared" ca="1" si="1"/>
        <v>17650.420298595</v>
      </c>
      <c r="E16" s="21">
        <f t="shared" si="1"/>
        <v>60.316461132369668</v>
      </c>
      <c r="F16" s="21">
        <f t="shared" ca="1" si="1"/>
        <v>747.06463960816154</v>
      </c>
      <c r="G16" s="21">
        <f t="shared" si="1"/>
        <v>0</v>
      </c>
      <c r="H16" s="21">
        <f t="shared" si="1"/>
        <v>0</v>
      </c>
      <c r="I16" s="21">
        <f t="shared" si="1"/>
        <v>0</v>
      </c>
      <c r="J16" s="21">
        <f t="shared" si="1"/>
        <v>1.5599724779075211E-2</v>
      </c>
      <c r="K16" s="21">
        <f t="shared" si="1"/>
        <v>0</v>
      </c>
      <c r="L16" s="21">
        <f t="shared" ca="1" si="1"/>
        <v>0</v>
      </c>
      <c r="M16" s="21">
        <f t="shared" si="1"/>
        <v>0</v>
      </c>
      <c r="N16" s="21">
        <f t="shared" ca="1" si="1"/>
        <v>613.44423968117815</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0.12721998119891176</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2952.8223200333014</v>
      </c>
      <c r="C20" s="23">
        <f t="shared" ref="C20:P20" ca="1" si="2">C16*C18</f>
        <v>322.01966911764708</v>
      </c>
      <c r="D20" s="23">
        <f t="shared" ca="1" si="2"/>
        <v>3565.3849003161899</v>
      </c>
      <c r="E20" s="23">
        <f t="shared" si="2"/>
        <v>13.691836677047915</v>
      </c>
      <c r="F20" s="23">
        <f t="shared" ca="1" si="2"/>
        <v>199.46625877537915</v>
      </c>
      <c r="G20" s="23">
        <f t="shared" si="2"/>
        <v>0</v>
      </c>
      <c r="H20" s="23">
        <f t="shared" si="2"/>
        <v>0</v>
      </c>
      <c r="I20" s="23">
        <f t="shared" si="2"/>
        <v>0</v>
      </c>
      <c r="J20" s="23">
        <f t="shared" si="2"/>
        <v>5.5223025717926243E-3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10261.409211999999</v>
      </c>
      <c r="C26" s="39">
        <f>IF(ISERROR(B26*3.6/1000000/'E Balans VL '!Z12*100),0,B26*3.6/1000000/'E Balans VL '!Z12*100)</f>
        <v>0.29439886464127485</v>
      </c>
      <c r="D26" s="233" t="s">
        <v>841</v>
      </c>
      <c r="F26" s="6"/>
    </row>
    <row r="27" spans="1:18" ht="30">
      <c r="A27" s="228" t="s">
        <v>52</v>
      </c>
      <c r="B27" s="33">
        <f>IF(ISERROR(TER_horeca_ele_kWh/1000),0,TER_horeca_ele_kWh/1000)</f>
        <v>1893.1646619999999</v>
      </c>
      <c r="C27" s="39">
        <f>IF(ISERROR(B27*3.6/1000000/'E Balans VL '!Z9*100),0,B27*3.6/1000000/'E Balans VL '!Z9*100)</f>
        <v>0.13869391338573134</v>
      </c>
      <c r="D27" s="233" t="s">
        <v>841</v>
      </c>
      <c r="F27" s="6"/>
    </row>
    <row r="28" spans="1:18" ht="30">
      <c r="A28" s="168" t="s">
        <v>51</v>
      </c>
      <c r="B28" s="33">
        <f>IF(ISERROR(TER_handel_ele_kWh/1000),0,TER_handel_ele_kWh/1000)</f>
        <v>4738.2190369999998</v>
      </c>
      <c r="C28" s="39">
        <f>IF(ISERROR(B28*3.6/1000000/'E Balans VL '!Z13*100),0,B28*3.6/1000000/'E Balans VL '!Z13*100)</f>
        <v>0.14641496470048032</v>
      </c>
      <c r="D28" s="233" t="s">
        <v>841</v>
      </c>
      <c r="F28" s="6"/>
    </row>
    <row r="29" spans="1:18" ht="30">
      <c r="A29" s="228" t="s">
        <v>50</v>
      </c>
      <c r="B29" s="33">
        <f>IF(ISERROR(TER_gezond_ele_kWh/1000),0,TER_gezond_ele_kWh/1000)</f>
        <v>963.11863000000005</v>
      </c>
      <c r="C29" s="39">
        <f>IF(ISERROR(B29*3.6/1000000/'E Balans VL '!Z10*100),0,B29*3.6/1000000/'E Balans VL '!Z10*100)</f>
        <v>9.4391547913114326E-2</v>
      </c>
      <c r="D29" s="233" t="s">
        <v>841</v>
      </c>
      <c r="F29" s="6"/>
    </row>
    <row r="30" spans="1:18" ht="30">
      <c r="A30" s="228" t="s">
        <v>49</v>
      </c>
      <c r="B30" s="33">
        <f>IF(ISERROR(TER_ander_ele_kWh/1000),0,TER_ander_ele_kWh/1000)</f>
        <v>1542.362993</v>
      </c>
      <c r="C30" s="39">
        <f>IF(ISERROR(B30*3.6/1000000/'E Balans VL '!Z14*100),0,B30*3.6/1000000/'E Balans VL '!Z14*100)</f>
        <v>6.3889657798260238E-2</v>
      </c>
      <c r="D30" s="233" t="s">
        <v>841</v>
      </c>
      <c r="F30" s="6"/>
    </row>
    <row r="31" spans="1:18" ht="30">
      <c r="A31" s="228" t="s">
        <v>54</v>
      </c>
      <c r="B31" s="33">
        <f>IF(ISERROR(TER_onderwijs_ele_kWh/1000),0,TER_onderwijs_ele_kWh/1000)</f>
        <v>167.091418</v>
      </c>
      <c r="C31" s="39">
        <f>IF(ISERROR(B31*3.6/1000000/'E Balans VL '!Z11*100),0,B31*3.6/1000000/'E Balans VL '!Z11*100)</f>
        <v>5.1342112734499012E-2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49883.123700000004</v>
      </c>
      <c r="C5" s="17">
        <f>IF(ISERROR('Eigen informatie GS &amp; warmtenet'!B61),0,'Eigen informatie GS &amp; warmtenet'!B61)</f>
        <v>0</v>
      </c>
      <c r="D5" s="30">
        <f>SUM(D6:D15)</f>
        <v>113034.33962081099</v>
      </c>
      <c r="E5" s="17">
        <f>SUM(E6:E15)</f>
        <v>247.44154215548681</v>
      </c>
      <c r="F5" s="17">
        <f>SUM(F6:F15)</f>
        <v>2887.4742024578641</v>
      </c>
      <c r="G5" s="18"/>
      <c r="H5" s="17"/>
      <c r="I5" s="17"/>
      <c r="J5" s="17">
        <f>SUM(J6:J15)</f>
        <v>57.364050839117979</v>
      </c>
      <c r="K5" s="17"/>
      <c r="L5" s="17"/>
      <c r="M5" s="17"/>
      <c r="N5" s="17">
        <f>SUM(N6:N15)</f>
        <v>2469.4173279256338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10488.596017000002</v>
      </c>
      <c r="C8" s="33"/>
      <c r="D8" s="37">
        <f>IF( ISERROR(IND_metaal_Gas_kWH/1000),0,IND_metaal_Gas_kWH/1000)*0.903</f>
        <v>25341.411575130001</v>
      </c>
      <c r="E8" s="33">
        <f>C30*'E Balans VL '!I18/100/3.6*1000000</f>
        <v>57.174972663586871</v>
      </c>
      <c r="F8" s="33">
        <f>C30*'E Balans VL '!L18/100/3.6*1000000+C30*'E Balans VL '!N18/100/3.6*1000000</f>
        <v>675.46638464209911</v>
      </c>
      <c r="G8" s="34"/>
      <c r="H8" s="33"/>
      <c r="I8" s="33"/>
      <c r="J8" s="40">
        <f>C30*'E Balans VL '!D18/100/3.6*1000000+C30*'E Balans VL '!E18/100/3.6*1000000</f>
        <v>8.5914395201674392</v>
      </c>
      <c r="K8" s="33"/>
      <c r="L8" s="33"/>
      <c r="M8" s="33"/>
      <c r="N8" s="33">
        <f>C30*'E Balans VL '!Y18/100/3.6*1000000</f>
        <v>226.59918611557808</v>
      </c>
      <c r="O8" s="33"/>
      <c r="P8" s="33"/>
      <c r="R8" s="32"/>
    </row>
    <row r="9" spans="1:18">
      <c r="A9" s="6" t="s">
        <v>32</v>
      </c>
      <c r="B9" s="37">
        <f t="shared" si="0"/>
        <v>2018.4071299999998</v>
      </c>
      <c r="C9" s="33"/>
      <c r="D9" s="37">
        <f>IF( ISERROR(IND_andere_gas_kWh/1000),0,IND_andere_gas_kWh/1000)*0.903</f>
        <v>2674.0657961219999</v>
      </c>
      <c r="E9" s="33">
        <f>C31*'E Balans VL '!I19/100/3.6*1000000</f>
        <v>6.5157619514957412</v>
      </c>
      <c r="F9" s="33">
        <f>C31*'E Balans VL '!L19/100/3.6*1000000+C31*'E Balans VL '!N19/100/3.6*1000000</f>
        <v>1305.1178948779382</v>
      </c>
      <c r="G9" s="34"/>
      <c r="H9" s="33"/>
      <c r="I9" s="33"/>
      <c r="J9" s="40">
        <f>C31*'E Balans VL '!D19/100/3.6*1000000+C31*'E Balans VL '!E19/100/3.6*1000000</f>
        <v>0</v>
      </c>
      <c r="K9" s="33"/>
      <c r="L9" s="33"/>
      <c r="M9" s="33"/>
      <c r="N9" s="33">
        <f>C31*'E Balans VL '!Y19/100/3.6*1000000</f>
        <v>81.561500658595577</v>
      </c>
      <c r="O9" s="33"/>
      <c r="P9" s="33"/>
      <c r="R9" s="32"/>
    </row>
    <row r="10" spans="1:18">
      <c r="A10" s="6" t="s">
        <v>40</v>
      </c>
      <c r="B10" s="37">
        <f t="shared" si="0"/>
        <v>35582.060739</v>
      </c>
      <c r="C10" s="33"/>
      <c r="D10" s="37">
        <f>IF( ISERROR(IND_voed_gas_kWh/1000),0,IND_voed_gas_kWh/1000)*0.903</f>
        <v>71573.454463602</v>
      </c>
      <c r="E10" s="33">
        <f>C32*'E Balans VL '!I20/100/3.6*1000000</f>
        <v>74.588719531218175</v>
      </c>
      <c r="F10" s="33">
        <f>C32*'E Balans VL '!L20/100/3.6*1000000+C32*'E Balans VL '!N20/100/3.6*1000000</f>
        <v>693.26151042660183</v>
      </c>
      <c r="G10" s="34"/>
      <c r="H10" s="33"/>
      <c r="I10" s="33"/>
      <c r="J10" s="40">
        <f>C32*'E Balans VL '!D20/100/3.6*1000000+C32*'E Balans VL '!E20/100/3.6*1000000</f>
        <v>0</v>
      </c>
      <c r="K10" s="33"/>
      <c r="L10" s="33"/>
      <c r="M10" s="33"/>
      <c r="N10" s="33">
        <f>C32*'E Balans VL '!Y20/100/3.6*1000000</f>
        <v>1415.3557282674135</v>
      </c>
      <c r="O10" s="33"/>
      <c r="P10" s="33"/>
      <c r="R10" s="32"/>
    </row>
    <row r="11" spans="1:18">
      <c r="A11" s="6" t="s">
        <v>39</v>
      </c>
      <c r="B11" s="37">
        <f t="shared" si="0"/>
        <v>2.6327259999999999</v>
      </c>
      <c r="C11" s="33"/>
      <c r="D11" s="37">
        <f>IF( ISERROR(IND_textiel_gas_kWh/1000),0,IND_textiel_gas_kWh/1000)*0.903</f>
        <v>0</v>
      </c>
      <c r="E11" s="33">
        <f>C33*'E Balans VL '!I21/100/3.6*1000000</f>
        <v>2.2622223108066351E-3</v>
      </c>
      <c r="F11" s="33">
        <f>C33*'E Balans VL '!L21/100/3.6*1000000+C33*'E Balans VL '!N21/100/3.6*1000000</f>
        <v>5.5197833049311314E-2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1359.5594620000002</v>
      </c>
      <c r="C12" s="33"/>
      <c r="D12" s="37">
        <f>IF( ISERROR(IND_min_gas_kWh/1000),0,IND_min_gas_kWh/1000)*0.903</f>
        <v>0</v>
      </c>
      <c r="E12" s="33">
        <f>C34*'E Balans VL '!I22/100/3.6*1000000</f>
        <v>22.249270654918167</v>
      </c>
      <c r="F12" s="33">
        <f>C34*'E Balans VL '!L22/100/3.6*1000000+C34*'E Balans VL '!N22/100/3.6*1000000</f>
        <v>207.51544517541146</v>
      </c>
      <c r="G12" s="34"/>
      <c r="H12" s="33"/>
      <c r="I12" s="33"/>
      <c r="J12" s="40">
        <f>C34*'E Balans VL '!D22/100/3.6*1000000+C34*'E Balans VL '!E22/100/3.6*1000000</f>
        <v>48.65396394297661</v>
      </c>
      <c r="K12" s="33"/>
      <c r="L12" s="33"/>
      <c r="M12" s="33"/>
      <c r="N12" s="33">
        <f>C34*'E Balans VL '!Y22/100/3.6*1000000</f>
        <v>745.06744028041805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410.01534000000004</v>
      </c>
      <c r="C14" s="33"/>
      <c r="D14" s="37">
        <f>IF( ISERROR(IND_chemie_gas_kWh/1000),0,IND_chemie_gas_kWh/1000)*0.903</f>
        <v>0</v>
      </c>
      <c r="E14" s="33">
        <f>C36*'E Balans VL '!I24/100/3.6*1000000</f>
        <v>85.624056673551934</v>
      </c>
      <c r="F14" s="33">
        <f>C36*'E Balans VL '!L24/100/3.6*1000000+C36*'E Balans VL '!N24/100/3.6*1000000</f>
        <v>2.7241261319726462</v>
      </c>
      <c r="G14" s="34"/>
      <c r="H14" s="33"/>
      <c r="I14" s="33"/>
      <c r="J14" s="40">
        <f>C36*'E Balans VL '!D24/100/3.6*1000000+C36*'E Balans VL '!E24/100/3.6*1000000</f>
        <v>0</v>
      </c>
      <c r="K14" s="33"/>
      <c r="L14" s="33"/>
      <c r="M14" s="33"/>
      <c r="N14" s="33">
        <f>C36*'E Balans VL '!Y24/100/3.6*1000000</f>
        <v>0.1430762030755024</v>
      </c>
      <c r="O14" s="33"/>
      <c r="P14" s="33"/>
      <c r="R14" s="32"/>
    </row>
    <row r="15" spans="1:18">
      <c r="A15" s="6" t="s">
        <v>265</v>
      </c>
      <c r="B15" s="37">
        <f t="shared" si="0"/>
        <v>21.852285999999999</v>
      </c>
      <c r="C15" s="33"/>
      <c r="D15" s="37">
        <f>IF( ISERROR(IND_rest_gas_kWh/1000),0,IND_rest_gas_kWh/1000)*0.903</f>
        <v>13445.407785956999</v>
      </c>
      <c r="E15" s="33">
        <f>C37*'E Balans VL '!I15/100/3.6*1000000</f>
        <v>1.2864984584051082</v>
      </c>
      <c r="F15" s="33">
        <f>C37*'E Balans VL '!L15/100/3.6*1000000+C37*'E Balans VL '!N15/100/3.6*1000000</f>
        <v>3.333643370791016</v>
      </c>
      <c r="G15" s="34"/>
      <c r="H15" s="33"/>
      <c r="I15" s="33"/>
      <c r="J15" s="40">
        <f>C37*'E Balans VL '!D15/100/3.6*1000000+C37*'E Balans VL '!E15/100/3.6*1000000</f>
        <v>0.11864737597392547</v>
      </c>
      <c r="K15" s="33"/>
      <c r="L15" s="33"/>
      <c r="M15" s="33"/>
      <c r="N15" s="33">
        <f>C37*'E Balans VL '!Y15/100/3.6*1000000</f>
        <v>0.69039640055329943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49883.123700000004</v>
      </c>
      <c r="C18" s="21">
        <f>C5+C16</f>
        <v>0</v>
      </c>
      <c r="D18" s="21">
        <f>MAX((D5+D16),0)</f>
        <v>113034.33962081099</v>
      </c>
      <c r="E18" s="21">
        <f>MAX((E5+E16),0)</f>
        <v>247.44154215548681</v>
      </c>
      <c r="F18" s="21">
        <f>MAX((F5+F16),0)</f>
        <v>2887.4742024578641</v>
      </c>
      <c r="G18" s="21"/>
      <c r="H18" s="21"/>
      <c r="I18" s="21"/>
      <c r="J18" s="21">
        <f>MAX((J5+J16),0)</f>
        <v>57.364050839117979</v>
      </c>
      <c r="K18" s="21"/>
      <c r="L18" s="21">
        <f>MAX((L5+L16),0)</f>
        <v>0</v>
      </c>
      <c r="M18" s="21"/>
      <c r="N18" s="21">
        <f>MAX((N5+N16),0)</f>
        <v>2469.4173279256338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0.12721998119891176</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6346.1300592569896</v>
      </c>
      <c r="C22" s="23">
        <f ca="1">C18*C20</f>
        <v>0</v>
      </c>
      <c r="D22" s="23">
        <f>D18*D20</f>
        <v>22832.936603403821</v>
      </c>
      <c r="E22" s="23">
        <f>E18*E20</f>
        <v>56.169230069295509</v>
      </c>
      <c r="F22" s="23">
        <f>F18*F20</f>
        <v>770.95561205624972</v>
      </c>
      <c r="G22" s="23"/>
      <c r="H22" s="23"/>
      <c r="I22" s="23"/>
      <c r="J22" s="23">
        <f>J18*J20</f>
        <v>20.306873997047763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10488.596017000002</v>
      </c>
      <c r="C30" s="39">
        <f>IF(ISERROR(B30*3.6/1000000/'E Balans VL '!Z18*100),0,B30*3.6/1000000/'E Balans VL '!Z18*100)</f>
        <v>0.63159449198698947</v>
      </c>
      <c r="D30" s="233" t="s">
        <v>841</v>
      </c>
    </row>
    <row r="31" spans="1:18" ht="30">
      <c r="A31" s="6" t="s">
        <v>32</v>
      </c>
      <c r="B31" s="37">
        <f>IF( ISERROR(IND_ander_ele_kWh/1000),0,IND_ander_ele_kWh/1000)</f>
        <v>2018.4071299999998</v>
      </c>
      <c r="C31" s="39">
        <f>IF(ISERROR(B31*3.6/1000000/'E Balans VL '!Z19*100),0,B31*3.6/1000000/'E Balans VL '!Z19*100)</f>
        <v>8.2234085059835829E-2</v>
      </c>
      <c r="D31" s="233" t="s">
        <v>841</v>
      </c>
    </row>
    <row r="32" spans="1:18" ht="30">
      <c r="A32" s="168" t="s">
        <v>40</v>
      </c>
      <c r="B32" s="37">
        <f>IF( ISERROR(IND_voed_ele_kWh/1000),0,IND_voed_ele_kWh/1000)</f>
        <v>35582.060739</v>
      </c>
      <c r="C32" s="39">
        <f>IF(ISERROR(B32*3.6/1000000/'E Balans VL '!Z20*100),0,B32*3.6/1000000/'E Balans VL '!Z20*100)</f>
        <v>1.0288205688766754</v>
      </c>
      <c r="D32" s="233" t="s">
        <v>841</v>
      </c>
    </row>
    <row r="33" spans="1:5" ht="30">
      <c r="A33" s="168" t="s">
        <v>39</v>
      </c>
      <c r="B33" s="37">
        <f>IF( ISERROR(IND_textiel_ele_kWh/1000),0,IND_textiel_ele_kWh/1000)</f>
        <v>2.6327259999999999</v>
      </c>
      <c r="C33" s="39">
        <f>IF(ISERROR(B33*3.6/1000000/'E Balans VL '!Z21*100),0,B33*3.6/1000000/'E Balans VL '!Z21*100)</f>
        <v>4.3296120780988236E-4</v>
      </c>
      <c r="D33" s="233" t="s">
        <v>841</v>
      </c>
    </row>
    <row r="34" spans="1:5" ht="30">
      <c r="A34" s="168" t="s">
        <v>36</v>
      </c>
      <c r="B34" s="37">
        <f>IF( ISERROR(IND_min_ele_kWh/1000),0,IND_min_ele_kWh/1000)</f>
        <v>1359.5594620000002</v>
      </c>
      <c r="C34" s="39">
        <f>IF(ISERROR(B34*3.6/1000000/'E Balans VL '!Z22*100),0,B34*3.6/1000000/'E Balans VL '!Z22*100)</f>
        <v>0.58051925690943795</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410.01534000000004</v>
      </c>
      <c r="C36" s="39">
        <f>IF(ISERROR(B36*3.6/1000000/'E Balans VL '!Z24*100),0,B36*3.6/1000000/'E Balans VL '!Z24*100)</f>
        <v>1.2441408963087233E-2</v>
      </c>
      <c r="D36" s="233" t="s">
        <v>841</v>
      </c>
    </row>
    <row r="37" spans="1:5" ht="30">
      <c r="A37" s="168" t="s">
        <v>265</v>
      </c>
      <c r="B37" s="37">
        <f>IF( ISERROR(IND_rest_ele_kWh/1000),0,IND_rest_ele_kWh/1000)</f>
        <v>21.852285999999999</v>
      </c>
      <c r="C37" s="39">
        <f>IF(ISERROR(B37*3.6/1000000/'E Balans VL '!Z15*100),0,B37*3.6/1000000/'E Balans VL '!Z15*100)</f>
        <v>1.7942381945279683E-4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1112.016676</v>
      </c>
      <c r="C5" s="17">
        <f>'Eigen informatie GS &amp; warmtenet'!B62</f>
        <v>0</v>
      </c>
      <c r="D5" s="30">
        <f>IF(ISERROR(SUM(LB_lb_gas_kWh,LB_rest_gas_kWh)/1000),0,SUM(LB_lb_gas_kWh,LB_rest_gas_kWh)/1000)*0.903</f>
        <v>1854.5264641889999</v>
      </c>
      <c r="E5" s="17">
        <f>B17*'E Balans VL '!I25/3.6*1000000/100</f>
        <v>31.850039477388759</v>
      </c>
      <c r="F5" s="17">
        <f>B17*('E Balans VL '!L25/3.6*1000000+'E Balans VL '!N25/3.6*1000000)/100</f>
        <v>3520.0703697509207</v>
      </c>
      <c r="G5" s="18"/>
      <c r="H5" s="17"/>
      <c r="I5" s="17"/>
      <c r="J5" s="17">
        <f>('E Balans VL '!D25+'E Balans VL '!E25)/3.6*1000000*landbouw!B17/100</f>
        <v>282.75092072323315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1112.016676</v>
      </c>
      <c r="C8" s="21">
        <f>C5+C6</f>
        <v>0</v>
      </c>
      <c r="D8" s="21">
        <f>MAX((D5+D6),0)</f>
        <v>1854.5264641889999</v>
      </c>
      <c r="E8" s="21">
        <f>MAX((E5+E6),0)</f>
        <v>31.850039477388759</v>
      </c>
      <c r="F8" s="21">
        <f>MAX((F5+F6),0)</f>
        <v>3520.0703697509207</v>
      </c>
      <c r="G8" s="21"/>
      <c r="H8" s="21"/>
      <c r="I8" s="21"/>
      <c r="J8" s="21">
        <f>MAX((J5+J6),0)</f>
        <v>282.75092072323315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0.12721998119891176</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141.47074061359635</v>
      </c>
      <c r="C12" s="23">
        <f ca="1">C8*C10</f>
        <v>0</v>
      </c>
      <c r="D12" s="23">
        <f>D8*D10</f>
        <v>374.61434576617802</v>
      </c>
      <c r="E12" s="23">
        <f>E8*E10</f>
        <v>7.2299589613672488</v>
      </c>
      <c r="F12" s="23">
        <f>F8*F10</f>
        <v>939.85878872349588</v>
      </c>
      <c r="G12" s="23"/>
      <c r="H12" s="23"/>
      <c r="I12" s="23"/>
      <c r="J12" s="23">
        <f>J8*J10</f>
        <v>100.09382593602453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0.15398908297196903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172.07280241468553</v>
      </c>
      <c r="C26" s="243">
        <f>B26*'GWP N2O_CH4'!B5</f>
        <v>3613.528850708396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99.748983469717459</v>
      </c>
      <c r="C27" s="243">
        <f>B27*'GWP N2O_CH4'!B5</f>
        <v>2094.7286528640666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2.8234894375405903</v>
      </c>
      <c r="C28" s="243">
        <f>B28*'GWP N2O_CH4'!B4</f>
        <v>875.28172563758301</v>
      </c>
      <c r="D28" s="50"/>
    </row>
    <row r="29" spans="1:4">
      <c r="A29" s="41" t="s">
        <v>272</v>
      </c>
      <c r="B29" s="243">
        <f>B34*'ha_N2O bodem landbouw'!B4</f>
        <v>11.898389637264636</v>
      </c>
      <c r="C29" s="243">
        <f>B29*'GWP N2O_CH4'!B4</f>
        <v>3688.5007875520369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2.7031011768030972E-3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3.4709821219214019E-3</v>
      </c>
      <c r="C5" s="434" t="s">
        <v>210</v>
      </c>
      <c r="D5" s="419">
        <f>SUM(D6:D11)</f>
        <v>5.2574526924349359E-3</v>
      </c>
      <c r="E5" s="419">
        <f>SUM(E6:E11)</f>
        <v>2.4136029804107161E-3</v>
      </c>
      <c r="F5" s="432" t="s">
        <v>210</v>
      </c>
      <c r="G5" s="419">
        <f>SUM(G6:G11)</f>
        <v>1.0955420384960455</v>
      </c>
      <c r="H5" s="419">
        <f>SUM(H6:H11)</f>
        <v>0.26710222920534549</v>
      </c>
      <c r="I5" s="434" t="s">
        <v>210</v>
      </c>
      <c r="J5" s="434" t="s">
        <v>210</v>
      </c>
      <c r="K5" s="434" t="s">
        <v>210</v>
      </c>
      <c r="L5" s="434" t="s">
        <v>210</v>
      </c>
      <c r="M5" s="419">
        <f>SUM(M6:M11)</f>
        <v>8.1839309752358438E-2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4.0994622747026729E-4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6.8349771560916874E-4</v>
      </c>
      <c r="E6" s="886">
        <f>vkm_GW_PW*SUMIFS(TableVerdeelsleutelVkm[LPG],TableVerdeelsleutelVkm[Voertuigtype],"Lichte voertuigen")*SUMIFS(TableECFTransport[EnergieConsumptieFactor (PJ per km)],TableECFTransport[Index],CONCATENATE($A6,"_LPG_LPG"))</f>
        <v>2.7097904489669093E-4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8.1436010104359219E-2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3.3519924262712358E-2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7.0522075581640658E-3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1.7386607379442646E-7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6.8921607548633563E-3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5.085417030523819E-8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3.9573621490659392E-4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2.8971830011136155E-4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6.6155818539841431E-4</v>
      </c>
      <c r="E8" s="422">
        <f>vkm_NGW_PW*SUMIFS(TableVerdeelsleutelVkm[LPG],TableVerdeelsleutelVkm[Voertuigtype],"Lichte voertuigen")*SUMIFS(TableECFTransport[EnergieConsumptieFactor (PJ per km)],TableECFTransport[Index],CONCATENATE($A8,"_LPG_LPG"))</f>
        <v>2.5113089309550284E-4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6.9131332723710873E-2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3.2141034853629236E-2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6.2479464493332961E-3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2.1870581200616107E-8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1.1164454185549496E-3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7.7212656859469662E-9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6.4104371247963979E-5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2.7598295839525687E-3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3.9123967914273527E-3</v>
      </c>
      <c r="E10" s="422">
        <f>vkm_SW_PW*SUMIFS(TableVerdeelsleutelVkm[LPG],TableVerdeelsleutelVkm[Voertuigtype],"Lichte voertuigen")*SUMIFS(TableECFTransport[EnergieConsumptieFactor (PJ per km)],TableECFTransport[Index],CONCATENATE($A10,"_LPG_LPG"))</f>
        <v>1.8914930424185222E-3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0.51570987966890125</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0.2014378119468988</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4.3891475343948279E-2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1.1292273732209283E-5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0.4212562098256557</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3.3995666691072282E-6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2.4187839814758239E-2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964.16170053372275</v>
      </c>
      <c r="C14" s="21"/>
      <c r="D14" s="21">
        <f t="shared" ref="D14:M14" si="0">((D5)*10^9/3600)+D12</f>
        <v>1460.4035256763711</v>
      </c>
      <c r="E14" s="21">
        <f t="shared" si="0"/>
        <v>670.44527233631004</v>
      </c>
      <c r="F14" s="21"/>
      <c r="G14" s="21">
        <f t="shared" si="0"/>
        <v>304317.23291556822</v>
      </c>
      <c r="H14" s="21">
        <f t="shared" si="0"/>
        <v>74195.063668151517</v>
      </c>
      <c r="I14" s="21"/>
      <c r="J14" s="21"/>
      <c r="K14" s="21"/>
      <c r="L14" s="21"/>
      <c r="M14" s="21">
        <f t="shared" si="0"/>
        <v>22733.141597877344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0.12721998119891176</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122.660633414611</v>
      </c>
      <c r="C18" s="23"/>
      <c r="D18" s="23">
        <f t="shared" ref="D18:M18" si="1">D14*D16</f>
        <v>295.001512186627</v>
      </c>
      <c r="E18" s="23">
        <f t="shared" si="1"/>
        <v>152.19107682034237</v>
      </c>
      <c r="F18" s="23"/>
      <c r="G18" s="23">
        <f t="shared" si="1"/>
        <v>81252.701188456718</v>
      </c>
      <c r="H18" s="23">
        <f t="shared" si="1"/>
        <v>18474.570853369729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1.0756236815553595E-4</v>
      </c>
      <c r="C50" s="315">
        <f t="shared" ref="C50:P50" si="2">SUM(C51:C52)</f>
        <v>0</v>
      </c>
      <c r="D50" s="315">
        <f t="shared" si="2"/>
        <v>0</v>
      </c>
      <c r="E50" s="315">
        <f t="shared" si="2"/>
        <v>0</v>
      </c>
      <c r="F50" s="315">
        <f t="shared" si="2"/>
        <v>0</v>
      </c>
      <c r="G50" s="315">
        <f t="shared" si="2"/>
        <v>6.7337294303501643E-3</v>
      </c>
      <c r="H50" s="315">
        <f t="shared" si="2"/>
        <v>0</v>
      </c>
      <c r="I50" s="315">
        <f t="shared" si="2"/>
        <v>0</v>
      </c>
      <c r="J50" s="315">
        <f t="shared" si="2"/>
        <v>0</v>
      </c>
      <c r="K50" s="315">
        <f t="shared" si="2"/>
        <v>0</v>
      </c>
      <c r="L50" s="315">
        <f t="shared" si="2"/>
        <v>0</v>
      </c>
      <c r="M50" s="315">
        <f t="shared" si="2"/>
        <v>3.8663583384584326E-4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1.0756236815553595E-4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6.7337294303501643E-3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3.8663583384584326E-4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29.878435598759985</v>
      </c>
      <c r="C54" s="21">
        <f t="shared" ref="C54:P54" si="3">(C50)*10^9/3600</f>
        <v>0</v>
      </c>
      <c r="D54" s="21">
        <f t="shared" si="3"/>
        <v>0</v>
      </c>
      <c r="E54" s="21">
        <f t="shared" si="3"/>
        <v>0</v>
      </c>
      <c r="F54" s="21">
        <f t="shared" si="3"/>
        <v>0</v>
      </c>
      <c r="G54" s="21">
        <f t="shared" si="3"/>
        <v>1870.4803973194901</v>
      </c>
      <c r="H54" s="21">
        <f t="shared" si="3"/>
        <v>0</v>
      </c>
      <c r="I54" s="21">
        <f t="shared" si="3"/>
        <v>0</v>
      </c>
      <c r="J54" s="21">
        <f t="shared" si="3"/>
        <v>0</v>
      </c>
      <c r="K54" s="21">
        <f t="shared" si="3"/>
        <v>0</v>
      </c>
      <c r="L54" s="21">
        <f t="shared" si="3"/>
        <v>0</v>
      </c>
      <c r="M54" s="21">
        <f t="shared" si="3"/>
        <v>107.39884273495646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0.12721998119891176</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3.8011340151271411</v>
      </c>
      <c r="C58" s="23">
        <f t="shared" ref="C58:P58" ca="1" si="4">C54*C56</f>
        <v>0</v>
      </c>
      <c r="D58" s="23">
        <f t="shared" si="4"/>
        <v>0</v>
      </c>
      <c r="E58" s="23">
        <f t="shared" si="4"/>
        <v>0</v>
      </c>
      <c r="F58" s="23">
        <f t="shared" si="4"/>
        <v>0</v>
      </c>
      <c r="G58" s="23">
        <f t="shared" si="4"/>
        <v>499.41826608430387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29531.624911670642</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12323.562860800037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3645.0000000000005</v>
      </c>
      <c r="C8" s="545">
        <f>B48</f>
        <v>0</v>
      </c>
      <c r="D8" s="546"/>
      <c r="E8" s="546">
        <f>E48</f>
        <v>1072.0588235294117</v>
      </c>
      <c r="F8" s="547"/>
      <c r="G8" s="548"/>
      <c r="H8" s="546">
        <f>I48</f>
        <v>0</v>
      </c>
      <c r="I8" s="546">
        <f>G48+F48</f>
        <v>3216.1764705882347</v>
      </c>
      <c r="J8" s="546">
        <f>H48+D48+C48</f>
        <v>0</v>
      </c>
      <c r="K8" s="546"/>
      <c r="L8" s="546"/>
      <c r="M8" s="546"/>
      <c r="N8" s="549"/>
      <c r="O8" s="550">
        <f>C8*$C$12+D8*$D$12+E8*$E$12+F8*$F$12+G8*$G$12+H8*$H$12+I8*$I$12+J8*$J$12</f>
        <v>286.23970588235295</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45500.187772470679</v>
      </c>
      <c r="C10" s="560">
        <f t="shared" ref="C10:L10" si="0">SUM(C8:C9)</f>
        <v>0</v>
      </c>
      <c r="D10" s="560">
        <f t="shared" si="0"/>
        <v>0</v>
      </c>
      <c r="E10" s="560">
        <f t="shared" si="0"/>
        <v>1072.0588235294117</v>
      </c>
      <c r="F10" s="560">
        <f t="shared" si="0"/>
        <v>0</v>
      </c>
      <c r="G10" s="560">
        <f t="shared" si="0"/>
        <v>0</v>
      </c>
      <c r="H10" s="560">
        <f t="shared" si="0"/>
        <v>0</v>
      </c>
      <c r="I10" s="560">
        <f t="shared" si="0"/>
        <v>3216.1764705882347</v>
      </c>
      <c r="J10" s="560">
        <f t="shared" si="0"/>
        <v>0</v>
      </c>
      <c r="K10" s="560">
        <f t="shared" si="0"/>
        <v>0</v>
      </c>
      <c r="L10" s="560">
        <f t="shared" si="0"/>
        <v>0</v>
      </c>
      <c r="M10" s="961"/>
      <c r="N10" s="961"/>
      <c r="O10" s="561">
        <f>SUM(O4:O9)</f>
        <v>286.23970588235295</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4100.6250000000009</v>
      </c>
      <c r="C17" s="576">
        <f>B49</f>
        <v>0</v>
      </c>
      <c r="D17" s="577"/>
      <c r="E17" s="577">
        <f>E49</f>
        <v>1206.0661764705883</v>
      </c>
      <c r="F17" s="578"/>
      <c r="G17" s="579"/>
      <c r="H17" s="576">
        <f>I49</f>
        <v>0</v>
      </c>
      <c r="I17" s="577">
        <f>G49+F49</f>
        <v>3618.1985294117649</v>
      </c>
      <c r="J17" s="577">
        <f>H49+D49+C49</f>
        <v>0</v>
      </c>
      <c r="K17" s="577"/>
      <c r="L17" s="577"/>
      <c r="M17" s="577"/>
      <c r="N17" s="962"/>
      <c r="O17" s="580">
        <f>C17*$C$22+E17*$E$22+H17*$H$22+I17*$I$22+J17*$J$22+D17*$D$22+F17*$F$22+G17*$G$22+K17*$K$22+L17*$L$22</f>
        <v>322.01966911764708</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4100.6250000000009</v>
      </c>
      <c r="C20" s="559">
        <f>SUM(C17:C19)</f>
        <v>0</v>
      </c>
      <c r="D20" s="559">
        <f t="shared" ref="D20:L20" si="1">SUM(D17:D19)</f>
        <v>0</v>
      </c>
      <c r="E20" s="559">
        <f t="shared" si="1"/>
        <v>1206.0661764705883</v>
      </c>
      <c r="F20" s="559">
        <f t="shared" si="1"/>
        <v>0</v>
      </c>
      <c r="G20" s="559">
        <f t="shared" si="1"/>
        <v>0</v>
      </c>
      <c r="H20" s="559">
        <f t="shared" si="1"/>
        <v>0</v>
      </c>
      <c r="I20" s="559">
        <f t="shared" si="1"/>
        <v>3618.1985294117649</v>
      </c>
      <c r="J20" s="559">
        <f t="shared" si="1"/>
        <v>0</v>
      </c>
      <c r="K20" s="559">
        <f t="shared" si="1"/>
        <v>0</v>
      </c>
      <c r="L20" s="559">
        <f t="shared" si="1"/>
        <v>0</v>
      </c>
      <c r="M20" s="559"/>
      <c r="N20" s="559"/>
      <c r="O20" s="585">
        <f>SUM(O17:O19)</f>
        <v>322.01966911764708</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71037</v>
      </c>
      <c r="C28" s="787">
        <v>3560</v>
      </c>
      <c r="D28" s="637" t="s">
        <v>874</v>
      </c>
      <c r="E28" s="636" t="s">
        <v>875</v>
      </c>
      <c r="F28" s="636" t="s">
        <v>876</v>
      </c>
      <c r="G28" s="636" t="s">
        <v>877</v>
      </c>
      <c r="H28" s="636" t="s">
        <v>878</v>
      </c>
      <c r="I28" s="636" t="s">
        <v>875</v>
      </c>
      <c r="J28" s="786">
        <v>40575</v>
      </c>
      <c r="K28" s="786">
        <v>40616</v>
      </c>
      <c r="L28" s="636" t="s">
        <v>879</v>
      </c>
      <c r="M28" s="636">
        <v>810</v>
      </c>
      <c r="N28" s="636">
        <v>3645.0000000000005</v>
      </c>
      <c r="O28" s="636">
        <v>4100.6250000000009</v>
      </c>
      <c r="P28" s="636">
        <v>0</v>
      </c>
      <c r="Q28" s="636">
        <v>0</v>
      </c>
      <c r="R28" s="636">
        <v>0</v>
      </c>
      <c r="S28" s="636">
        <v>2278.125</v>
      </c>
      <c r="T28" s="636">
        <v>6834.375</v>
      </c>
      <c r="U28" s="636">
        <v>0</v>
      </c>
      <c r="V28" s="636">
        <v>0</v>
      </c>
      <c r="W28" s="636">
        <v>0</v>
      </c>
      <c r="X28" s="636">
        <v>1600</v>
      </c>
      <c r="Y28" s="636" t="s">
        <v>49</v>
      </c>
      <c r="Z28" s="638" t="s">
        <v>155</v>
      </c>
    </row>
    <row r="29" spans="1:26" s="570" customFormat="1">
      <c r="A29" s="592" t="s">
        <v>275</v>
      </c>
      <c r="B29" s="593"/>
      <c r="C29" s="593"/>
      <c r="D29" s="593"/>
      <c r="E29" s="593"/>
      <c r="F29" s="593"/>
      <c r="G29" s="593"/>
      <c r="H29" s="593"/>
      <c r="I29" s="593"/>
      <c r="J29" s="593"/>
      <c r="K29" s="593"/>
      <c r="L29" s="594"/>
      <c r="M29" s="594">
        <f>SUM(M28:M28)</f>
        <v>810</v>
      </c>
      <c r="N29" s="594">
        <f>SUM(N28:N28)</f>
        <v>3645.0000000000005</v>
      </c>
      <c r="O29" s="594">
        <f>SUM(O28:O28)</f>
        <v>4100.6250000000009</v>
      </c>
      <c r="P29" s="594">
        <f>SUM(P28:P28)</f>
        <v>0</v>
      </c>
      <c r="Q29" s="594">
        <f>SUM(Q28:Q28)</f>
        <v>0</v>
      </c>
      <c r="R29" s="594">
        <f>SUM(R28:R28)</f>
        <v>0</v>
      </c>
      <c r="S29" s="594">
        <f>SUM(S28:S28)</f>
        <v>2278.125</v>
      </c>
      <c r="T29" s="594">
        <f>SUM(T28:T28)</f>
        <v>6834.375</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810</v>
      </c>
      <c r="N31" s="594">
        <f ca="1">SUMIF($Z$28:AD28,"tertiair",N28:N28)</f>
        <v>3645.0000000000005</v>
      </c>
      <c r="O31" s="594">
        <f ca="1">SUMIF($Z$28:AE28,"tertiair",O28:O28)</f>
        <v>4100.6250000000009</v>
      </c>
      <c r="P31" s="594">
        <f ca="1">SUMIF($Z$28:AF28,"tertiair",P28:P28)</f>
        <v>0</v>
      </c>
      <c r="Q31" s="594">
        <f ca="1">SUMIF($Z$28:AG28,"tertiair",Q28:Q28)</f>
        <v>0</v>
      </c>
      <c r="R31" s="594">
        <f ca="1">SUMIF($Z$28:AH28,"tertiair",R28:R28)</f>
        <v>0</v>
      </c>
      <c r="S31" s="594">
        <f ca="1">SUMIF($Z$28:AI28,"tertiair",S28:S28)</f>
        <v>2278.125</v>
      </c>
      <c r="T31" s="594">
        <f ca="1">SUMIF($Z$28:AJ28,"tertiair",T28:T28)</f>
        <v>6834.375</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0.52941176470588236</v>
      </c>
      <c r="C45" s="619">
        <f>IF(ISERROR(N29/(O29+N29)),0,N29/(N29+O29))</f>
        <v>0.47058823529411759</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1072.0588235294117</v>
      </c>
      <c r="F48" s="628">
        <f t="shared" si="2"/>
        <v>3216.1764705882347</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1206.0661764705883</v>
      </c>
      <c r="F49" s="631">
        <f t="shared" si="3"/>
        <v>3618.1985294117649</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2021-06-29T14:21:38Z</dcterms:modified>
</cp:coreProperties>
</file>