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9"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8" i="18" l="1"/>
  <c r="V48" i="18"/>
  <c r="U48" i="18"/>
  <c r="T48" i="18"/>
  <c r="S48" i="18"/>
  <c r="R48" i="18"/>
  <c r="Q48" i="18"/>
  <c r="P48" i="18"/>
  <c r="O48" i="18"/>
  <c r="N48" i="18"/>
  <c r="M48" i="18"/>
  <c r="W47" i="18"/>
  <c r="V47" i="18"/>
  <c r="U47" i="18"/>
  <c r="T47" i="18"/>
  <c r="S47" i="18"/>
  <c r="R47" i="18"/>
  <c r="Q47" i="18"/>
  <c r="P47" i="18"/>
  <c r="O47" i="18"/>
  <c r="N47" i="18"/>
  <c r="M47" i="18"/>
  <c r="W46" i="18"/>
  <c r="V46" i="18"/>
  <c r="U46" i="18"/>
  <c r="T46" i="18"/>
  <c r="S46" i="18"/>
  <c r="R46" i="18"/>
  <c r="Q46" i="18"/>
  <c r="P46" i="18"/>
  <c r="O46" i="18"/>
  <c r="N46" i="18"/>
  <c r="M46" i="18"/>
  <c r="W45" i="18"/>
  <c r="H9" i="18" s="1"/>
  <c r="M77" i="14" s="1"/>
  <c r="M9" i="59" s="1"/>
  <c r="V45" i="18"/>
  <c r="U45" i="18"/>
  <c r="T45" i="18"/>
  <c r="S45" i="18"/>
  <c r="E9" i="18" s="1"/>
  <c r="F77" i="14" s="1"/>
  <c r="F9" i="59" s="1"/>
  <c r="R45" i="18"/>
  <c r="Q45" i="18"/>
  <c r="P45" i="18"/>
  <c r="O45" i="18"/>
  <c r="N45" i="18"/>
  <c r="B9" i="18" s="1"/>
  <c r="M45" i="18"/>
  <c r="W41" i="18"/>
  <c r="V41" i="18"/>
  <c r="U41" i="18"/>
  <c r="T41" i="18"/>
  <c r="L6" i="17" s="1"/>
  <c r="L5" i="17" s="1"/>
  <c r="S41" i="18"/>
  <c r="F6" i="17" s="1"/>
  <c r="R41" i="18"/>
  <c r="Q41" i="18"/>
  <c r="P41" i="18"/>
  <c r="O41" i="18"/>
  <c r="N41" i="18"/>
  <c r="M41" i="18"/>
  <c r="W40" i="18"/>
  <c r="V40" i="18"/>
  <c r="U40" i="18"/>
  <c r="T40" i="18"/>
  <c r="S40" i="18"/>
  <c r="R40" i="18"/>
  <c r="Q40" i="18"/>
  <c r="P40" i="18"/>
  <c r="O40" i="18"/>
  <c r="C13" i="15" s="1"/>
  <c r="N40" i="18"/>
  <c r="B13" i="15" s="1"/>
  <c r="M40" i="18"/>
  <c r="W39" i="18"/>
  <c r="V39" i="18"/>
  <c r="U39" i="18"/>
  <c r="T39" i="18"/>
  <c r="S39" i="18"/>
  <c r="F16" i="16" s="1"/>
  <c r="R39" i="18"/>
  <c r="Q39" i="18"/>
  <c r="P39" i="18"/>
  <c r="O39" i="18"/>
  <c r="N39" i="18"/>
  <c r="W38" i="18"/>
  <c r="V38" i="18"/>
  <c r="U38" i="18"/>
  <c r="T38" i="18"/>
  <c r="S38" i="18"/>
  <c r="R38" i="18"/>
  <c r="Q38" i="18"/>
  <c r="P38" i="18"/>
  <c r="O38" i="18"/>
  <c r="B17" i="18" s="1"/>
  <c r="N38" i="18"/>
  <c r="B8" i="18" s="1"/>
  <c r="M38"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D8" i="17" s="1"/>
  <c r="D12" i="17" s="1"/>
  <c r="E54" i="14" s="1"/>
  <c r="B35" i="13"/>
  <c r="B33" i="13"/>
  <c r="B36" i="13"/>
  <c r="B34" i="13"/>
  <c r="B32" i="13"/>
  <c r="D16" i="16"/>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54" i="18"/>
  <c r="B58" i="18" s="1"/>
  <c r="B16" i="16"/>
  <c r="K9" i="14"/>
  <c r="H77" i="14"/>
  <c r="J11" i="48"/>
  <c r="J29" i="48" s="1"/>
  <c r="M9" i="14"/>
  <c r="L11" i="48"/>
  <c r="O19" i="14"/>
  <c r="O22" i="14" s="1"/>
  <c r="N10" i="48"/>
  <c r="N28" i="48" s="1"/>
  <c r="J19" i="14"/>
  <c r="J22" i="14" s="1"/>
  <c r="I10" i="48"/>
  <c r="I28" i="48" s="1"/>
  <c r="J19" i="19"/>
  <c r="K39" i="14" s="1"/>
  <c r="N19" i="19"/>
  <c r="O39" i="14" s="1"/>
  <c r="C54" i="18"/>
  <c r="I57"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57" i="18"/>
  <c r="E8" i="18" s="1"/>
  <c r="F76" i="14" s="1"/>
  <c r="F7" i="48"/>
  <c r="F25" i="48" s="1"/>
  <c r="D57" i="18"/>
  <c r="O9" i="18"/>
  <c r="M29" i="48"/>
  <c r="F12" i="17"/>
  <c r="G54" i="14" s="1"/>
  <c r="G56" i="14" s="1"/>
  <c r="C58" i="18"/>
  <c r="C57" i="18"/>
  <c r="B10" i="18"/>
  <c r="E58" i="18"/>
  <c r="E17" i="18" s="1"/>
  <c r="F87" i="14" s="1"/>
  <c r="G58" i="18"/>
  <c r="D7" i="48"/>
  <c r="D25" i="48" s="1"/>
  <c r="H57" i="18"/>
  <c r="G57" i="18"/>
  <c r="D58" i="18"/>
  <c r="L28" i="48"/>
  <c r="H58" i="18"/>
  <c r="I58" i="18"/>
  <c r="H17" i="18" s="1"/>
  <c r="F58" i="18"/>
  <c r="F57" i="18"/>
  <c r="H10" i="18"/>
  <c r="M78" i="14"/>
  <c r="B57"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0" i="13"/>
  <c r="C12" i="13" s="1"/>
  <c r="C22" i="59"/>
  <c r="C29" i="20"/>
  <c r="C20" i="16"/>
  <c r="C22" i="16" s="1"/>
  <c r="D43" i="14" s="1"/>
  <c r="C17" i="49"/>
  <c r="C18" i="15"/>
  <c r="C20" i="15" s="1"/>
  <c r="D40" i="14" s="1"/>
  <c r="C17" i="19"/>
  <c r="C19" i="19" s="1"/>
  <c r="D39" i="14" s="1"/>
  <c r="F26" i="48"/>
  <c r="F33" i="48" s="1"/>
  <c r="B90" i="14"/>
  <c r="B17" i="59"/>
  <c r="B20" i="59" s="1"/>
  <c r="C90" i="14"/>
  <c r="C17" i="59"/>
  <c r="C20" i="59" s="1"/>
  <c r="J26" i="48"/>
  <c r="J33" i="48" s="1"/>
  <c r="J15" i="48"/>
  <c r="E15" i="48"/>
  <c r="D41" i="14"/>
  <c r="O46" i="14"/>
  <c r="O61" i="14" s="1"/>
  <c r="O63" i="14" s="1"/>
  <c r="K46" i="14"/>
  <c r="K61" i="14" s="1"/>
  <c r="K63" i="14" s="1"/>
  <c r="F16" i="14"/>
  <c r="R13" i="14"/>
  <c r="R16" i="14" s="1"/>
  <c r="R27" i="14" s="1"/>
  <c r="Q8" i="48"/>
  <c r="Q15" i="48" s="1"/>
  <c r="D46" i="14" l="1"/>
  <c r="D61" i="14" s="1"/>
  <c r="D63" i="14" s="1"/>
  <c r="C17" i="48"/>
  <c r="C24" i="48" s="1"/>
  <c r="C30" i="48"/>
  <c r="C27" i="48"/>
  <c r="C29" i="48"/>
  <c r="C32" i="48"/>
  <c r="C25" i="48"/>
  <c r="C23" i="48"/>
  <c r="F27" i="14"/>
  <c r="F63" i="14" s="1"/>
  <c r="C78" i="14"/>
  <c r="B78" i="14"/>
  <c r="C22" i="48" l="1"/>
  <c r="C28" i="48"/>
  <c r="C26" i="48"/>
  <c r="C31" i="48"/>
  <c r="B4" i="6"/>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<sst xmlns="http://schemas.openxmlformats.org/spreadsheetml/2006/main" count="2524" uniqueCount="916">
  <si>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</si>
  <si>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</si>
  <si>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</si>
  <si>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</si>
  <si>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</si>
  <si>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</si>
  <si>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</si>
  <si>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</si>
  <si>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</si>
  <si>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</si>
  <si>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</si>
  <si>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</si>
  <si>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</si>
  <si>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</si>
  <si>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</si>
  <si>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</si>
  <si>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</si>
  <si>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</si>
  <si>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</si>
  <si>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</si>
  <si>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</si>
  <si>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</si>
  <si>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</si>
  <si>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</si>
  <si>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</si>
  <si>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</si>
  <si>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</si>
  <si>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</si>
  <si>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</si>
  <si>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</si>
  <si>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</si>
  <si>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</si>
  <si>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</si>
  <si>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</si>
  <si>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</si>
  <si>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</si>
  <si>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</si>
  <si>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</si>
  <si>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</si>
  <si>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</si>
  <si>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</si>
  <si>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</si>
  <si>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</si>
  <si>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</si>
  <si>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</si>
  <si>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</si>
  <si>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</si>
  <si>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</si>
  <si>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</si>
  <si>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</si>
  <si>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</si>
  <si>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</si>
  <si>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</si>
  <si>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</si>
  <si>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</si>
  <si>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</si>
  <si>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</si>
  <si>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</si>
  <si>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</si>
  <si>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</si>
  <si>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</si>
  <si>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</si>
  <si>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</si>
  <si>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</si>
  <si>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</si>
  <si>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</si>
  <si>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</si>
  <si>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</si>
  <si>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</si>
  <si>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</si>
  <si>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</si>
  <si>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</si>
  <si>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</si>
  <si>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</si>
  <si>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</si>
  <si>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</si>
  <si>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</si>
  <si>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</si>
  <si>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</si>
  <si>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</si>
  <si>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</si>
  <si>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</si>
  <si>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</si>
  <si>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</si>
  <si>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</si>
  <si>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</si>
  <si>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</si>
  <si>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</si>
  <si>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</si>
  <si>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</si>
  <si>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</si>
  <si>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</si>
  <si>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</si>
  <si>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</si>
  <si>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</si>
  <si>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</si>
  <si>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</si>
  <si>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</si>
  <si>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</si>
  <si>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</si>
  <si>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</si>
  <si>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</si>
  <si>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</si>
  <si>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</si>
  <si>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</si>
  <si>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</si>
  <si>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</si>
  <si>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</si>
  <si>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</si>
  <si>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</si>
  <si>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</si>
  <si>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</si>
  <si>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</si>
  <si>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</si>
  <si>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</si>
  <si>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</si>
  <si>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</si>
  <si>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</si>
  <si>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</si>
  <si>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</si>
  <si>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</si>
  <si>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</si>
  <si>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</si>
  <si>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</si>
  <si>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</si>
  <si>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</si>
  <si>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</si>
  <si>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</si>
  <si>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</si>
  <si>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</si>
  <si>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</si>
  <si>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</si>
  <si>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</si>
  <si>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</si>
  <si>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</si>
  <si>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</si>
  <si>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</si>
  <si>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</si>
  <si>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</si>
  <si>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</si>
  <si>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</si>
  <si>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</si>
  <si>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</si>
  <si>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</si>
  <si>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</si>
  <si>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</si>
  <si>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</si>
  <si>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</si>
  <si>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</si>
  <si>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</si>
  <si>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</si>
  <si>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</si>
  <si>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</si>
  <si>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</si>
  <si>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</si>
  <si>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</si>
  <si>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</si>
  <si>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</si>
  <si>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</si>
  <si>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</si>
  <si>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</si>
  <si>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</si>
  <si>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</si>
  <si>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</si>
  <si>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</si>
  <si>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</si>
  <si>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</si>
  <si>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</si>
  <si>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</si>
  <si>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</si>
  <si>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</si>
  <si>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</si>
  <si>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</si>
  <si>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</si>
  <si>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</si>
  <si>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</si>
  <si>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</si>
  <si>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</si>
  <si>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</si>
  <si>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</si>
  <si>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</si>
  <si>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</si>
  <si>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</si>
  <si>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</si>
  <si>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</si>
  <si>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</si>
  <si>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</si>
  <si>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</si>
  <si>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</si>
  <si>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</si>
  <si>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</si>
  <si>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</si>
  <si>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</si>
  <si>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</si>
  <si>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</si>
  <si>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</si>
  <si>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</si>
  <si>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</si>
  <si>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</si>
  <si>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</si>
  <si>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</si>
  <si>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</si>
  <si>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</si>
  <si>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</si>
  <si>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</si>
  <si>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</si>
  <si>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</si>
  <si>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</si>
  <si>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</si>
  <si>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</si>
  <si>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</si>
  <si>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</si>
  <si>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</si>
  <si>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</si>
  <si>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</si>
  <si>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</si>
  <si>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</si>
  <si>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</si>
  <si>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</si>
  <si>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</si>
  <si>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</si>
  <si>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</si>
  <si>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</si>
  <si>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</si>
  <si>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</si>
  <si>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</si>
  <si>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</si>
  <si>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</si>
  <si>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</si>
  <si>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</si>
  <si>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</si>
  <si>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</si>
  <si>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</si>
  <si>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</si>
  <si>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</si>
  <si>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</si>
  <si>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</si>
  <si>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</si>
  <si>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</si>
  <si>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</si>
  <si>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</si>
  <si>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</si>
  <si>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</si>
  <si>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</si>
  <si>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</si>
  <si>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</si>
  <si>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</si>
  <si>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</si>
  <si>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</si>
  <si>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</si>
  <si>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</si>
  <si>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</si>
  <si>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</si>
  <si>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</si>
  <si>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</si>
  <si>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</si>
  <si>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</si>
  <si>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</si>
  <si>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</si>
  <si>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</si>
  <si>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</si>
  <si>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</si>
  <si>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</si>
  <si>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</si>
  <si>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</si>
  <si>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</si>
  <si>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</si>
  <si>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</si>
  <si>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</si>
  <si>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</si>
  <si>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</si>
  <si>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</si>
  <si>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</si>
  <si>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</si>
  <si>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</si>
  <si>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</si>
  <si>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</si>
  <si>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</si>
  <si>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</si>
  <si>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</si>
  <si>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</si>
  <si>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</si>
  <si>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</si>
  <si>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</si>
  <si>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</si>
  <si>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</si>
  <si>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</si>
  <si>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</si>
  <si>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</si>
  <si>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</si>
  <si>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</si>
  <si>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</si>
  <si>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</si>
  <si>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</si>
  <si>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</si>
  <si>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</si>
  <si>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</si>
  <si>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</si>
  <si>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</si>
  <si>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</si>
  <si>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</si>
  <si>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</si>
  <si>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</si>
  <si>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</si>
  <si>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</si>
  <si>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</si>
  <si>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</si>
  <si>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</si>
  <si>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</si>
  <si>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</si>
  <si>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</si>
  <si>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</si>
  <si>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</si>
  <si>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</si>
  <si>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</si>
  <si>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</si>
  <si>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</si>
  <si>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</si>
  <si>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</si>
  <si>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</si>
  <si>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</si>
  <si>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</si>
  <si>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</si>
  <si>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</si>
  <si>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</si>
  <si>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</si>
  <si>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</si>
  <si>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</si>
  <si>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</si>
  <si>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</si>
  <si>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</si>
  <si>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</si>
  <si>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</si>
  <si>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</si>
  <si>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</si>
  <si>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</si>
  <si>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</si>
  <si>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</si>
  <si>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</si>
  <si>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</si>
  <si>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</si>
  <si>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</si>
  <si>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</si>
  <si>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</si>
  <si>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</si>
  <si>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</si>
  <si>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</si>
  <si>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</si>
  <si>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</si>
  <si>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</si>
  <si>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</si>
  <si>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</si>
  <si>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</si>
  <si>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</si>
  <si>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</si>
  <si>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</si>
  <si>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</si>
  <si>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</si>
  <si>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</si>
  <si>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</si>
  <si>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</si>
  <si>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</si>
  <si>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</si>
  <si>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</si>
  <si>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</si>
  <si>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</si>
  <si>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</si>
  <si>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</si>
  <si>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</si>
  <si>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</si>
  <si>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</si>
  <si>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</si>
  <si>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</si>
  <si>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</si>
  <si>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</si>
  <si>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</si>
  <si>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</si>
  <si>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</si>
  <si>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</si>
  <si>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</si>
  <si>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</si>
  <si>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</si>
  <si>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</si>
  <si>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</si>
  <si>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</si>
  <si>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</si>
  <si>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</si>
  <si>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</si>
  <si>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</si>
  <si>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</si>
  <si>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</si>
  <si>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</si>
  <si>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</si>
  <si>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</si>
  <si>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</si>
  <si>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</si>
  <si>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</si>
  <si>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</si>
  <si>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</si>
  <si>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</si>
  <si>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</si>
  <si>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</si>
  <si>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</si>
  <si>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</si>
  <si>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</si>
  <si>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</si>
  <si>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</si>
  <si>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</si>
  <si>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</si>
  <si>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</si>
  <si>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</si>
  <si>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</si>
  <si>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</si>
  <si>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</si>
  <si>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</si>
  <si>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</si>
  <si>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</si>
  <si>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</si>
  <si>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</si>
  <si>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</si>
  <si>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</si>
  <si>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</si>
  <si>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</si>
  <si>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</si>
  <si>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</si>
  <si>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</si>
  <si>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</si>
  <si>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</si>
  <si>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</si>
  <si>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</si>
  <si>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</si>
  <si>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</si>
  <si>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</si>
  <si>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</si>
  <si>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</si>
  <si>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</si>
  <si>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</si>
  <si>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</si>
  <si>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</si>
  <si>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</si>
  <si>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</si>
  <si>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</si>
  <si>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</si>
  <si>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</si>
  <si>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</si>
  <si>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</si>
  <si>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</si>
  <si>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</si>
  <si>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</si>
  <si>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</si>
  <si>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</si>
  <si>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</si>
  <si>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</si>
  <si>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</si>
  <si>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</si>
  <si>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</si>
  <si>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</si>
  <si>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</si>
  <si>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</si>
  <si>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</si>
  <si>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</si>
  <si>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</si>
  <si>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</si>
  <si>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</si>
  <si>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</si>
  <si>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</si>
  <si>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</si>
  <si>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</si>
  <si>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</si>
  <si>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</si>
  <si>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</si>
  <si>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</si>
  <si>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</si>
  <si>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</si>
  <si>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</si>
  <si>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</si>
  <si>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</si>
  <si>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</si>
  <si>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</si>
  <si>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</si>
  <si>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</si>
  <si>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</si>
  <si>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</si>
  <si>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</si>
  <si>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</si>
  <si>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</si>
  <si>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</si>
  <si>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</si>
  <si>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</si>
  <si>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</si>
  <si>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</si>
  <si>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</si>
  <si>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</si>
  <si>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</si>
  <si>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</si>
  <si>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</si>
  <si>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</si>
  <si>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</si>
  <si>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</si>
  <si>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</si>
  <si>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</si>
  <si>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</si>
  <si>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</si>
  <si>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</si>
  <si>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</si>
  <si>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</si>
  <si>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</si>
  <si>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</si>
  <si>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</si>
  <si>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</si>
  <si>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</si>
  <si>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</si>
  <si>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</si>
  <si>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</si>
  <si>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</si>
  <si>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</si>
  <si>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</si>
  <si>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</si>
  <si>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</si>
  <si>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</si>
  <si>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</si>
  <si>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</si>
  <si>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</si>
  <si>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</si>
  <si>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</si>
  <si>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</si>
  <si>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</si>
  <si>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</si>
  <si>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</si>
  <si>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</si>
  <si>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</si>
  <si>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71022</t>
  </si>
  <si>
    <t>HASSELT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</si>
  <si>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</si>
  <si>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</si>
  <si>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</si>
  <si>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</si>
  <si>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</si>
  <si>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</si>
  <si>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</si>
  <si>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</si>
  <si>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</si>
  <si>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</si>
  <si>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</si>
  <si>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</si>
  <si>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</si>
  <si>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</si>
  <si>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</si>
  <si>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</si>
  <si>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</si>
  <si>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</si>
  <si>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</si>
  <si>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</si>
  <si>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</si>
  <si>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</si>
  <si>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</si>
  <si>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</si>
  <si>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</si>
  <si>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</si>
  <si>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</si>
  <si>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</si>
  <si>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</si>
  <si>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</si>
  <si>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</si>
  <si>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</si>
  <si>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</si>
  <si>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</si>
  <si>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</si>
  <si>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</si>
  <si>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</si>
  <si>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</si>
  <si>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</si>
  <si>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</si>
  <si>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</si>
  <si>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</si>
  <si>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</si>
  <si>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</si>
  <si>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</si>
  <si>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</si>
  <si>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</si>
  <si>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</si>
  <si>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</si>
  <si>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</si>
  <si>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</si>
  <si>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</si>
  <si>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</si>
  <si>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</si>
  <si>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</si>
  <si>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</si>
  <si>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</si>
  <si>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</si>
  <si>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</si>
  <si>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</si>
  <si>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</si>
  <si>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</si>
  <si>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</si>
  <si>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</si>
  <si>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</si>
  <si>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</si>
  <si>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</si>
  <si>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</si>
  <si>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</si>
  <si>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</si>
  <si>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</si>
  <si>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</si>
  <si>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</si>
  <si>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</si>
  <si>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</si>
  <si>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</si>
  <si>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</si>
  <si>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</si>
  <si>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</si>
  <si>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</si>
  <si>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</si>
  <si>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</si>
  <si>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</si>
  <si>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</si>
  <si>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</si>
  <si>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</si>
  <si>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</si>
  <si>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</si>
  <si>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</si>
  <si>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</si>
  <si>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</si>
  <si>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</si>
  <si>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</si>
  <si>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</si>
  <si>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</si>
  <si>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</si>
  <si>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</si>
  <si>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</si>
  <si>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</si>
  <si>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</si>
  <si>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</si>
  <si>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</si>
  <si>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</si>
  <si>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</si>
  <si>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</si>
  <si>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</si>
  <si>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</si>
  <si>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</si>
  <si>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</si>
  <si>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</si>
  <si>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</si>
  <si>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</si>
  <si>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</si>
  <si>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</si>
  <si>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</si>
  <si>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</si>
  <si>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</si>
  <si>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</si>
  <si>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</si>
  <si>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</si>
  <si>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</si>
  <si>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</si>
  <si>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</si>
  <si>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</si>
  <si>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</si>
  <si>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</si>
  <si>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</si>
  <si>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</si>
  <si>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</si>
  <si>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</si>
  <si>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</si>
  <si>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</si>
  <si>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</si>
  <si>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</si>
  <si>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</si>
  <si>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</si>
  <si>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</si>
  <si>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</si>
  <si>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</si>
  <si>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</si>
  <si>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</si>
  <si>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</si>
  <si>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</si>
  <si>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</si>
  <si>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</si>
  <si>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</si>
  <si>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</si>
  <si>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</si>
  <si>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</si>
  <si>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</si>
  <si>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</si>
  <si>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</si>
  <si>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</si>
  <si>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</si>
  <si>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</si>
  <si>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</si>
  <si>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</si>
  <si>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</si>
  <si>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</si>
  <si>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</si>
  <si>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</si>
  <si>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</si>
  <si>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</si>
  <si>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</si>
  <si>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</si>
  <si>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</si>
  <si>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</si>
  <si>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</si>
  <si>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</si>
  <si>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</si>
  <si>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</si>
  <si>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</si>
  <si>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</si>
  <si>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</si>
  <si>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</si>
  <si>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</si>
  <si>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</si>
  <si>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</si>
  <si>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</si>
  <si>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</si>
  <si>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</si>
  <si>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</si>
  <si>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</si>
  <si>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</si>
  <si>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</si>
  <si>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</si>
  <si>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</si>
  <si>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</si>
  <si>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</si>
  <si>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</si>
  <si>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</si>
  <si>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</si>
  <si>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</si>
  <si>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</si>
  <si>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</si>
  <si>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</si>
  <si>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</si>
  <si>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</si>
  <si>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</si>
  <si>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</si>
  <si>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</si>
  <si>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</si>
  <si>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</si>
  <si>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</si>
  <si>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</si>
  <si>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</si>
  <si>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</si>
  <si>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</si>
  <si>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</si>
  <si>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</si>
  <si>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</si>
  <si>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</si>
  <si>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</si>
  <si>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</si>
  <si>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</si>
  <si>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</si>
  <si>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</si>
  <si>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</si>
  <si>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</si>
  <si>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</si>
  <si>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</si>
  <si>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</si>
  <si>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</si>
  <si>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</si>
  <si>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</si>
  <si>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</si>
  <si>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</si>
  <si>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</si>
  <si>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</si>
  <si>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</si>
  <si>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</si>
  <si>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</si>
  <si>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</si>
  <si>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</si>
  <si>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</si>
  <si>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</si>
  <si>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</si>
  <si>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</si>
  <si>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</si>
  <si>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</si>
  <si>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</si>
  <si>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</si>
  <si>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</si>
  <si>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</si>
  <si>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</si>
  <si>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</si>
  <si>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</si>
  <si>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</si>
  <si>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</si>
  <si>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</si>
  <si>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</si>
  <si>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</si>
  <si>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</si>
  <si>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</si>
  <si>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</si>
  <si>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</si>
  <si>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</si>
  <si>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</si>
  <si>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</si>
  <si>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</si>
  <si>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</si>
  <si>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</si>
  <si>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</si>
  <si>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</si>
  <si>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</si>
  <si>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</si>
  <si>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</si>
  <si>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</si>
  <si>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</si>
  <si>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</si>
  <si>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</si>
  <si>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</si>
  <si>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</si>
  <si>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</si>
  <si>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</si>
  <si>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</si>
  <si>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</si>
  <si>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</si>
  <si>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</si>
  <si>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</si>
  <si>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</si>
  <si>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</si>
  <si>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</si>
  <si>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</si>
  <si>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</si>
  <si>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</si>
  <si>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</si>
  <si>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</si>
  <si>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</si>
  <si>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</si>
  <si>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</si>
  <si>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</si>
  <si>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</si>
  <si>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</si>
  <si>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</si>
  <si>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</si>
  <si>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</si>
  <si>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</si>
  <si>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</si>
  <si>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</si>
  <si>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</si>
  <si>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</si>
  <si>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</si>
  <si>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</si>
  <si>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</si>
  <si>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</si>
  <si>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</si>
  <si>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</si>
  <si>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</si>
  <si>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</si>
  <si>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</si>
  <si>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</si>
  <si>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</si>
  <si>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</si>
  <si>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</si>
  <si>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</si>
  <si>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</si>
  <si>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</si>
  <si>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</si>
  <si>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</si>
  <si>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</si>
  <si>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</si>
  <si>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</si>
  <si>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</si>
  <si>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</si>
  <si>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</si>
  <si>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</si>
  <si>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</si>
  <si>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</si>
  <si>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</si>
  <si>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</si>
  <si>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</si>
  <si>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</si>
  <si>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</si>
  <si>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</si>
  <si>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</si>
  <si>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</si>
  <si>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</si>
  <si>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</si>
  <si>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referentietaak LNE (2017); Jaarverslag De Lijn</t>
  </si>
  <si>
    <t>waterkracht</t>
  </si>
  <si>
    <t>vzw Jessa Ziekenhuis</t>
  </si>
  <si>
    <t>Salvatorstraat 20, 3500 Hasselt</t>
  </si>
  <si>
    <t>WKK-0097 vzw Jessa Ziekenhuis (voorheen CAZ Midden-Limburg)</t>
  </si>
  <si>
    <t>interne verbrandingsmotor</t>
  </si>
  <si>
    <t>WKK interne verbrandinsgmotor (gas)</t>
  </si>
  <si>
    <t>Inter-Energa</t>
  </si>
  <si>
    <t>Roebben-Hendrickx</t>
  </si>
  <si>
    <t>Rapertingenstraat 5, 3500 Hasselt</t>
  </si>
  <si>
    <t>WKK-0093 Roebben-hendrickx</t>
  </si>
  <si>
    <t>Limburgs Galvano Technisch Bedrijf nv</t>
  </si>
  <si>
    <t>Albertkanaalstraat 139 , 3511 Kuringen</t>
  </si>
  <si>
    <t>WKK-0345 Limburgs Galvano Technisch Bedrijf</t>
  </si>
  <si>
    <t>Salvatorrusthuis VZW</t>
  </si>
  <si>
    <t>Ekkelgaarden 17 , 3500 Hasselt</t>
  </si>
  <si>
    <t>WKK-0387 Salvatorrusthuis</t>
  </si>
  <si>
    <t>Cordium cvba</t>
  </si>
  <si>
    <t>Gouverneur Roppesingel 133 , 3500 Hasselt</t>
  </si>
  <si>
    <t>WKK-0638 Cordium</t>
  </si>
  <si>
    <t>Broeker Winningstraat 1-0.03 , 3511 Kuringen</t>
  </si>
  <si>
    <t>WKK-0661 Zuidzicht fase 1</t>
  </si>
  <si>
    <t>Scheepvaartlaan 30 , 3500 Hasselt</t>
  </si>
  <si>
    <t>Campus Virga Jesse</t>
  </si>
  <si>
    <t>WKK-0925</t>
  </si>
  <si>
    <t>Interne verbrandingsmotor</t>
  </si>
  <si>
    <t>Stadsomvaart 11</t>
  </si>
  <si>
    <t>Inter-energa (via INFRAX)</t>
  </si>
  <si>
    <t>WZC Stadspark Hasselt</t>
  </si>
  <si>
    <t>Hasselt</t>
  </si>
  <si>
    <t>WKK-0940</t>
  </si>
  <si>
    <t>Zeven-Septemberlaan 17</t>
  </si>
  <si>
    <t>WZC Banneux Hasselt</t>
  </si>
  <si>
    <t>WKK-0941</t>
  </si>
  <si>
    <t>Hadewychlaan 74</t>
  </si>
  <si>
    <t>Kapermolen Zwembad</t>
  </si>
  <si>
    <t>WKK-0847</t>
  </si>
  <si>
    <t>Koning Boudewijnlaan  22</t>
  </si>
  <si>
    <t>Aquafin NV</t>
  </si>
  <si>
    <t>Dijkstraat 8 , 2630 Aartselaar</t>
  </si>
  <si>
    <t>BGS-0002 RWZI Hasselt</t>
  </si>
  <si>
    <t>biogas - RWZI</t>
  </si>
  <si>
    <t>niet WKK interne verbrandingsmotor (gas)</t>
  </si>
  <si>
    <t>Rode-Rokstraat 200 , 3511 Hasselt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</si>
</sst>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661039.96983882564</c:v>
                </c:pt>
                <c:pt idx="1">
                  <c:v>434029.3679647005</c:v>
                </c:pt>
                <c:pt idx="2">
                  <c:v>5312.3416589999997</c:v>
                </c:pt>
                <c:pt idx="3">
                  <c:v>9097.1046144411903</c:v>
                </c:pt>
                <c:pt idx="4">
                  <c:v>178655.57070683668</c:v>
                </c:pt>
                <c:pt idx="5">
                  <c:v>620911.14573598572</c:v>
                </c:pt>
                <c:pt idx="6">
                  <c:v>16631.617691836909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661039.96983882564</c:v>
                </c:pt>
                <c:pt idx="1">
                  <c:v>434029.3679647005</c:v>
                </c:pt>
                <c:pt idx="2">
                  <c:v>5312.3416589999997</c:v>
                </c:pt>
                <c:pt idx="3">
                  <c:v>9097.1046144411903</c:v>
                </c:pt>
                <c:pt idx="4">
                  <c:v>178655.57070683668</c:v>
                </c:pt>
                <c:pt idx="5">
                  <c:v>620911.14573598572</c:v>
                </c:pt>
                <c:pt idx="6">
                  <c:v>16631.617691836909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132837.33818665458</c:v>
                </c:pt>
                <c:pt idx="1">
                  <c:v>87478.989561941125</c:v>
                </c:pt>
                <c:pt idx="2">
                  <c:v>1029.3232458488928</c:v>
                </c:pt>
                <c:pt idx="3">
                  <c:v>2255.6383316638417</c:v>
                </c:pt>
                <c:pt idx="4">
                  <c:v>35827.199572684905</c:v>
                </c:pt>
                <c:pt idx="5">
                  <c:v>153742.21937640832</c:v>
                </c:pt>
                <c:pt idx="6">
                  <c:v>4184.9764340943457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132837.33818665458</c:v>
                </c:pt>
                <c:pt idx="1">
                  <c:v>87478.989561941125</c:v>
                </c:pt>
                <c:pt idx="2">
                  <c:v>1029.3232458488928</c:v>
                </c:pt>
                <c:pt idx="3">
                  <c:v>2255.6383316638417</c:v>
                </c:pt>
                <c:pt idx="4">
                  <c:v>35827.199572684905</c:v>
                </c:pt>
                <c:pt idx="5">
                  <c:v>153742.21937640832</c:v>
                </c:pt>
                <c:pt idx="6">
                  <c:v>4184.9764340943457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633</v>
      </c>
      <c r="B2" s="390"/>
      <c r="C2" s="391"/>
    </row>
    <row r="3" spans="1:7" s="11" customFormat="1" ht="15" customHeight="1">
      <c r="A3" s="93"/>
      <c r="B3" s="74"/>
      <c r="C3" s="94"/>
    </row>
    <row r="4" spans="1:7" s="11" customFormat="1" ht="15.75" customHeight="1" thickBot="1">
      <c r="A4" s="105" t="s">
        <v>794</v>
      </c>
      <c r="B4" s="106"/>
      <c r="C4" s="107"/>
    </row>
    <row r="5" spans="1:7" s="384" customFormat="1" ht="15.75" customHeight="1">
      <c r="A5" s="381" t="s">
        <v>0</v>
      </c>
      <c r="B5" s="382"/>
      <c r="C5" s="383"/>
    </row>
    <row r="6" spans="1:7" s="384" customFormat="1" ht="15" customHeight="1">
      <c r="A6" s="385" t="str">
        <f>txtNIS</f>
        <v>71022</v>
      </c>
      <c r="B6" s="386"/>
      <c r="C6" s="387"/>
    </row>
    <row r="7" spans="1:7" s="384" customFormat="1" ht="15.75" customHeight="1">
      <c r="A7" s="388" t="str">
        <f>txtMunicipality</f>
        <v>HASSELT</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871</v>
      </c>
      <c r="B10" s="1083"/>
      <c r="C10" s="1084"/>
    </row>
    <row r="11" spans="1:7" s="378" customFormat="1" ht="15.75" thickBot="1">
      <c r="A11" s="401" t="s">
        <v>352</v>
      </c>
      <c r="B11" s="404"/>
      <c r="C11" s="405"/>
      <c r="G11" s="379"/>
    </row>
    <row r="12" spans="1:7">
      <c r="A12" s="44"/>
      <c r="B12" s="43"/>
      <c r="C12" s="96"/>
    </row>
    <row r="13" spans="1:7" s="378" customFormat="1">
      <c r="A13" s="770" t="s">
        <v>600</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795</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557</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638</v>
      </c>
      <c r="B6" s="410" t="s">
        <v>796</v>
      </c>
      <c r="C6" s="411" t="s">
        <v>351</v>
      </c>
    </row>
    <row r="7" spans="1:3" s="326" customFormat="1">
      <c r="A7" s="911" t="s">
        <v>797</v>
      </c>
      <c r="B7" s="412" t="s">
        <v>586</v>
      </c>
      <c r="C7" s="413" t="s">
        <v>585</v>
      </c>
    </row>
    <row r="8" spans="1:3" s="326" customFormat="1">
      <c r="A8" s="1055" t="s">
        <v>798</v>
      </c>
      <c r="B8" s="412" t="s">
        <v>801</v>
      </c>
      <c r="C8" s="413" t="s">
        <v>351</v>
      </c>
    </row>
    <row r="9" spans="1:3" s="326" customFormat="1">
      <c r="A9" s="1055" t="s">
        <v>799</v>
      </c>
      <c r="B9" s="412" t="s">
        <v>802</v>
      </c>
      <c r="C9" s="413" t="s">
        <v>351</v>
      </c>
    </row>
    <row r="10" spans="1:3" s="326" customFormat="1">
      <c r="A10" s="1055" t="s">
        <v>800</v>
      </c>
      <c r="B10" s="412" t="s">
        <v>803</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199868.14591799999</v>
      </c>
      <c r="D10" s="683">
        <f ca="1">tertiair!C16</f>
        <v>8734.5</v>
      </c>
      <c r="E10" s="683">
        <f ca="1">tertiair!D16</f>
        <v>194978.670195474</v>
      </c>
      <c r="F10" s="683">
        <f>tertiair!E16</f>
        <v>702.70752564131465</v>
      </c>
      <c r="G10" s="683">
        <f ca="1">tertiair!F16</f>
        <v>30564.486979219892</v>
      </c>
      <c r="H10" s="683">
        <f>tertiair!G16</f>
        <v>0</v>
      </c>
      <c r="I10" s="683">
        <f>tertiair!H16</f>
        <v>0</v>
      </c>
      <c r="J10" s="683">
        <f>tertiair!I16</f>
        <v>0</v>
      </c>
      <c r="K10" s="683">
        <f>tertiair!J16</f>
        <v>0.17203054466493406</v>
      </c>
      <c r="L10" s="683">
        <f>tertiair!K16</f>
        <v>0</v>
      </c>
      <c r="M10" s="683">
        <f ca="1">tertiair!L16</f>
        <v>0</v>
      </c>
      <c r="N10" s="683">
        <f>tertiair!M16</f>
        <v>0</v>
      </c>
      <c r="O10" s="683">
        <f ca="1">tertiair!N16</f>
        <v>3245.4487076445316</v>
      </c>
      <c r="P10" s="683">
        <f>tertiair!O16</f>
        <v>39.178086126729234</v>
      </c>
      <c r="Q10" s="684">
        <f>tertiair!P16</f>
        <v>1208.4001810493855</v>
      </c>
      <c r="R10" s="686">
        <f ca="1">SUM(C10:Q10)</f>
        <v>439341.70962370047</v>
      </c>
      <c r="S10" s="67"/>
    </row>
    <row r="11" spans="1:19" s="445" customFormat="1">
      <c r="A11" s="804" t="s">
        <v>220</v>
      </c>
      <c r="B11" s="809"/>
      <c r="C11" s="683">
        <f>huishoudens!B8</f>
        <v>127288.71946071553</v>
      </c>
      <c r="D11" s="683">
        <f>huishoudens!C8</f>
        <v>0</v>
      </c>
      <c r="E11" s="683">
        <f>huishoudens!D8</f>
        <v>310696.77471568831</v>
      </c>
      <c r="F11" s="683">
        <f>huishoudens!E8</f>
        <v>7420.1152327178897</v>
      </c>
      <c r="G11" s="683">
        <f>huishoudens!F8</f>
        <v>162549.5355019345</v>
      </c>
      <c r="H11" s="683">
        <f>huishoudens!G8</f>
        <v>0</v>
      </c>
      <c r="I11" s="683">
        <f>huishoudens!H8</f>
        <v>0</v>
      </c>
      <c r="J11" s="683">
        <f>huishoudens!I8</f>
        <v>0</v>
      </c>
      <c r="K11" s="683">
        <f>huishoudens!J8</f>
        <v>926.38758147912404</v>
      </c>
      <c r="L11" s="683">
        <f>huishoudens!K8</f>
        <v>0</v>
      </c>
      <c r="M11" s="683">
        <f>huishoudens!L8</f>
        <v>0</v>
      </c>
      <c r="N11" s="683">
        <f>huishoudens!M8</f>
        <v>0</v>
      </c>
      <c r="O11" s="683">
        <f>huishoudens!N8</f>
        <v>46699.072923027794</v>
      </c>
      <c r="P11" s="683">
        <f>huishoudens!O8</f>
        <v>1656.6051131881716</v>
      </c>
      <c r="Q11" s="684">
        <f>huishoudens!P8</f>
        <v>3802.7593100742934</v>
      </c>
      <c r="R11" s="686">
        <f>SUM(C11:Q11)</f>
        <v>661039.96983882564</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622</v>
      </c>
      <c r="B13" s="813" t="s">
        <v>620</v>
      </c>
      <c r="C13" s="683">
        <f>industrie!B18</f>
        <v>66147.609888000006</v>
      </c>
      <c r="D13" s="683">
        <f>industrie!C18</f>
        <v>321.42857142857144</v>
      </c>
      <c r="E13" s="683">
        <f>industrie!D18</f>
        <v>78695.316868602851</v>
      </c>
      <c r="F13" s="683">
        <f>industrie!E18</f>
        <v>724.47631474519221</v>
      </c>
      <c r="G13" s="683">
        <f>industrie!F18</f>
        <v>25295.862058573326</v>
      </c>
      <c r="H13" s="683">
        <f>industrie!G18</f>
        <v>0</v>
      </c>
      <c r="I13" s="683">
        <f>industrie!H18</f>
        <v>0</v>
      </c>
      <c r="J13" s="683">
        <f>industrie!I18</f>
        <v>0</v>
      </c>
      <c r="K13" s="683">
        <f>industrie!J18</f>
        <v>336.43485957090348</v>
      </c>
      <c r="L13" s="683">
        <f>industrie!K18</f>
        <v>0</v>
      </c>
      <c r="M13" s="683">
        <f>industrie!L18</f>
        <v>0</v>
      </c>
      <c r="N13" s="683">
        <f>industrie!M18</f>
        <v>0</v>
      </c>
      <c r="O13" s="683">
        <f>industrie!N18</f>
        <v>7134.4421459158475</v>
      </c>
      <c r="P13" s="683">
        <f>industrie!O18</f>
        <v>0</v>
      </c>
      <c r="Q13" s="684">
        <f>industrie!P18</f>
        <v>0</v>
      </c>
      <c r="R13" s="686">
        <f>SUM(C13:Q13)</f>
        <v>178655.57070683668</v>
      </c>
      <c r="S13" s="67"/>
    </row>
    <row r="14" spans="1:19" s="445" customFormat="1">
      <c r="A14" s="804"/>
      <c r="B14" s="813" t="s">
        <v>621</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697</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393304.47526671551</v>
      </c>
      <c r="D16" s="719">
        <f t="shared" ref="D16:R16" ca="1" si="0">SUM(D9:D15)</f>
        <v>9055.9285714285706</v>
      </c>
      <c r="E16" s="719">
        <f t="shared" ca="1" si="0"/>
        <v>584370.76177976513</v>
      </c>
      <c r="F16" s="719">
        <f t="shared" si="0"/>
        <v>8847.2990731043974</v>
      </c>
      <c r="G16" s="719">
        <f t="shared" ca="1" si="0"/>
        <v>218409.8845397277</v>
      </c>
      <c r="H16" s="719">
        <f t="shared" si="0"/>
        <v>0</v>
      </c>
      <c r="I16" s="719">
        <f t="shared" si="0"/>
        <v>0</v>
      </c>
      <c r="J16" s="719">
        <f t="shared" si="0"/>
        <v>0</v>
      </c>
      <c r="K16" s="719">
        <f t="shared" si="0"/>
        <v>1262.9944715946924</v>
      </c>
      <c r="L16" s="719">
        <f t="shared" si="0"/>
        <v>0</v>
      </c>
      <c r="M16" s="719">
        <f t="shared" ca="1" si="0"/>
        <v>0</v>
      </c>
      <c r="N16" s="719">
        <f t="shared" si="0"/>
        <v>0</v>
      </c>
      <c r="O16" s="719">
        <f t="shared" ca="1" si="0"/>
        <v>57078.963776588171</v>
      </c>
      <c r="P16" s="719">
        <f t="shared" si="0"/>
        <v>1695.7831993149009</v>
      </c>
      <c r="Q16" s="719">
        <f t="shared" si="0"/>
        <v>5011.1594911236789</v>
      </c>
      <c r="R16" s="719">
        <f t="shared" ca="1" si="0"/>
        <v>1279037.2501693626</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247.5033337611699</v>
      </c>
      <c r="D19" s="683">
        <f>transport!C54</f>
        <v>0</v>
      </c>
      <c r="E19" s="683">
        <f>transport!D54</f>
        <v>0</v>
      </c>
      <c r="F19" s="683">
        <f>transport!E54</f>
        <v>0</v>
      </c>
      <c r="G19" s="683">
        <f>transport!F54</f>
        <v>0</v>
      </c>
      <c r="H19" s="683">
        <f>transport!G54</f>
        <v>15494.456948432226</v>
      </c>
      <c r="I19" s="683">
        <f>transport!H54</f>
        <v>0</v>
      </c>
      <c r="J19" s="683">
        <f>transport!I54</f>
        <v>0</v>
      </c>
      <c r="K19" s="683">
        <f>transport!J54</f>
        <v>0</v>
      </c>
      <c r="L19" s="683">
        <f>transport!K54</f>
        <v>0</v>
      </c>
      <c r="M19" s="683">
        <f>transport!L54</f>
        <v>0</v>
      </c>
      <c r="N19" s="683">
        <f>transport!M54</f>
        <v>889.65740964351244</v>
      </c>
      <c r="O19" s="683">
        <f>transport!N54</f>
        <v>0</v>
      </c>
      <c r="P19" s="683">
        <f>transport!O54</f>
        <v>0</v>
      </c>
      <c r="Q19" s="684">
        <f>transport!P54</f>
        <v>0</v>
      </c>
      <c r="R19" s="686">
        <f>SUM(C19:Q19)</f>
        <v>16631.617691836909</v>
      </c>
      <c r="S19" s="67"/>
    </row>
    <row r="20" spans="1:19" s="445" customFormat="1">
      <c r="A20" s="804" t="s">
        <v>302</v>
      </c>
      <c r="B20" s="809"/>
      <c r="C20" s="683">
        <f>transport!B14</f>
        <v>1561.1635917983203</v>
      </c>
      <c r="D20" s="683">
        <f>transport!C14</f>
        <v>0</v>
      </c>
      <c r="E20" s="683">
        <f>transport!D14</f>
        <v>2622.305182164881</v>
      </c>
      <c r="F20" s="683">
        <f>transport!E14</f>
        <v>1096.6214784425144</v>
      </c>
      <c r="G20" s="683">
        <f>transport!F14</f>
        <v>0</v>
      </c>
      <c r="H20" s="683">
        <f>transport!G14</f>
        <v>450328.35632303602</v>
      </c>
      <c r="I20" s="683">
        <f>transport!H14</f>
        <v>130214.52732712502</v>
      </c>
      <c r="J20" s="683">
        <f>transport!I14</f>
        <v>0</v>
      </c>
      <c r="K20" s="683">
        <f>transport!J14</f>
        <v>0</v>
      </c>
      <c r="L20" s="683">
        <f>transport!K14</f>
        <v>0</v>
      </c>
      <c r="M20" s="683">
        <f>transport!L14</f>
        <v>0</v>
      </c>
      <c r="N20" s="683">
        <f>transport!M14</f>
        <v>35088.171833418899</v>
      </c>
      <c r="O20" s="683">
        <f>transport!N14</f>
        <v>0</v>
      </c>
      <c r="P20" s="683">
        <f>transport!O14</f>
        <v>0</v>
      </c>
      <c r="Q20" s="684">
        <f>transport!P14</f>
        <v>0</v>
      </c>
      <c r="R20" s="686">
        <f>SUM(C20:Q20)</f>
        <v>620911.14573598572</v>
      </c>
      <c r="S20" s="67"/>
    </row>
    <row r="21" spans="1:19" s="445" customFormat="1" ht="15" thickBot="1">
      <c r="A21" s="826" t="s">
        <v>700</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1808.6669255594902</v>
      </c>
      <c r="D22" s="807">
        <f t="shared" ref="D22:R22" si="1">SUM(D18:D21)</f>
        <v>0</v>
      </c>
      <c r="E22" s="807">
        <f t="shared" si="1"/>
        <v>2622.305182164881</v>
      </c>
      <c r="F22" s="807">
        <f t="shared" si="1"/>
        <v>1096.6214784425144</v>
      </c>
      <c r="G22" s="807">
        <f t="shared" si="1"/>
        <v>0</v>
      </c>
      <c r="H22" s="807">
        <f t="shared" si="1"/>
        <v>465822.81327146821</v>
      </c>
      <c r="I22" s="807">
        <f t="shared" si="1"/>
        <v>130214.52732712502</v>
      </c>
      <c r="J22" s="807">
        <f t="shared" si="1"/>
        <v>0</v>
      </c>
      <c r="K22" s="807">
        <f t="shared" si="1"/>
        <v>0</v>
      </c>
      <c r="L22" s="807">
        <f t="shared" si="1"/>
        <v>0</v>
      </c>
      <c r="M22" s="807">
        <f t="shared" si="1"/>
        <v>0</v>
      </c>
      <c r="N22" s="807">
        <f t="shared" si="1"/>
        <v>35977.829243062413</v>
      </c>
      <c r="O22" s="807">
        <f t="shared" si="1"/>
        <v>0</v>
      </c>
      <c r="P22" s="807">
        <f t="shared" si="1"/>
        <v>0</v>
      </c>
      <c r="Q22" s="807">
        <f t="shared" si="1"/>
        <v>0</v>
      </c>
      <c r="R22" s="807">
        <f t="shared" si="1"/>
        <v>637542.76342782262</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617</v>
      </c>
      <c r="B24" s="809"/>
      <c r="C24" s="683">
        <f>+landbouw!B8</f>
        <v>1764.689355</v>
      </c>
      <c r="D24" s="683">
        <f>+landbouw!C8</f>
        <v>0</v>
      </c>
      <c r="E24" s="683">
        <f>+landbouw!D8</f>
        <v>1247.0715573750001</v>
      </c>
      <c r="F24" s="683">
        <f>+landbouw!E8</f>
        <v>50.543689528337353</v>
      </c>
      <c r="G24" s="683">
        <f>+landbouw!F8</f>
        <v>5586.094925028232</v>
      </c>
      <c r="H24" s="683">
        <f>+landbouw!G8</f>
        <v>0</v>
      </c>
      <c r="I24" s="683">
        <f>+landbouw!H8</f>
        <v>0</v>
      </c>
      <c r="J24" s="683">
        <f>+landbouw!I8</f>
        <v>0</v>
      </c>
      <c r="K24" s="683">
        <f>+landbouw!J8</f>
        <v>448.70508750962153</v>
      </c>
      <c r="L24" s="683">
        <f>+landbouw!K8</f>
        <v>0</v>
      </c>
      <c r="M24" s="683">
        <f>+landbouw!L8</f>
        <v>0</v>
      </c>
      <c r="N24" s="683">
        <f>+landbouw!M8</f>
        <v>0</v>
      </c>
      <c r="O24" s="683">
        <f>+landbouw!N8</f>
        <v>0</v>
      </c>
      <c r="P24" s="683">
        <f>+landbouw!O8</f>
        <v>0</v>
      </c>
      <c r="Q24" s="684">
        <f>+landbouw!P8</f>
        <v>0</v>
      </c>
      <c r="R24" s="686">
        <f>SUM(C24:Q24)</f>
        <v>9097.1046144411903</v>
      </c>
      <c r="S24" s="67"/>
    </row>
    <row r="25" spans="1:19" s="445" customFormat="1" ht="15" thickBot="1">
      <c r="A25" s="826" t="s">
        <v>698</v>
      </c>
      <c r="B25" s="939"/>
      <c r="C25" s="940">
        <f>IF(Onbekend_ele_kWh="---",0,Onbekend_ele_kWh)/1000+IF(REST_rest_ele_kWh="---",0,REST_rest_ele_kWh)/1000</f>
        <v>6755.4261470000001</v>
      </c>
      <c r="D25" s="940"/>
      <c r="E25" s="940">
        <f>IF(onbekend_gas_kWh="---",0,onbekend_gas_kWh)/1000+IF(REST_rest_gas_kWh="---",0,REST_rest_gas_kWh)/1000</f>
        <v>15927.834148</v>
      </c>
      <c r="F25" s="940"/>
      <c r="G25" s="940"/>
      <c r="H25" s="940"/>
      <c r="I25" s="940"/>
      <c r="J25" s="940"/>
      <c r="K25" s="940"/>
      <c r="L25" s="940"/>
      <c r="M25" s="940"/>
      <c r="N25" s="940"/>
      <c r="O25" s="940"/>
      <c r="P25" s="940"/>
      <c r="Q25" s="941"/>
      <c r="R25" s="686">
        <f>SUM(C25:Q25)</f>
        <v>22683.260295</v>
      </c>
      <c r="S25" s="67"/>
    </row>
    <row r="26" spans="1:19" s="445" customFormat="1" ht="15.75" thickBot="1">
      <c r="A26" s="691" t="s">
        <v>699</v>
      </c>
      <c r="B26" s="812"/>
      <c r="C26" s="807">
        <f>SUM(C24:C25)</f>
        <v>8520.1155020000006</v>
      </c>
      <c r="D26" s="807">
        <f t="shared" ref="D26:R26" si="2">SUM(D24:D25)</f>
        <v>0</v>
      </c>
      <c r="E26" s="807">
        <f t="shared" si="2"/>
        <v>17174.905705375</v>
      </c>
      <c r="F26" s="807">
        <f t="shared" si="2"/>
        <v>50.543689528337353</v>
      </c>
      <c r="G26" s="807">
        <f t="shared" si="2"/>
        <v>5586.094925028232</v>
      </c>
      <c r="H26" s="807">
        <f t="shared" si="2"/>
        <v>0</v>
      </c>
      <c r="I26" s="807">
        <f t="shared" si="2"/>
        <v>0</v>
      </c>
      <c r="J26" s="807">
        <f t="shared" si="2"/>
        <v>0</v>
      </c>
      <c r="K26" s="807">
        <f t="shared" si="2"/>
        <v>448.70508750962153</v>
      </c>
      <c r="L26" s="807">
        <f t="shared" si="2"/>
        <v>0</v>
      </c>
      <c r="M26" s="807">
        <f t="shared" si="2"/>
        <v>0</v>
      </c>
      <c r="N26" s="807">
        <f t="shared" si="2"/>
        <v>0</v>
      </c>
      <c r="O26" s="807">
        <f t="shared" si="2"/>
        <v>0</v>
      </c>
      <c r="P26" s="807">
        <f t="shared" si="2"/>
        <v>0</v>
      </c>
      <c r="Q26" s="807">
        <f t="shared" si="2"/>
        <v>0</v>
      </c>
      <c r="R26" s="807">
        <f t="shared" si="2"/>
        <v>31780.364909441189</v>
      </c>
      <c r="S26" s="67"/>
    </row>
    <row r="27" spans="1:19" s="445" customFormat="1" ht="17.25" thickTop="1" thickBot="1">
      <c r="A27" s="692" t="s">
        <v>115</v>
      </c>
      <c r="B27" s="799"/>
      <c r="C27" s="693">
        <f ca="1">C22+C16+C26</f>
        <v>403633.257694275</v>
      </c>
      <c r="D27" s="693">
        <f t="shared" ref="D27:R27" ca="1" si="3">D22+D16+D26</f>
        <v>9055.9285714285706</v>
      </c>
      <c r="E27" s="693">
        <f t="shared" ca="1" si="3"/>
        <v>604167.97266730503</v>
      </c>
      <c r="F27" s="693">
        <f t="shared" si="3"/>
        <v>9994.4642410752476</v>
      </c>
      <c r="G27" s="693">
        <f t="shared" ca="1" si="3"/>
        <v>223995.97946475595</v>
      </c>
      <c r="H27" s="693">
        <f t="shared" si="3"/>
        <v>465822.81327146821</v>
      </c>
      <c r="I27" s="693">
        <f t="shared" si="3"/>
        <v>130214.52732712502</v>
      </c>
      <c r="J27" s="693">
        <f t="shared" si="3"/>
        <v>0</v>
      </c>
      <c r="K27" s="693">
        <f t="shared" si="3"/>
        <v>1711.6995591043139</v>
      </c>
      <c r="L27" s="693">
        <f t="shared" si="3"/>
        <v>0</v>
      </c>
      <c r="M27" s="693">
        <f t="shared" ca="1" si="3"/>
        <v>0</v>
      </c>
      <c r="N27" s="693">
        <f t="shared" si="3"/>
        <v>35977.829243062413</v>
      </c>
      <c r="O27" s="693">
        <f t="shared" ca="1" si="3"/>
        <v>57078.963776588171</v>
      </c>
      <c r="P27" s="693">
        <f t="shared" si="3"/>
        <v>1695.7831993149009</v>
      </c>
      <c r="Q27" s="693">
        <f t="shared" si="3"/>
        <v>5011.1594911236789</v>
      </c>
      <c r="R27" s="693">
        <f t="shared" ca="1" si="3"/>
        <v>1948360.3785066265</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38726.599662425047</v>
      </c>
      <c r="D40" s="683">
        <f ca="1">tertiair!C20</f>
        <v>2075.7282352941183</v>
      </c>
      <c r="E40" s="683">
        <f ca="1">tertiair!D20</f>
        <v>39385.691379485754</v>
      </c>
      <c r="F40" s="683">
        <f>tertiair!E20</f>
        <v>159.51460832057842</v>
      </c>
      <c r="G40" s="683">
        <f ca="1">tertiair!F20</f>
        <v>8160.7180234517118</v>
      </c>
      <c r="H40" s="683">
        <f>tertiair!G20</f>
        <v>0</v>
      </c>
      <c r="I40" s="683">
        <f>tertiair!H20</f>
        <v>0</v>
      </c>
      <c r="J40" s="683">
        <f>tertiair!I20</f>
        <v>0</v>
      </c>
      <c r="K40" s="683">
        <f>tertiair!J20</f>
        <v>6.0898812811386656E-2</v>
      </c>
      <c r="L40" s="683">
        <f>tertiair!K20</f>
        <v>0</v>
      </c>
      <c r="M40" s="683">
        <f ca="1">tertiair!L20</f>
        <v>0</v>
      </c>
      <c r="N40" s="683">
        <f>tertiair!M20</f>
        <v>0</v>
      </c>
      <c r="O40" s="683">
        <f ca="1">tertiair!N20</f>
        <v>0</v>
      </c>
      <c r="P40" s="683">
        <f>tertiair!O20</f>
        <v>0</v>
      </c>
      <c r="Q40" s="766">
        <f>tertiair!P20</f>
        <v>0</v>
      </c>
      <c r="R40" s="845">
        <f t="shared" ca="1" si="4"/>
        <v>88508.312807790018</v>
      </c>
    </row>
    <row r="41" spans="1:18">
      <c r="A41" s="817" t="s">
        <v>220</v>
      </c>
      <c r="B41" s="824"/>
      <c r="C41" s="683">
        <f ca="1">huishoudens!B12</f>
        <v>24663.556353398475</v>
      </c>
      <c r="D41" s="683">
        <f ca="1">huishoudens!C12</f>
        <v>0</v>
      </c>
      <c r="E41" s="683">
        <f>huishoudens!D12</f>
        <v>62760.748492569044</v>
      </c>
      <c r="F41" s="683">
        <f>huishoudens!E12</f>
        <v>1684.3661578269609</v>
      </c>
      <c r="G41" s="683">
        <f>huishoudens!F12</f>
        <v>43400.725979016512</v>
      </c>
      <c r="H41" s="683">
        <f>huishoudens!G12</f>
        <v>0</v>
      </c>
      <c r="I41" s="683">
        <f>huishoudens!H12</f>
        <v>0</v>
      </c>
      <c r="J41" s="683">
        <f>huishoudens!I12</f>
        <v>0</v>
      </c>
      <c r="K41" s="683">
        <f>huishoudens!J12</f>
        <v>327.94120384360991</v>
      </c>
      <c r="L41" s="683">
        <f>huishoudens!K12</f>
        <v>0</v>
      </c>
      <c r="M41" s="683">
        <f>huishoudens!L12</f>
        <v>0</v>
      </c>
      <c r="N41" s="683">
        <f>huishoudens!M12</f>
        <v>0</v>
      </c>
      <c r="O41" s="683">
        <f>huishoudens!N12</f>
        <v>0</v>
      </c>
      <c r="P41" s="683">
        <f>huishoudens!O12</f>
        <v>0</v>
      </c>
      <c r="Q41" s="766">
        <f>huishoudens!P12</f>
        <v>0</v>
      </c>
      <c r="R41" s="845">
        <f t="shared" ca="1" si="4"/>
        <v>132837.33818665458</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623</v>
      </c>
      <c r="B43" s="832" t="s">
        <v>620</v>
      </c>
      <c r="C43" s="683">
        <f ca="1">industrie!B22</f>
        <v>12816.80977723095</v>
      </c>
      <c r="D43" s="683">
        <f ca="1">industrie!C22</f>
        <v>76.386554621848774</v>
      </c>
      <c r="E43" s="683">
        <f>industrie!D22</f>
        <v>15896.454007457776</v>
      </c>
      <c r="F43" s="683">
        <f>industrie!E22</f>
        <v>164.45612344715863</v>
      </c>
      <c r="G43" s="683">
        <f>industrie!F22</f>
        <v>6753.9951696390781</v>
      </c>
      <c r="H43" s="683">
        <f>industrie!G22</f>
        <v>0</v>
      </c>
      <c r="I43" s="683">
        <f>industrie!H22</f>
        <v>0</v>
      </c>
      <c r="J43" s="683">
        <f>industrie!I22</f>
        <v>0</v>
      </c>
      <c r="K43" s="683">
        <f>industrie!J22</f>
        <v>119.09794028809982</v>
      </c>
      <c r="L43" s="683">
        <f>industrie!K22</f>
        <v>0</v>
      </c>
      <c r="M43" s="683">
        <f>industrie!L22</f>
        <v>0</v>
      </c>
      <c r="N43" s="683">
        <f>industrie!M22</f>
        <v>0</v>
      </c>
      <c r="O43" s="683">
        <f>industrie!N22</f>
        <v>0</v>
      </c>
      <c r="P43" s="683">
        <f>industrie!O22</f>
        <v>0</v>
      </c>
      <c r="Q43" s="766">
        <f>industrie!P22</f>
        <v>0</v>
      </c>
      <c r="R43" s="844">
        <f t="shared" ca="1" si="4"/>
        <v>35827.199572684905</v>
      </c>
    </row>
    <row r="44" spans="1:18">
      <c r="A44" s="817"/>
      <c r="B44" s="824" t="s">
        <v>621</v>
      </c>
      <c r="C44" s="683"/>
      <c r="D44" s="683"/>
      <c r="E44" s="683"/>
      <c r="F44" s="683"/>
      <c r="G44" s="683"/>
      <c r="H44" s="683"/>
      <c r="I44" s="683"/>
      <c r="J44" s="683"/>
      <c r="K44" s="683"/>
      <c r="L44" s="683"/>
      <c r="M44" s="683"/>
      <c r="N44" s="683"/>
      <c r="O44" s="683"/>
      <c r="P44" s="683"/>
      <c r="Q44" s="766"/>
      <c r="R44" s="845">
        <f t="shared" si="4"/>
        <v>0</v>
      </c>
    </row>
    <row r="45" spans="1:18" ht="15" thickBot="1">
      <c r="A45" s="938" t="s">
        <v>697</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76206.965793054478</v>
      </c>
      <c r="D46" s="719">
        <f t="shared" ref="D46:Q46" ca="1" si="5">SUM(D39:D45)</f>
        <v>2152.1147899159673</v>
      </c>
      <c r="E46" s="719">
        <f t="shared" ca="1" si="5"/>
        <v>118042.89387951257</v>
      </c>
      <c r="F46" s="719">
        <f t="shared" si="5"/>
        <v>2008.3368895946981</v>
      </c>
      <c r="G46" s="719">
        <f t="shared" ca="1" si="5"/>
        <v>58315.439172107304</v>
      </c>
      <c r="H46" s="719">
        <f t="shared" si="5"/>
        <v>0</v>
      </c>
      <c r="I46" s="719">
        <f t="shared" si="5"/>
        <v>0</v>
      </c>
      <c r="J46" s="719">
        <f t="shared" si="5"/>
        <v>0</v>
      </c>
      <c r="K46" s="719">
        <f t="shared" si="5"/>
        <v>447.10004294452114</v>
      </c>
      <c r="L46" s="719">
        <f t="shared" si="5"/>
        <v>0</v>
      </c>
      <c r="M46" s="719">
        <f t="shared" ca="1" si="5"/>
        <v>0</v>
      </c>
      <c r="N46" s="719">
        <f t="shared" si="5"/>
        <v>0</v>
      </c>
      <c r="O46" s="719">
        <f t="shared" ca="1" si="5"/>
        <v>0</v>
      </c>
      <c r="P46" s="719">
        <f t="shared" si="5"/>
        <v>0</v>
      </c>
      <c r="Q46" s="719">
        <f t="shared" si="5"/>
        <v>0</v>
      </c>
      <c r="R46" s="719">
        <f ca="1">SUM(R39:R45)</f>
        <v>257172.85056712953</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47.956428862940584</v>
      </c>
      <c r="D49" s="683">
        <f ca="1">transport!C58</f>
        <v>0</v>
      </c>
      <c r="E49" s="683">
        <f>transport!D58</f>
        <v>0</v>
      </c>
      <c r="F49" s="683">
        <f>transport!E58</f>
        <v>0</v>
      </c>
      <c r="G49" s="683">
        <f>transport!F58</f>
        <v>0</v>
      </c>
      <c r="H49" s="683">
        <f>transport!G58</f>
        <v>4137.0200052314049</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4184.9764340943457</v>
      </c>
    </row>
    <row r="50" spans="1:18">
      <c r="A50" s="820" t="s">
        <v>302</v>
      </c>
      <c r="B50" s="830"/>
      <c r="C50" s="689">
        <f ca="1">transport!B18</f>
        <v>302.49221129980094</v>
      </c>
      <c r="D50" s="689">
        <f>transport!C18</f>
        <v>0</v>
      </c>
      <c r="E50" s="689">
        <f>transport!D18</f>
        <v>529.70564679730603</v>
      </c>
      <c r="F50" s="689">
        <f>transport!E18</f>
        <v>248.93307560645079</v>
      </c>
      <c r="G50" s="689">
        <f>transport!F18</f>
        <v>0</v>
      </c>
      <c r="H50" s="689">
        <f>transport!G18</f>
        <v>120237.67113825062</v>
      </c>
      <c r="I50" s="689">
        <f>transport!H18</f>
        <v>32423.417304454131</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153742.21937640832</v>
      </c>
    </row>
    <row r="51" spans="1:18" ht="15" thickBot="1">
      <c r="A51" s="817" t="s">
        <v>700</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350.44864016274153</v>
      </c>
      <c r="D52" s="719">
        <f t="shared" ref="D52:Q52" ca="1" si="6">SUM(D48:D51)</f>
        <v>0</v>
      </c>
      <c r="E52" s="719">
        <f t="shared" si="6"/>
        <v>529.70564679730603</v>
      </c>
      <c r="F52" s="719">
        <f t="shared" si="6"/>
        <v>248.93307560645079</v>
      </c>
      <c r="G52" s="719">
        <f t="shared" si="6"/>
        <v>0</v>
      </c>
      <c r="H52" s="719">
        <f t="shared" si="6"/>
        <v>124374.69114348202</v>
      </c>
      <c r="I52" s="719">
        <f t="shared" si="6"/>
        <v>32423.417304454131</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157927.19581050266</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617</v>
      </c>
      <c r="B54" s="830"/>
      <c r="C54" s="689">
        <f ca="1">+landbouw!B12</f>
        <v>341.92751359021526</v>
      </c>
      <c r="D54" s="689">
        <f ca="1">+landbouw!C12</f>
        <v>0</v>
      </c>
      <c r="E54" s="689">
        <f>+landbouw!D12</f>
        <v>251.90845458975005</v>
      </c>
      <c r="F54" s="689">
        <f>+landbouw!E12</f>
        <v>11.47341752293258</v>
      </c>
      <c r="G54" s="689">
        <f>+landbouw!F12</f>
        <v>1491.4873449825379</v>
      </c>
      <c r="H54" s="689">
        <f>+landbouw!G12</f>
        <v>0</v>
      </c>
      <c r="I54" s="689">
        <f>+landbouw!H12</f>
        <v>0</v>
      </c>
      <c r="J54" s="689">
        <f>+landbouw!I12</f>
        <v>0</v>
      </c>
      <c r="K54" s="689">
        <f>+landbouw!J12</f>
        <v>158.84160097840601</v>
      </c>
      <c r="L54" s="689">
        <f>+landbouw!K12</f>
        <v>0</v>
      </c>
      <c r="M54" s="689">
        <f>+landbouw!L12</f>
        <v>0</v>
      </c>
      <c r="N54" s="689">
        <f>+landbouw!M12</f>
        <v>0</v>
      </c>
      <c r="O54" s="689">
        <f>+landbouw!N12</f>
        <v>0</v>
      </c>
      <c r="P54" s="689">
        <f>+landbouw!O12</f>
        <v>0</v>
      </c>
      <c r="Q54" s="690">
        <f>+landbouw!P12</f>
        <v>0</v>
      </c>
      <c r="R54" s="718">
        <f ca="1">SUM(C54:Q54)</f>
        <v>2255.6383316638417</v>
      </c>
    </row>
    <row r="55" spans="1:18" ht="15" thickBot="1">
      <c r="A55" s="820" t="s">
        <v>698</v>
      </c>
      <c r="B55" s="830"/>
      <c r="C55" s="689">
        <f ca="1">C25*'EF ele_warmte'!B12</f>
        <v>1308.93636273226</v>
      </c>
      <c r="D55" s="689"/>
      <c r="E55" s="689">
        <f>E25*EF_CO2_aardgas</f>
        <v>3217.4224978960001</v>
      </c>
      <c r="F55" s="689"/>
      <c r="G55" s="689"/>
      <c r="H55" s="689"/>
      <c r="I55" s="689"/>
      <c r="J55" s="689"/>
      <c r="K55" s="689"/>
      <c r="L55" s="689"/>
      <c r="M55" s="689"/>
      <c r="N55" s="689"/>
      <c r="O55" s="689"/>
      <c r="P55" s="689"/>
      <c r="Q55" s="690"/>
      <c r="R55" s="718">
        <f ca="1">SUM(C55:Q55)</f>
        <v>4526.3588606282601</v>
      </c>
    </row>
    <row r="56" spans="1:18" ht="15.75" thickBot="1">
      <c r="A56" s="818" t="s">
        <v>699</v>
      </c>
      <c r="B56" s="831"/>
      <c r="C56" s="719">
        <f ca="1">SUM(C54:C55)</f>
        <v>1650.8638763224753</v>
      </c>
      <c r="D56" s="719">
        <f t="shared" ref="D56:Q56" ca="1" si="7">SUM(D54:D55)</f>
        <v>0</v>
      </c>
      <c r="E56" s="719">
        <f t="shared" si="7"/>
        <v>3469.33095248575</v>
      </c>
      <c r="F56" s="719">
        <f t="shared" si="7"/>
        <v>11.47341752293258</v>
      </c>
      <c r="G56" s="719">
        <f t="shared" si="7"/>
        <v>1491.4873449825379</v>
      </c>
      <c r="H56" s="719">
        <f t="shared" si="7"/>
        <v>0</v>
      </c>
      <c r="I56" s="719">
        <f t="shared" si="7"/>
        <v>0</v>
      </c>
      <c r="J56" s="719">
        <f t="shared" si="7"/>
        <v>0</v>
      </c>
      <c r="K56" s="719">
        <f t="shared" si="7"/>
        <v>158.84160097840601</v>
      </c>
      <c r="L56" s="719">
        <f t="shared" si="7"/>
        <v>0</v>
      </c>
      <c r="M56" s="719">
        <f t="shared" si="7"/>
        <v>0</v>
      </c>
      <c r="N56" s="719">
        <f t="shared" si="7"/>
        <v>0</v>
      </c>
      <c r="O56" s="719">
        <f t="shared" si="7"/>
        <v>0</v>
      </c>
      <c r="P56" s="719">
        <f t="shared" si="7"/>
        <v>0</v>
      </c>
      <c r="Q56" s="720">
        <f t="shared" si="7"/>
        <v>0</v>
      </c>
      <c r="R56" s="721">
        <f ca="1">SUM(R54:R55)</f>
        <v>6781.9971922921013</v>
      </c>
    </row>
    <row r="57" spans="1:18" ht="15.75">
      <c r="A57" s="798" t="s">
        <v>618</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78208.278309539688</v>
      </c>
      <c r="D61" s="727">
        <f t="shared" ref="D61:Q61" ca="1" si="8">D46+D52+D56</f>
        <v>2152.1147899159673</v>
      </c>
      <c r="E61" s="727">
        <f t="shared" ca="1" si="8"/>
        <v>122041.93047879562</v>
      </c>
      <c r="F61" s="727">
        <f t="shared" si="8"/>
        <v>2268.7433827240816</v>
      </c>
      <c r="G61" s="727">
        <f t="shared" ca="1" si="8"/>
        <v>59806.926517089843</v>
      </c>
      <c r="H61" s="727">
        <f t="shared" si="8"/>
        <v>124374.69114348202</v>
      </c>
      <c r="I61" s="727">
        <f t="shared" si="8"/>
        <v>32423.417304454131</v>
      </c>
      <c r="J61" s="727">
        <f t="shared" si="8"/>
        <v>0</v>
      </c>
      <c r="K61" s="727">
        <f t="shared" si="8"/>
        <v>605.94164392292714</v>
      </c>
      <c r="L61" s="727">
        <f t="shared" si="8"/>
        <v>0</v>
      </c>
      <c r="M61" s="727">
        <f t="shared" ca="1" si="8"/>
        <v>0</v>
      </c>
      <c r="N61" s="727">
        <f t="shared" si="8"/>
        <v>0</v>
      </c>
      <c r="O61" s="727">
        <f t="shared" ca="1" si="8"/>
        <v>0</v>
      </c>
      <c r="P61" s="727">
        <f t="shared" si="8"/>
        <v>0</v>
      </c>
      <c r="Q61" s="727">
        <f t="shared" si="8"/>
        <v>0</v>
      </c>
      <c r="R61" s="727">
        <f ca="1">R46+R52+R56</f>
        <v>421882.04356992431</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0.19376073903399008</v>
      </c>
      <c r="D63" s="773">
        <f t="shared" ca="1" si="9"/>
        <v>0.23764705882352954</v>
      </c>
      <c r="E63" s="965">
        <f t="shared" ca="1" si="9"/>
        <v>0.20200000000000001</v>
      </c>
      <c r="F63" s="773">
        <f t="shared" si="9"/>
        <v>0.22700000000000004</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626</v>
      </c>
      <c r="Q69" s="1157" t="s">
        <v>625</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624</v>
      </c>
      <c r="C71" s="932" t="s">
        <v>702</v>
      </c>
      <c r="D71" s="945" t="s">
        <v>198</v>
      </c>
      <c r="E71" s="946" t="s">
        <v>199</v>
      </c>
      <c r="F71" s="927" t="s">
        <v>200</v>
      </c>
      <c r="G71" s="926" t="s">
        <v>202</v>
      </c>
      <c r="H71" s="947" t="s">
        <v>203</v>
      </c>
      <c r="I71" s="928"/>
      <c r="J71" s="928"/>
      <c r="K71" s="928"/>
      <c r="L71" s="928"/>
      <c r="M71" s="739"/>
      <c r="N71" s="928"/>
      <c r="O71" s="933"/>
      <c r="P71" s="955"/>
      <c r="Q71" s="934" t="s">
        <v>627</v>
      </c>
      <c r="R71" s="933" t="s">
        <v>628</v>
      </c>
    </row>
    <row r="72" spans="1:18" ht="15.75" thickTop="1">
      <c r="A72" s="740" t="s">
        <v>244</v>
      </c>
      <c r="B72" s="838">
        <f>'lokale energieproductie'!B4</f>
        <v>17822.59468353456</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31167.0539311092</v>
      </c>
      <c r="C74" s="1150"/>
      <c r="D74" s="1150"/>
      <c r="E74" s="1164"/>
      <c r="F74" s="1164"/>
      <c r="G74" s="1171"/>
      <c r="H74" s="1174"/>
      <c r="I74" s="1150"/>
      <c r="J74" s="931"/>
      <c r="K74" s="1164"/>
      <c r="L74" s="1164"/>
      <c r="M74" s="1164"/>
      <c r="N74" s="1164"/>
      <c r="O74" s="1167"/>
      <c r="P74" s="847">
        <v>0</v>
      </c>
      <c r="Q74" s="853"/>
      <c r="R74" s="847">
        <v>0</v>
      </c>
    </row>
    <row r="75" spans="1:18" ht="15.75" thickBot="1">
      <c r="A75" s="741" t="s">
        <v>701</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6339.15</v>
      </c>
      <c r="D76" s="948">
        <f>'lokale energieproductie'!C8</f>
        <v>7457.8235294117649</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1506.4803529411765</v>
      </c>
      <c r="R76" s="847">
        <v>0</v>
      </c>
    </row>
    <row r="77" spans="1:18" ht="15.75" thickBot="1">
      <c r="A77" s="743" t="s">
        <v>744</v>
      </c>
      <c r="B77" s="740">
        <f>'lokale energieproductie'!B9*IFERROR(SUM(I77:O77)/SUM(D77:O77),0)</f>
        <v>1237.5</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3535.7142857142858</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50227.14861464376</v>
      </c>
      <c r="C78" s="745">
        <f>SUM(C72:C77)</f>
        <v>6339.15</v>
      </c>
      <c r="D78" s="746">
        <f t="shared" ref="D78:H78" si="10">SUM(D76:D77)</f>
        <v>7457.8235294117649</v>
      </c>
      <c r="E78" s="746">
        <f t="shared" si="10"/>
        <v>0</v>
      </c>
      <c r="F78" s="746">
        <f t="shared" si="10"/>
        <v>0</v>
      </c>
      <c r="G78" s="746">
        <f t="shared" si="10"/>
        <v>0</v>
      </c>
      <c r="H78" s="746">
        <f t="shared" si="10"/>
        <v>0</v>
      </c>
      <c r="I78" s="746">
        <f>SUM(I76:I77)</f>
        <v>0</v>
      </c>
      <c r="J78" s="746">
        <f>SUM(J76:J77)</f>
        <v>3535.7142857142858</v>
      </c>
      <c r="K78" s="746">
        <f t="shared" ref="K78:L78" si="11">SUM(K76:K77)</f>
        <v>0</v>
      </c>
      <c r="L78" s="746">
        <f t="shared" si="11"/>
        <v>0</v>
      </c>
      <c r="M78" s="746">
        <f>SUM(M76:M77)</f>
        <v>0</v>
      </c>
      <c r="N78" s="746">
        <f>SUM(N76:N77)</f>
        <v>0</v>
      </c>
      <c r="O78" s="855">
        <f>SUM(O76:O77)</f>
        <v>0</v>
      </c>
      <c r="P78" s="747">
        <v>0</v>
      </c>
      <c r="Q78" s="747">
        <f>SUM(Q76:Q77)</f>
        <v>1506.4803529411765</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626</v>
      </c>
      <c r="Q84" s="1128" t="s">
        <v>625</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624</v>
      </c>
      <c r="C86" s="839" t="s">
        <v>702</v>
      </c>
      <c r="D86" s="754" t="s">
        <v>198</v>
      </c>
      <c r="E86" s="738" t="s">
        <v>199</v>
      </c>
      <c r="F86" s="755" t="s">
        <v>200</v>
      </c>
      <c r="G86" s="738" t="s">
        <v>202</v>
      </c>
      <c r="H86" s="756" t="s">
        <v>203</v>
      </c>
      <c r="I86" s="1137"/>
      <c r="J86" s="1132"/>
      <c r="K86" s="1121"/>
      <c r="L86" s="1121"/>
      <c r="M86" s="1145"/>
      <c r="N86" s="1121"/>
      <c r="O86" s="1135"/>
      <c r="P86" s="955"/>
      <c r="Q86" s="792" t="s">
        <v>627</v>
      </c>
      <c r="R86" s="790" t="s">
        <v>628</v>
      </c>
    </row>
    <row r="87" spans="1:19" ht="15.75" thickTop="1">
      <c r="A87" s="757" t="s">
        <v>247</v>
      </c>
      <c r="B87" s="758">
        <f>'lokale energieproductie'!B17*IFERROR(SUM(I87:O87)/SUM(D87:O87),0)</f>
        <v>0</v>
      </c>
      <c r="C87" s="758">
        <f>'lokale energieproductie'!B17*IFERROR(SUM(D87:H87)/SUM(D87:O87),0)</f>
        <v>9055.9285714285725</v>
      </c>
      <c r="D87" s="769">
        <f>'lokale energieproductie'!C17</f>
        <v>10654.033613445379</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2152.1147899159669</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9055.9285714285725</v>
      </c>
      <c r="D90" s="745">
        <f t="shared" ref="D90:H90" si="12">SUM(D87:D89)</f>
        <v>10654.033613445379</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2152.1147899159669</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534</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127288.71946071553</v>
      </c>
      <c r="C4" s="449">
        <f>huishoudens!C8</f>
        <v>0</v>
      </c>
      <c r="D4" s="449">
        <f>huishoudens!D8</f>
        <v>310696.77471568831</v>
      </c>
      <c r="E4" s="449">
        <f>huishoudens!E8</f>
        <v>7420.1152327178897</v>
      </c>
      <c r="F4" s="449">
        <f>huishoudens!F8</f>
        <v>162549.5355019345</v>
      </c>
      <c r="G4" s="449">
        <f>huishoudens!G8</f>
        <v>0</v>
      </c>
      <c r="H4" s="449">
        <f>huishoudens!H8</f>
        <v>0</v>
      </c>
      <c r="I4" s="449">
        <f>huishoudens!I8</f>
        <v>0</v>
      </c>
      <c r="J4" s="449">
        <f>huishoudens!J8</f>
        <v>926.38758147912404</v>
      </c>
      <c r="K4" s="449">
        <f>huishoudens!K8</f>
        <v>0</v>
      </c>
      <c r="L4" s="449">
        <f>huishoudens!L8</f>
        <v>0</v>
      </c>
      <c r="M4" s="449">
        <f>huishoudens!M8</f>
        <v>0</v>
      </c>
      <c r="N4" s="449">
        <f>huishoudens!N8</f>
        <v>46699.072923027794</v>
      </c>
      <c r="O4" s="449">
        <f>huishoudens!O8</f>
        <v>1656.6051131881716</v>
      </c>
      <c r="P4" s="450">
        <f>huishoudens!P8</f>
        <v>3802.7593100742934</v>
      </c>
      <c r="Q4" s="451">
        <f>SUM(B4:P4)</f>
        <v>661039.96983882564</v>
      </c>
    </row>
    <row r="5" spans="1:17">
      <c r="A5" s="448" t="s">
        <v>155</v>
      </c>
      <c r="B5" s="449">
        <f ca="1">tertiair!B16</f>
        <v>194555.804259</v>
      </c>
      <c r="C5" s="449">
        <f ca="1">tertiair!C16</f>
        <v>8734.5</v>
      </c>
      <c r="D5" s="449">
        <f ca="1">tertiair!D16</f>
        <v>194978.670195474</v>
      </c>
      <c r="E5" s="449">
        <f>tertiair!E16</f>
        <v>702.70752564131465</v>
      </c>
      <c r="F5" s="449">
        <f ca="1">tertiair!F16</f>
        <v>30564.486979219892</v>
      </c>
      <c r="G5" s="449">
        <f>tertiair!G16</f>
        <v>0</v>
      </c>
      <c r="H5" s="449">
        <f>tertiair!H16</f>
        <v>0</v>
      </c>
      <c r="I5" s="449">
        <f>tertiair!I16</f>
        <v>0</v>
      </c>
      <c r="J5" s="449">
        <f>tertiair!J16</f>
        <v>0.17203054466493406</v>
      </c>
      <c r="K5" s="449">
        <f>tertiair!K16</f>
        <v>0</v>
      </c>
      <c r="L5" s="449">
        <f ca="1">tertiair!L16</f>
        <v>0</v>
      </c>
      <c r="M5" s="449">
        <f>tertiair!M16</f>
        <v>0</v>
      </c>
      <c r="N5" s="449">
        <f ca="1">tertiair!N16</f>
        <v>3245.4487076445316</v>
      </c>
      <c r="O5" s="449">
        <f>tertiair!O16</f>
        <v>39.178086126729234</v>
      </c>
      <c r="P5" s="450">
        <f>tertiair!P16</f>
        <v>1208.4001810493855</v>
      </c>
      <c r="Q5" s="448">
        <f t="shared" ref="Q5:Q14" ca="1" si="0">SUM(B5:P5)</f>
        <v>434029.3679647005</v>
      </c>
    </row>
    <row r="6" spans="1:17">
      <c r="A6" s="448" t="s">
        <v>193</v>
      </c>
      <c r="B6" s="449">
        <f>'openbare verlichting'!B8</f>
        <v>5312.3416589999997</v>
      </c>
      <c r="C6" s="449"/>
      <c r="D6" s="449"/>
      <c r="E6" s="449"/>
      <c r="F6" s="449"/>
      <c r="G6" s="449"/>
      <c r="H6" s="449"/>
      <c r="I6" s="449"/>
      <c r="J6" s="449"/>
      <c r="K6" s="449"/>
      <c r="L6" s="449"/>
      <c r="M6" s="449"/>
      <c r="N6" s="449"/>
      <c r="O6" s="449"/>
      <c r="P6" s="450"/>
      <c r="Q6" s="448">
        <f t="shared" si="0"/>
        <v>5312.3416589999997</v>
      </c>
    </row>
    <row r="7" spans="1:17">
      <c r="A7" s="448" t="s">
        <v>111</v>
      </c>
      <c r="B7" s="449">
        <f>landbouw!B8</f>
        <v>1764.689355</v>
      </c>
      <c r="C7" s="449">
        <f>landbouw!C8</f>
        <v>0</v>
      </c>
      <c r="D7" s="449">
        <f>landbouw!D8</f>
        <v>1247.0715573750001</v>
      </c>
      <c r="E7" s="449">
        <f>landbouw!E8</f>
        <v>50.543689528337353</v>
      </c>
      <c r="F7" s="449">
        <f>landbouw!F8</f>
        <v>5586.094925028232</v>
      </c>
      <c r="G7" s="449">
        <f>landbouw!G8</f>
        <v>0</v>
      </c>
      <c r="H7" s="449">
        <f>landbouw!H8</f>
        <v>0</v>
      </c>
      <c r="I7" s="449">
        <f>landbouw!I8</f>
        <v>0</v>
      </c>
      <c r="J7" s="449">
        <f>landbouw!J8</f>
        <v>448.70508750962153</v>
      </c>
      <c r="K7" s="449">
        <f>landbouw!K8</f>
        <v>0</v>
      </c>
      <c r="L7" s="449">
        <f>landbouw!L8</f>
        <v>0</v>
      </c>
      <c r="M7" s="449">
        <f>landbouw!M8</f>
        <v>0</v>
      </c>
      <c r="N7" s="449">
        <f>landbouw!N8</f>
        <v>0</v>
      </c>
      <c r="O7" s="449">
        <f>landbouw!O8</f>
        <v>0</v>
      </c>
      <c r="P7" s="450">
        <f>landbouw!P8</f>
        <v>0</v>
      </c>
      <c r="Q7" s="448">
        <f t="shared" si="0"/>
        <v>9097.1046144411903</v>
      </c>
    </row>
    <row r="8" spans="1:17">
      <c r="A8" s="448" t="s">
        <v>619</v>
      </c>
      <c r="B8" s="449">
        <f>industrie!B18</f>
        <v>66147.609888000006</v>
      </c>
      <c r="C8" s="449">
        <f>industrie!C18</f>
        <v>321.42857142857144</v>
      </c>
      <c r="D8" s="449">
        <f>industrie!D18</f>
        <v>78695.316868602851</v>
      </c>
      <c r="E8" s="449">
        <f>industrie!E18</f>
        <v>724.47631474519221</v>
      </c>
      <c r="F8" s="449">
        <f>industrie!F18</f>
        <v>25295.862058573326</v>
      </c>
      <c r="G8" s="449">
        <f>industrie!G18</f>
        <v>0</v>
      </c>
      <c r="H8" s="449">
        <f>industrie!H18</f>
        <v>0</v>
      </c>
      <c r="I8" s="449">
        <f>industrie!I18</f>
        <v>0</v>
      </c>
      <c r="J8" s="449">
        <f>industrie!J18</f>
        <v>336.43485957090348</v>
      </c>
      <c r="K8" s="449">
        <f>industrie!K18</f>
        <v>0</v>
      </c>
      <c r="L8" s="449">
        <f>industrie!L18</f>
        <v>0</v>
      </c>
      <c r="M8" s="449">
        <f>industrie!M18</f>
        <v>0</v>
      </c>
      <c r="N8" s="449">
        <f>industrie!N18</f>
        <v>7134.4421459158475</v>
      </c>
      <c r="O8" s="449">
        <f>industrie!O18</f>
        <v>0</v>
      </c>
      <c r="P8" s="450">
        <f>industrie!P18</f>
        <v>0</v>
      </c>
      <c r="Q8" s="448">
        <f t="shared" si="0"/>
        <v>178655.57070683668</v>
      </c>
    </row>
    <row r="9" spans="1:17" s="454" customFormat="1">
      <c r="A9" s="452" t="s">
        <v>545</v>
      </c>
      <c r="B9" s="453">
        <f>transport!B14</f>
        <v>1561.1635917983203</v>
      </c>
      <c r="C9" s="453">
        <f>transport!C14</f>
        <v>0</v>
      </c>
      <c r="D9" s="453">
        <f>transport!D14</f>
        <v>2622.305182164881</v>
      </c>
      <c r="E9" s="453">
        <f>transport!E14</f>
        <v>1096.6214784425144</v>
      </c>
      <c r="F9" s="453">
        <f>transport!F14</f>
        <v>0</v>
      </c>
      <c r="G9" s="453">
        <f>transport!G14</f>
        <v>450328.35632303602</v>
      </c>
      <c r="H9" s="453">
        <f>transport!H14</f>
        <v>130214.52732712502</v>
      </c>
      <c r="I9" s="453">
        <f>transport!I14</f>
        <v>0</v>
      </c>
      <c r="J9" s="453">
        <f>transport!J14</f>
        <v>0</v>
      </c>
      <c r="K9" s="453">
        <f>transport!K14</f>
        <v>0</v>
      </c>
      <c r="L9" s="453">
        <f>transport!L14</f>
        <v>0</v>
      </c>
      <c r="M9" s="453">
        <f>transport!M14</f>
        <v>35088.171833418899</v>
      </c>
      <c r="N9" s="453">
        <f>transport!N14</f>
        <v>0</v>
      </c>
      <c r="O9" s="453">
        <f>transport!O14</f>
        <v>0</v>
      </c>
      <c r="P9" s="453">
        <f>transport!P14</f>
        <v>0</v>
      </c>
      <c r="Q9" s="452">
        <f>SUM(B9:P9)</f>
        <v>620911.14573598572</v>
      </c>
    </row>
    <row r="10" spans="1:17">
      <c r="A10" s="448" t="s">
        <v>535</v>
      </c>
      <c r="B10" s="449">
        <f>transport!B54</f>
        <v>247.5033337611699</v>
      </c>
      <c r="C10" s="449">
        <f>transport!C54</f>
        <v>0</v>
      </c>
      <c r="D10" s="449">
        <f>transport!D54</f>
        <v>0</v>
      </c>
      <c r="E10" s="449">
        <f>transport!E54</f>
        <v>0</v>
      </c>
      <c r="F10" s="449">
        <f>transport!F54</f>
        <v>0</v>
      </c>
      <c r="G10" s="449">
        <f>transport!G54</f>
        <v>15494.456948432226</v>
      </c>
      <c r="H10" s="449">
        <f>transport!H54</f>
        <v>0</v>
      </c>
      <c r="I10" s="449">
        <f>transport!I54</f>
        <v>0</v>
      </c>
      <c r="J10" s="449">
        <f>transport!J54</f>
        <v>0</v>
      </c>
      <c r="K10" s="449">
        <f>transport!K54</f>
        <v>0</v>
      </c>
      <c r="L10" s="449">
        <f>transport!L54</f>
        <v>0</v>
      </c>
      <c r="M10" s="449">
        <f>transport!M54</f>
        <v>889.65740964351244</v>
      </c>
      <c r="N10" s="449">
        <f>transport!N54</f>
        <v>0</v>
      </c>
      <c r="O10" s="449">
        <f>transport!O54</f>
        <v>0</v>
      </c>
      <c r="P10" s="450">
        <f>transport!P54</f>
        <v>0</v>
      </c>
      <c r="Q10" s="448">
        <f t="shared" si="0"/>
        <v>16631.617691836909</v>
      </c>
    </row>
    <row r="11" spans="1:17">
      <c r="A11" s="448" t="s">
        <v>536</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537</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538</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736</v>
      </c>
      <c r="B14" s="456">
        <f>'SEAP template'!C25</f>
        <v>6755.4261470000001</v>
      </c>
      <c r="C14" s="456"/>
      <c r="D14" s="456">
        <f>'SEAP template'!E25</f>
        <v>15927.834148</v>
      </c>
      <c r="E14" s="456"/>
      <c r="F14" s="456"/>
      <c r="G14" s="456"/>
      <c r="H14" s="456"/>
      <c r="I14" s="456"/>
      <c r="J14" s="456"/>
      <c r="K14" s="456"/>
      <c r="L14" s="456"/>
      <c r="M14" s="456"/>
      <c r="N14" s="456"/>
      <c r="O14" s="456"/>
      <c r="P14" s="457"/>
      <c r="Q14" s="448">
        <f t="shared" si="0"/>
        <v>22683.260295</v>
      </c>
    </row>
    <row r="15" spans="1:17" s="460" customFormat="1">
      <c r="A15" s="458" t="s">
        <v>539</v>
      </c>
      <c r="B15" s="459">
        <f ca="1">SUM(B4:B14)</f>
        <v>403633.25769427506</v>
      </c>
      <c r="C15" s="459">
        <f t="shared" ref="C15:Q15" ca="1" si="1">SUM(C4:C14)</f>
        <v>9055.9285714285706</v>
      </c>
      <c r="D15" s="459">
        <f t="shared" ca="1" si="1"/>
        <v>604167.97266730503</v>
      </c>
      <c r="E15" s="459">
        <f t="shared" si="1"/>
        <v>9994.4642410752476</v>
      </c>
      <c r="F15" s="459">
        <f t="shared" ca="1" si="1"/>
        <v>223995.97946475595</v>
      </c>
      <c r="G15" s="459">
        <f t="shared" si="1"/>
        <v>465822.81327146821</v>
      </c>
      <c r="H15" s="459">
        <f t="shared" si="1"/>
        <v>130214.52732712502</v>
      </c>
      <c r="I15" s="459">
        <f t="shared" si="1"/>
        <v>0</v>
      </c>
      <c r="J15" s="459">
        <f t="shared" si="1"/>
        <v>1711.6995591043139</v>
      </c>
      <c r="K15" s="459">
        <f t="shared" si="1"/>
        <v>0</v>
      </c>
      <c r="L15" s="459">
        <f t="shared" ca="1" si="1"/>
        <v>0</v>
      </c>
      <c r="M15" s="459">
        <f t="shared" si="1"/>
        <v>35977.829243062413</v>
      </c>
      <c r="N15" s="459">
        <f t="shared" ca="1" si="1"/>
        <v>57078.963776588171</v>
      </c>
      <c r="O15" s="459">
        <f t="shared" si="1"/>
        <v>1695.7831993149009</v>
      </c>
      <c r="P15" s="459">
        <f t="shared" si="1"/>
        <v>5011.1594911236789</v>
      </c>
      <c r="Q15" s="459">
        <f t="shared" ca="1" si="1"/>
        <v>1948360.3785066267</v>
      </c>
    </row>
    <row r="17" spans="1:17">
      <c r="A17" s="461" t="s">
        <v>540</v>
      </c>
      <c r="B17" s="778">
        <f ca="1">huishoudens!B10</f>
        <v>0.19376073903399008</v>
      </c>
      <c r="C17" s="778">
        <f ca="1">huishoudens!C10</f>
        <v>0.23764705882352949</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542</v>
      </c>
      <c r="B19" s="1177" t="s">
        <v>541</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24663.556353398475</v>
      </c>
      <c r="C22" s="449">
        <f t="shared" ref="C22:C32" ca="1" si="3">C4*$C$17</f>
        <v>0</v>
      </c>
      <c r="D22" s="449">
        <f t="shared" ref="D22:D32" si="4">D4*$D$17</f>
        <v>62760.748492569044</v>
      </c>
      <c r="E22" s="449">
        <f t="shared" ref="E22:E32" si="5">E4*$E$17</f>
        <v>1684.3661578269609</v>
      </c>
      <c r="F22" s="449">
        <f t="shared" ref="F22:F32" si="6">F4*$F$17</f>
        <v>43400.725979016512</v>
      </c>
      <c r="G22" s="449">
        <f t="shared" ref="G22:G32" si="7">G4*$G$17</f>
        <v>0</v>
      </c>
      <c r="H22" s="449">
        <f t="shared" ref="H22:H32" si="8">H4*$H$17</f>
        <v>0</v>
      </c>
      <c r="I22" s="449">
        <f t="shared" ref="I22:I32" si="9">I4*$I$17</f>
        <v>0</v>
      </c>
      <c r="J22" s="449">
        <f t="shared" ref="J22:J32" si="10">J4*$J$17</f>
        <v>327.94120384360991</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132837.33818665458</v>
      </c>
    </row>
    <row r="23" spans="1:17">
      <c r="A23" s="448" t="s">
        <v>155</v>
      </c>
      <c r="B23" s="449">
        <f t="shared" ca="1" si="2"/>
        <v>37697.276416576155</v>
      </c>
      <c r="C23" s="449">
        <f t="shared" ca="1" si="3"/>
        <v>2075.7282352941183</v>
      </c>
      <c r="D23" s="449">
        <f t="shared" ca="1" si="4"/>
        <v>39385.691379485754</v>
      </c>
      <c r="E23" s="449">
        <f t="shared" si="5"/>
        <v>159.51460832057842</v>
      </c>
      <c r="F23" s="449">
        <f t="shared" ca="1" si="6"/>
        <v>8160.7180234517118</v>
      </c>
      <c r="G23" s="449">
        <f t="shared" si="7"/>
        <v>0</v>
      </c>
      <c r="H23" s="449">
        <f t="shared" si="8"/>
        <v>0</v>
      </c>
      <c r="I23" s="449">
        <f t="shared" si="9"/>
        <v>0</v>
      </c>
      <c r="J23" s="449">
        <f t="shared" si="10"/>
        <v>6.0898812811386656E-2</v>
      </c>
      <c r="K23" s="449">
        <f t="shared" si="11"/>
        <v>0</v>
      </c>
      <c r="L23" s="449">
        <f t="shared" ca="1" si="12"/>
        <v>0</v>
      </c>
      <c r="M23" s="449">
        <f t="shared" si="13"/>
        <v>0</v>
      </c>
      <c r="N23" s="449">
        <f t="shared" ca="1" si="14"/>
        <v>0</v>
      </c>
      <c r="O23" s="449">
        <f t="shared" si="15"/>
        <v>0</v>
      </c>
      <c r="P23" s="450">
        <f t="shared" si="16"/>
        <v>0</v>
      </c>
      <c r="Q23" s="448">
        <f t="shared" ref="Q23:Q31" ca="1" si="17">SUM(B23:P23)</f>
        <v>87478.989561941125</v>
      </c>
    </row>
    <row r="24" spans="1:17">
      <c r="A24" s="448" t="s">
        <v>193</v>
      </c>
      <c r="B24" s="449">
        <f t="shared" ca="1" si="2"/>
        <v>1029.3232458488928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1029.3232458488928</v>
      </c>
    </row>
    <row r="25" spans="1:17">
      <c r="A25" s="448" t="s">
        <v>111</v>
      </c>
      <c r="B25" s="449">
        <f t="shared" ca="1" si="2"/>
        <v>341.92751359021526</v>
      </c>
      <c r="C25" s="449">
        <f t="shared" ca="1" si="3"/>
        <v>0</v>
      </c>
      <c r="D25" s="449">
        <f t="shared" si="4"/>
        <v>251.90845458975005</v>
      </c>
      <c r="E25" s="449">
        <f t="shared" si="5"/>
        <v>11.47341752293258</v>
      </c>
      <c r="F25" s="449">
        <f t="shared" si="6"/>
        <v>1491.4873449825379</v>
      </c>
      <c r="G25" s="449">
        <f t="shared" si="7"/>
        <v>0</v>
      </c>
      <c r="H25" s="449">
        <f t="shared" si="8"/>
        <v>0</v>
      </c>
      <c r="I25" s="449">
        <f t="shared" si="9"/>
        <v>0</v>
      </c>
      <c r="J25" s="449">
        <f t="shared" si="10"/>
        <v>158.84160097840601</v>
      </c>
      <c r="K25" s="449">
        <f t="shared" si="11"/>
        <v>0</v>
      </c>
      <c r="L25" s="449">
        <f t="shared" si="12"/>
        <v>0</v>
      </c>
      <c r="M25" s="449">
        <f t="shared" si="13"/>
        <v>0</v>
      </c>
      <c r="N25" s="449">
        <f t="shared" si="14"/>
        <v>0</v>
      </c>
      <c r="O25" s="449">
        <f t="shared" si="15"/>
        <v>0</v>
      </c>
      <c r="P25" s="450">
        <f t="shared" si="16"/>
        <v>0</v>
      </c>
      <c r="Q25" s="448">
        <f t="shared" ca="1" si="17"/>
        <v>2255.6383316638417</v>
      </c>
    </row>
    <row r="26" spans="1:17">
      <c r="A26" s="448" t="s">
        <v>619</v>
      </c>
      <c r="B26" s="449">
        <f t="shared" ca="1" si="2"/>
        <v>12816.80977723095</v>
      </c>
      <c r="C26" s="449">
        <f t="shared" ca="1" si="3"/>
        <v>76.386554621848774</v>
      </c>
      <c r="D26" s="449">
        <f t="shared" si="4"/>
        <v>15896.454007457776</v>
      </c>
      <c r="E26" s="449">
        <f t="shared" si="5"/>
        <v>164.45612344715863</v>
      </c>
      <c r="F26" s="449">
        <f t="shared" si="6"/>
        <v>6753.9951696390781</v>
      </c>
      <c r="G26" s="449">
        <f t="shared" si="7"/>
        <v>0</v>
      </c>
      <c r="H26" s="449">
        <f t="shared" si="8"/>
        <v>0</v>
      </c>
      <c r="I26" s="449">
        <f t="shared" si="9"/>
        <v>0</v>
      </c>
      <c r="J26" s="449">
        <f t="shared" si="10"/>
        <v>119.09794028809982</v>
      </c>
      <c r="K26" s="449">
        <f t="shared" si="11"/>
        <v>0</v>
      </c>
      <c r="L26" s="449">
        <f t="shared" si="12"/>
        <v>0</v>
      </c>
      <c r="M26" s="449">
        <f t="shared" si="13"/>
        <v>0</v>
      </c>
      <c r="N26" s="449">
        <f t="shared" si="14"/>
        <v>0</v>
      </c>
      <c r="O26" s="449">
        <f t="shared" si="15"/>
        <v>0</v>
      </c>
      <c r="P26" s="450">
        <f t="shared" si="16"/>
        <v>0</v>
      </c>
      <c r="Q26" s="448">
        <f t="shared" ca="1" si="17"/>
        <v>35827.199572684905</v>
      </c>
    </row>
    <row r="27" spans="1:17" s="454" customFormat="1">
      <c r="A27" s="452" t="s">
        <v>545</v>
      </c>
      <c r="B27" s="772">
        <f t="shared" ca="1" si="2"/>
        <v>302.49221129980094</v>
      </c>
      <c r="C27" s="453">
        <f t="shared" ca="1" si="3"/>
        <v>0</v>
      </c>
      <c r="D27" s="453">
        <f t="shared" si="4"/>
        <v>529.70564679730603</v>
      </c>
      <c r="E27" s="453">
        <f t="shared" si="5"/>
        <v>248.93307560645079</v>
      </c>
      <c r="F27" s="453">
        <f t="shared" si="6"/>
        <v>0</v>
      </c>
      <c r="G27" s="453">
        <f t="shared" si="7"/>
        <v>120237.67113825062</v>
      </c>
      <c r="H27" s="453">
        <f t="shared" si="8"/>
        <v>32423.417304454131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153742.21937640832</v>
      </c>
    </row>
    <row r="28" spans="1:17" ht="16.5" customHeight="1">
      <c r="A28" s="448" t="s">
        <v>535</v>
      </c>
      <c r="B28" s="449">
        <f t="shared" ca="1" si="2"/>
        <v>47.956428862940584</v>
      </c>
      <c r="C28" s="449">
        <f t="shared" ca="1" si="3"/>
        <v>0</v>
      </c>
      <c r="D28" s="449">
        <f t="shared" si="4"/>
        <v>0</v>
      </c>
      <c r="E28" s="449">
        <f t="shared" si="5"/>
        <v>0</v>
      </c>
      <c r="F28" s="449">
        <f t="shared" si="6"/>
        <v>0</v>
      </c>
      <c r="G28" s="449">
        <f t="shared" si="7"/>
        <v>4137.0200052314049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4184.9764340943457</v>
      </c>
    </row>
    <row r="29" spans="1:17">
      <c r="A29" s="448" t="s">
        <v>536</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537</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538</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736</v>
      </c>
      <c r="B32" s="449">
        <f t="shared" ca="1" si="2"/>
        <v>1308.93636273226</v>
      </c>
      <c r="C32" s="449">
        <f t="shared" ca="1" si="3"/>
        <v>0</v>
      </c>
      <c r="D32" s="449">
        <f t="shared" si="4"/>
        <v>3217.4224978960001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4526.3588606282601</v>
      </c>
    </row>
    <row r="33" spans="1:17" s="460" customFormat="1">
      <c r="A33" s="458" t="s">
        <v>539</v>
      </c>
      <c r="B33" s="459">
        <f ca="1">SUM(B22:B32)</f>
        <v>78208.278309539688</v>
      </c>
      <c r="C33" s="459">
        <f t="shared" ref="C33:Q33" ca="1" si="19">SUM(C22:C32)</f>
        <v>2152.1147899159673</v>
      </c>
      <c r="D33" s="459">
        <f t="shared" ca="1" si="19"/>
        <v>122041.93047879562</v>
      </c>
      <c r="E33" s="459">
        <f t="shared" si="19"/>
        <v>2268.7433827240816</v>
      </c>
      <c r="F33" s="459">
        <f t="shared" ca="1" si="19"/>
        <v>59806.926517089843</v>
      </c>
      <c r="G33" s="459">
        <f t="shared" si="19"/>
        <v>124374.69114348202</v>
      </c>
      <c r="H33" s="459">
        <f t="shared" si="19"/>
        <v>32423.417304454131</v>
      </c>
      <c r="I33" s="459">
        <f t="shared" si="19"/>
        <v>0</v>
      </c>
      <c r="J33" s="459">
        <f t="shared" si="19"/>
        <v>605.94164392292714</v>
      </c>
      <c r="K33" s="459">
        <f t="shared" si="19"/>
        <v>0</v>
      </c>
      <c r="L33" s="459">
        <f t="shared" ca="1" si="19"/>
        <v>0</v>
      </c>
      <c r="M33" s="459">
        <f t="shared" si="19"/>
        <v>0</v>
      </c>
      <c r="N33" s="459">
        <f t="shared" ca="1" si="19"/>
        <v>0</v>
      </c>
      <c r="O33" s="459">
        <f t="shared" si="19"/>
        <v>0</v>
      </c>
      <c r="P33" s="459">
        <f t="shared" si="19"/>
        <v>0</v>
      </c>
      <c r="Q33" s="459">
        <f t="shared" ca="1" si="19"/>
        <v>421882.04356992437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534</v>
      </c>
      <c r="B1" s="1186" t="s">
        <v>705</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706</v>
      </c>
      <c r="C4" s="971" t="s">
        <v>707</v>
      </c>
      <c r="D4" s="972" t="s">
        <v>708</v>
      </c>
      <c r="E4" s="973" t="s">
        <v>709</v>
      </c>
      <c r="F4" s="973" t="s">
        <v>710</v>
      </c>
      <c r="G4" s="974" t="s">
        <v>711</v>
      </c>
      <c r="H4" s="974" t="s">
        <v>711</v>
      </c>
      <c r="I4" s="974" t="s">
        <v>711</v>
      </c>
      <c r="J4" s="973" t="s">
        <v>712</v>
      </c>
      <c r="K4" s="974" t="s">
        <v>711</v>
      </c>
      <c r="L4" s="974" t="s">
        <v>711</v>
      </c>
      <c r="M4" s="974" t="s">
        <v>711</v>
      </c>
      <c r="N4" s="973" t="s">
        <v>713</v>
      </c>
      <c r="O4" s="975" t="s">
        <v>714</v>
      </c>
      <c r="P4" s="976" t="s">
        <v>715</v>
      </c>
      <c r="Q4" s="977"/>
    </row>
    <row r="5" spans="1:17" ht="150">
      <c r="A5" s="978" t="s">
        <v>155</v>
      </c>
      <c r="B5" s="979" t="s">
        <v>716</v>
      </c>
      <c r="C5" s="980" t="s">
        <v>717</v>
      </c>
      <c r="D5" s="980" t="s">
        <v>718</v>
      </c>
      <c r="E5" s="981" t="s">
        <v>719</v>
      </c>
      <c r="F5" s="981" t="s">
        <v>720</v>
      </c>
      <c r="G5" s="982" t="s">
        <v>711</v>
      </c>
      <c r="H5" s="982" t="s">
        <v>711</v>
      </c>
      <c r="I5" s="982" t="s">
        <v>711</v>
      </c>
      <c r="J5" s="981" t="s">
        <v>721</v>
      </c>
      <c r="K5" s="979" t="s">
        <v>722</v>
      </c>
      <c r="L5" s="982" t="s">
        <v>711</v>
      </c>
      <c r="M5" s="982" t="s">
        <v>711</v>
      </c>
      <c r="N5" s="981" t="s">
        <v>723</v>
      </c>
      <c r="O5" s="983" t="s">
        <v>714</v>
      </c>
      <c r="P5" s="984" t="s">
        <v>715</v>
      </c>
      <c r="Q5" s="985"/>
    </row>
    <row r="6" spans="1:17" ht="30">
      <c r="A6" s="978" t="s">
        <v>193</v>
      </c>
      <c r="B6" s="986" t="s">
        <v>724</v>
      </c>
      <c r="C6" s="987" t="s">
        <v>725</v>
      </c>
      <c r="D6" s="982" t="s">
        <v>725</v>
      </c>
      <c r="E6" s="982" t="s">
        <v>725</v>
      </c>
      <c r="F6" s="982" t="s">
        <v>725</v>
      </c>
      <c r="G6" s="982" t="s">
        <v>725</v>
      </c>
      <c r="H6" s="982" t="s">
        <v>725</v>
      </c>
      <c r="I6" s="982" t="s">
        <v>725</v>
      </c>
      <c r="J6" s="982" t="s">
        <v>725</v>
      </c>
      <c r="K6" s="982" t="s">
        <v>725</v>
      </c>
      <c r="L6" s="982" t="s">
        <v>725</v>
      </c>
      <c r="M6" s="982" t="s">
        <v>725</v>
      </c>
      <c r="N6" s="982" t="s">
        <v>725</v>
      </c>
      <c r="O6" s="988" t="s">
        <v>725</v>
      </c>
      <c r="P6" s="989" t="s">
        <v>725</v>
      </c>
      <c r="Q6" s="990"/>
    </row>
    <row r="7" spans="1:17" ht="150">
      <c r="A7" s="978" t="s">
        <v>111</v>
      </c>
      <c r="B7" s="986" t="s">
        <v>724</v>
      </c>
      <c r="C7" s="980" t="s">
        <v>717</v>
      </c>
      <c r="D7" s="980" t="s">
        <v>718</v>
      </c>
      <c r="E7" s="981" t="s">
        <v>719</v>
      </c>
      <c r="F7" s="981" t="s">
        <v>720</v>
      </c>
      <c r="G7" s="982" t="s">
        <v>711</v>
      </c>
      <c r="H7" s="982" t="s">
        <v>711</v>
      </c>
      <c r="I7" s="982" t="s">
        <v>711</v>
      </c>
      <c r="J7" s="981" t="s">
        <v>721</v>
      </c>
      <c r="K7" s="982" t="s">
        <v>711</v>
      </c>
      <c r="L7" s="982" t="s">
        <v>711</v>
      </c>
      <c r="M7" s="982" t="s">
        <v>711</v>
      </c>
      <c r="N7" s="991" t="s">
        <v>711</v>
      </c>
      <c r="O7" s="987" t="s">
        <v>711</v>
      </c>
      <c r="P7" s="992" t="s">
        <v>711</v>
      </c>
      <c r="Q7" s="985"/>
    </row>
    <row r="8" spans="1:17" ht="270">
      <c r="A8" s="978" t="s">
        <v>619</v>
      </c>
      <c r="B8" s="979" t="s">
        <v>726</v>
      </c>
      <c r="C8" s="980" t="s">
        <v>717</v>
      </c>
      <c r="D8" s="980" t="s">
        <v>718</v>
      </c>
      <c r="E8" s="981" t="s">
        <v>719</v>
      </c>
      <c r="F8" s="981" t="s">
        <v>720</v>
      </c>
      <c r="G8" s="982" t="s">
        <v>711</v>
      </c>
      <c r="H8" s="982" t="s">
        <v>711</v>
      </c>
      <c r="I8" s="982" t="s">
        <v>711</v>
      </c>
      <c r="J8" s="981" t="s">
        <v>721</v>
      </c>
      <c r="K8" s="979" t="s">
        <v>722</v>
      </c>
      <c r="L8" s="982" t="s">
        <v>711</v>
      </c>
      <c r="M8" s="982" t="s">
        <v>711</v>
      </c>
      <c r="N8" s="981" t="s">
        <v>723</v>
      </c>
      <c r="O8" s="983" t="s">
        <v>714</v>
      </c>
      <c r="P8" s="984" t="s">
        <v>715</v>
      </c>
      <c r="Q8" s="985"/>
    </row>
    <row r="9" spans="1:17" s="454" customFormat="1" ht="390">
      <c r="A9" s="993" t="s">
        <v>545</v>
      </c>
      <c r="B9" s="981" t="s">
        <v>727</v>
      </c>
      <c r="C9" s="988" t="s">
        <v>725</v>
      </c>
      <c r="D9" s="981" t="s">
        <v>728</v>
      </c>
      <c r="E9" s="981" t="s">
        <v>729</v>
      </c>
      <c r="F9" s="982" t="s">
        <v>725</v>
      </c>
      <c r="G9" s="981" t="s">
        <v>730</v>
      </c>
      <c r="H9" s="981" t="s">
        <v>731</v>
      </c>
      <c r="I9" s="982" t="s">
        <v>725</v>
      </c>
      <c r="J9" s="982" t="s">
        <v>725</v>
      </c>
      <c r="K9" s="982" t="s">
        <v>725</v>
      </c>
      <c r="L9" s="982" t="s">
        <v>725</v>
      </c>
      <c r="M9" s="981" t="s">
        <v>727</v>
      </c>
      <c r="N9" s="982" t="s">
        <v>725</v>
      </c>
      <c r="O9" s="982" t="s">
        <v>725</v>
      </c>
      <c r="P9" s="994" t="s">
        <v>725</v>
      </c>
      <c r="Q9" s="995"/>
    </row>
    <row r="10" spans="1:17" ht="360">
      <c r="A10" s="978" t="s">
        <v>535</v>
      </c>
      <c r="B10" s="979" t="s">
        <v>732</v>
      </c>
      <c r="C10" s="988" t="s">
        <v>725</v>
      </c>
      <c r="D10" s="988" t="s">
        <v>725</v>
      </c>
      <c r="E10" s="988" t="s">
        <v>725</v>
      </c>
      <c r="F10" s="982" t="s">
        <v>725</v>
      </c>
      <c r="G10" s="979" t="s">
        <v>733</v>
      </c>
      <c r="H10" s="982" t="s">
        <v>725</v>
      </c>
      <c r="I10" s="982" t="s">
        <v>725</v>
      </c>
      <c r="J10" s="982" t="s">
        <v>725</v>
      </c>
      <c r="K10" s="982" t="s">
        <v>725</v>
      </c>
      <c r="L10" s="982" t="s">
        <v>725</v>
      </c>
      <c r="M10" s="979" t="s">
        <v>734</v>
      </c>
      <c r="N10" s="982" t="s">
        <v>725</v>
      </c>
      <c r="O10" s="982" t="s">
        <v>725</v>
      </c>
      <c r="P10" s="994" t="s">
        <v>725</v>
      </c>
      <c r="Q10" s="985"/>
    </row>
    <row r="11" spans="1:17" ht="21">
      <c r="A11" s="978" t="s">
        <v>536</v>
      </c>
      <c r="B11" s="996" t="s">
        <v>735</v>
      </c>
      <c r="C11" s="996" t="s">
        <v>735</v>
      </c>
      <c r="D11" s="996" t="s">
        <v>735</v>
      </c>
      <c r="E11" s="996" t="s">
        <v>735</v>
      </c>
      <c r="F11" s="996" t="s">
        <v>735</v>
      </c>
      <c r="G11" s="996" t="s">
        <v>735</v>
      </c>
      <c r="H11" s="996" t="s">
        <v>735</v>
      </c>
      <c r="I11" s="996" t="s">
        <v>735</v>
      </c>
      <c r="J11" s="996" t="s">
        <v>735</v>
      </c>
      <c r="K11" s="996" t="s">
        <v>735</v>
      </c>
      <c r="L11" s="996" t="s">
        <v>735</v>
      </c>
      <c r="M11" s="996" t="s">
        <v>735</v>
      </c>
      <c r="N11" s="996" t="s">
        <v>735</v>
      </c>
      <c r="O11" s="996" t="s">
        <v>735</v>
      </c>
      <c r="P11" s="997" t="s">
        <v>735</v>
      </c>
      <c r="Q11" s="998"/>
    </row>
    <row r="12" spans="1:17" ht="21">
      <c r="A12" s="978" t="s">
        <v>537</v>
      </c>
      <c r="B12" s="996" t="s">
        <v>735</v>
      </c>
      <c r="C12" s="996" t="s">
        <v>725</v>
      </c>
      <c r="D12" s="996" t="s">
        <v>725</v>
      </c>
      <c r="E12" s="996" t="s">
        <v>725</v>
      </c>
      <c r="F12" s="996" t="s">
        <v>725</v>
      </c>
      <c r="G12" s="996" t="s">
        <v>725</v>
      </c>
      <c r="H12" s="996" t="s">
        <v>725</v>
      </c>
      <c r="I12" s="996" t="s">
        <v>725</v>
      </c>
      <c r="J12" s="996" t="s">
        <v>725</v>
      </c>
      <c r="K12" s="996" t="s">
        <v>725</v>
      </c>
      <c r="L12" s="996" t="s">
        <v>725</v>
      </c>
      <c r="M12" s="996" t="s">
        <v>725</v>
      </c>
      <c r="N12" s="996" t="s">
        <v>725</v>
      </c>
      <c r="O12" s="996" t="s">
        <v>725</v>
      </c>
      <c r="P12" s="999" t="s">
        <v>725</v>
      </c>
      <c r="Q12" s="450"/>
    </row>
    <row r="13" spans="1:17" ht="21">
      <c r="A13" s="978" t="s">
        <v>538</v>
      </c>
      <c r="B13" s="996" t="s">
        <v>735</v>
      </c>
      <c r="C13" s="996" t="s">
        <v>725</v>
      </c>
      <c r="D13" s="996" t="s">
        <v>735</v>
      </c>
      <c r="E13" s="996" t="s">
        <v>735</v>
      </c>
      <c r="F13" s="996" t="s">
        <v>725</v>
      </c>
      <c r="G13" s="996" t="s">
        <v>735</v>
      </c>
      <c r="H13" s="996" t="s">
        <v>735</v>
      </c>
      <c r="I13" s="996" t="s">
        <v>725</v>
      </c>
      <c r="J13" s="996" t="s">
        <v>725</v>
      </c>
      <c r="K13" s="996" t="s">
        <v>725</v>
      </c>
      <c r="L13" s="996" t="s">
        <v>725</v>
      </c>
      <c r="M13" s="996" t="s">
        <v>735</v>
      </c>
      <c r="N13" s="996" t="s">
        <v>725</v>
      </c>
      <c r="O13" s="996" t="s">
        <v>725</v>
      </c>
      <c r="P13" s="999" t="s">
        <v>725</v>
      </c>
      <c r="Q13" s="450"/>
    </row>
    <row r="14" spans="1:17" ht="30">
      <c r="A14" s="1000" t="s">
        <v>736</v>
      </c>
      <c r="B14" s="986" t="s">
        <v>724</v>
      </c>
      <c r="C14" s="996" t="s">
        <v>725</v>
      </c>
      <c r="D14" s="986" t="s">
        <v>724</v>
      </c>
      <c r="E14" s="996" t="s">
        <v>725</v>
      </c>
      <c r="F14" s="996" t="s">
        <v>725</v>
      </c>
      <c r="G14" s="996" t="s">
        <v>725</v>
      </c>
      <c r="H14" s="996" t="s">
        <v>725</v>
      </c>
      <c r="I14" s="996" t="s">
        <v>725</v>
      </c>
      <c r="J14" s="996" t="s">
        <v>725</v>
      </c>
      <c r="K14" s="996" t="s">
        <v>725</v>
      </c>
      <c r="L14" s="996" t="s">
        <v>725</v>
      </c>
      <c r="M14" s="996" t="s">
        <v>725</v>
      </c>
      <c r="N14" s="996" t="s">
        <v>725</v>
      </c>
      <c r="O14" s="996" t="s">
        <v>725</v>
      </c>
      <c r="P14" s="997" t="s">
        <v>725</v>
      </c>
      <c r="Q14" s="1001"/>
    </row>
    <row r="15" spans="1:17" s="460" customFormat="1" ht="21">
      <c r="A15" s="1002" t="s">
        <v>539</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737</v>
      </c>
      <c r="B18" s="1011" t="s">
        <v>738</v>
      </c>
      <c r="C18" s="1012" t="s">
        <v>739</v>
      </c>
      <c r="D18" s="1013" t="s">
        <v>740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742</v>
      </c>
    </row>
    <row r="2" spans="1:16" ht="60">
      <c r="A2" s="1194"/>
      <c r="B2" s="1195"/>
      <c r="C2" s="1195"/>
      <c r="D2" s="1196" t="s">
        <v>196</v>
      </c>
      <c r="E2" s="1196"/>
      <c r="F2" s="1196"/>
      <c r="G2" s="1196"/>
      <c r="H2" s="1196"/>
      <c r="I2" s="1015" t="s">
        <v>750</v>
      </c>
      <c r="J2" s="1015" t="s">
        <v>229</v>
      </c>
      <c r="K2" s="1015" t="s">
        <v>749</v>
      </c>
      <c r="L2" s="1015" t="s">
        <v>701</v>
      </c>
      <c r="M2" s="1015" t="s">
        <v>240</v>
      </c>
      <c r="N2" s="1015" t="s">
        <v>747</v>
      </c>
      <c r="O2" s="1015" t="s">
        <v>126</v>
      </c>
      <c r="P2" s="1195"/>
    </row>
    <row r="3" spans="1:16" ht="30">
      <c r="A3" s="1194"/>
      <c r="B3" s="1015" t="s">
        <v>753</v>
      </c>
      <c r="C3" s="1015" t="s">
        <v>754</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17822.59468353456</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31167.0539311092</v>
      </c>
      <c r="C6" s="1016"/>
      <c r="D6" s="1016"/>
      <c r="E6" s="1016"/>
      <c r="F6" s="1016"/>
      <c r="G6" s="1016"/>
      <c r="H6" s="1016"/>
      <c r="I6" s="1016"/>
      <c r="J6" s="1016"/>
      <c r="K6" s="1016"/>
      <c r="L6" s="1016"/>
      <c r="M6" s="1016"/>
      <c r="N6" s="1016"/>
      <c r="O6" s="1016"/>
      <c r="P6" s="1017">
        <f>'SEAP template'!Q74</f>
        <v>0</v>
      </c>
    </row>
    <row r="7" spans="1:16">
      <c r="A7" s="1021" t="s">
        <v>701</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6339.15</v>
      </c>
      <c r="D8" s="1016">
        <f>'SEAP template'!D76</f>
        <v>7457.8235294117649</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1506.4803529411765</v>
      </c>
    </row>
    <row r="9" spans="1:16">
      <c r="A9" s="1022" t="s">
        <v>745</v>
      </c>
      <c r="B9" s="1016">
        <f>'SEAP template'!B77</f>
        <v>1237.5</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3535.7142857142858</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50227.14861464376</v>
      </c>
      <c r="C10" s="1018">
        <f>SUM(C4:C9)</f>
        <v>6339.15</v>
      </c>
      <c r="D10" s="1018">
        <f t="shared" ref="D10:H10" si="0">SUM(D8:D9)</f>
        <v>7457.8235294117649</v>
      </c>
      <c r="E10" s="1018">
        <f t="shared" si="0"/>
        <v>0</v>
      </c>
      <c r="F10" s="1018">
        <f t="shared" si="0"/>
        <v>0</v>
      </c>
      <c r="G10" s="1018">
        <f t="shared" si="0"/>
        <v>0</v>
      </c>
      <c r="H10" s="1018">
        <f t="shared" si="0"/>
        <v>0</v>
      </c>
      <c r="I10" s="1018">
        <f>SUM(I8:I9)</f>
        <v>0</v>
      </c>
      <c r="J10" s="1018">
        <f>SUM(J8:J9)</f>
        <v>3535.7142857142858</v>
      </c>
      <c r="K10" s="1018">
        <f t="shared" ref="K10:L10" si="1">SUM(K8:K9)</f>
        <v>0</v>
      </c>
      <c r="L10" s="1018">
        <f t="shared" si="1"/>
        <v>0</v>
      </c>
      <c r="M10" s="1018">
        <f>SUM(M8:M9)</f>
        <v>0</v>
      </c>
      <c r="N10" s="1018">
        <f>SUM(N8:N9)</f>
        <v>0</v>
      </c>
      <c r="O10" s="1018">
        <f>SUM(O8:O9)</f>
        <v>0</v>
      </c>
      <c r="P10" s="1018">
        <f>SUM(P8:P9)</f>
        <v>1506.4803529411765</v>
      </c>
    </row>
    <row r="11" spans="1:16">
      <c r="A11" s="890"/>
      <c r="B11" s="890"/>
      <c r="C11" s="890"/>
      <c r="D11" s="890"/>
      <c r="E11" s="890"/>
      <c r="F11" s="890"/>
      <c r="G11" s="890"/>
      <c r="H11" s="890"/>
      <c r="I11" s="890"/>
      <c r="J11" s="890"/>
      <c r="K11" s="890"/>
      <c r="L11" s="890"/>
      <c r="M11" s="890"/>
      <c r="N11" s="890"/>
      <c r="O11" s="890"/>
      <c r="P11" s="890"/>
    </row>
    <row r="12" spans="1:16">
      <c r="A12" s="461" t="s">
        <v>756</v>
      </c>
      <c r="B12" s="778" t="s">
        <v>755</v>
      </c>
      <c r="C12" s="778">
        <f ca="1">'EF ele_warmte'!B12</f>
        <v>0.19376073903399008</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743</v>
      </c>
    </row>
    <row r="15" spans="1:16">
      <c r="A15" s="1194"/>
      <c r="B15" s="1195"/>
      <c r="C15" s="1195"/>
      <c r="D15" s="1197" t="s">
        <v>196</v>
      </c>
      <c r="E15" s="1197"/>
      <c r="F15" s="1197"/>
      <c r="G15" s="1197"/>
      <c r="H15" s="1197"/>
      <c r="I15" s="1195" t="s">
        <v>750</v>
      </c>
      <c r="J15" s="1195" t="s">
        <v>229</v>
      </c>
      <c r="K15" s="1195" t="s">
        <v>749</v>
      </c>
      <c r="L15" s="1195" t="s">
        <v>701</v>
      </c>
      <c r="M15" s="1195" t="s">
        <v>240</v>
      </c>
      <c r="N15" s="1195" t="s">
        <v>748</v>
      </c>
      <c r="O15" s="1195" t="s">
        <v>126</v>
      </c>
      <c r="P15" s="1195"/>
    </row>
    <row r="16" spans="1:16" ht="30">
      <c r="A16" s="1194"/>
      <c r="B16" s="1015" t="s">
        <v>751</v>
      </c>
      <c r="C16" s="1015" t="s">
        <v>752</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9055.9285714285725</v>
      </c>
      <c r="D17" s="1017">
        <f>'SEAP template'!D87</f>
        <v>10654.033613445379</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2152.1147899159669</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746</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9055.9285714285725</v>
      </c>
      <c r="D20" s="1018">
        <f t="shared" ref="D20:H20" si="2">SUM(D17:D19)</f>
        <v>10654.033613445379</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2152.1147899159669</v>
      </c>
    </row>
    <row r="21" spans="1:16">
      <c r="B21" s="883"/>
    </row>
    <row r="22" spans="1:16">
      <c r="A22" s="461" t="s">
        <v>757</v>
      </c>
      <c r="B22" s="778" t="s">
        <v>755</v>
      </c>
      <c r="C22" s="778">
        <f ca="1">'EF ele_warmte'!B22</f>
        <v>0.23764705882352949</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742</v>
      </c>
    </row>
    <row r="2" spans="1:16" ht="15.75">
      <c r="A2" s="1194"/>
      <c r="B2" s="1195"/>
      <c r="C2" s="1195"/>
      <c r="D2" s="1196" t="s">
        <v>196</v>
      </c>
      <c r="E2" s="1196"/>
      <c r="F2" s="1196"/>
      <c r="G2" s="1196"/>
      <c r="H2" s="1196"/>
      <c r="I2" s="1015" t="s">
        <v>750</v>
      </c>
      <c r="J2" s="1015" t="s">
        <v>229</v>
      </c>
      <c r="K2" s="1015" t="s">
        <v>749</v>
      </c>
      <c r="L2" s="1015" t="s">
        <v>701</v>
      </c>
      <c r="M2" s="1015" t="s">
        <v>240</v>
      </c>
      <c r="N2" s="1015" t="s">
        <v>747</v>
      </c>
      <c r="O2" s="1015" t="s">
        <v>126</v>
      </c>
      <c r="P2" s="1195"/>
    </row>
    <row r="3" spans="1:16" ht="30">
      <c r="A3" s="1194"/>
      <c r="B3" s="1015" t="s">
        <v>753</v>
      </c>
      <c r="C3" s="1015" t="s">
        <v>754</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764</v>
      </c>
      <c r="C4" s="1032" t="s">
        <v>725</v>
      </c>
      <c r="D4" s="1032" t="s">
        <v>725</v>
      </c>
      <c r="E4" s="1032" t="s">
        <v>725</v>
      </c>
      <c r="F4" s="1032" t="s">
        <v>725</v>
      </c>
      <c r="G4" s="1032" t="s">
        <v>725</v>
      </c>
      <c r="H4" s="1032" t="s">
        <v>725</v>
      </c>
      <c r="I4" s="1032" t="s">
        <v>725</v>
      </c>
      <c r="J4" s="1032" t="s">
        <v>725</v>
      </c>
      <c r="K4" s="1032" t="s">
        <v>725</v>
      </c>
      <c r="L4" s="1032" t="s">
        <v>725</v>
      </c>
      <c r="M4" s="1032" t="s">
        <v>725</v>
      </c>
      <c r="N4" s="1032" t="s">
        <v>725</v>
      </c>
      <c r="O4" s="1032" t="s">
        <v>725</v>
      </c>
      <c r="P4" s="1028" t="s">
        <v>758</v>
      </c>
    </row>
    <row r="5" spans="1:16" ht="135">
      <c r="A5" s="1030" t="s">
        <v>245</v>
      </c>
      <c r="B5" s="1027" t="s">
        <v>764</v>
      </c>
      <c r="C5" s="1032" t="s">
        <v>725</v>
      </c>
      <c r="D5" s="1032" t="s">
        <v>725</v>
      </c>
      <c r="E5" s="1032" t="s">
        <v>725</v>
      </c>
      <c r="F5" s="1032" t="s">
        <v>725</v>
      </c>
      <c r="G5" s="1032" t="s">
        <v>725</v>
      </c>
      <c r="H5" s="1032" t="s">
        <v>725</v>
      </c>
      <c r="I5" s="1032" t="s">
        <v>725</v>
      </c>
      <c r="J5" s="1032" t="s">
        <v>725</v>
      </c>
      <c r="K5" s="1032" t="s">
        <v>725</v>
      </c>
      <c r="L5" s="1032" t="s">
        <v>725</v>
      </c>
      <c r="M5" s="1032" t="s">
        <v>725</v>
      </c>
      <c r="N5" s="1032" t="s">
        <v>725</v>
      </c>
      <c r="O5" s="1032" t="s">
        <v>725</v>
      </c>
      <c r="P5" s="1028" t="s">
        <v>758</v>
      </c>
    </row>
    <row r="6" spans="1:16" ht="135">
      <c r="A6" s="1030" t="s">
        <v>246</v>
      </c>
      <c r="B6" s="1027" t="s">
        <v>764</v>
      </c>
      <c r="C6" s="1032" t="s">
        <v>725</v>
      </c>
      <c r="D6" s="1032" t="s">
        <v>725</v>
      </c>
      <c r="E6" s="1032" t="s">
        <v>725</v>
      </c>
      <c r="F6" s="1032" t="s">
        <v>725</v>
      </c>
      <c r="G6" s="1032" t="s">
        <v>725</v>
      </c>
      <c r="H6" s="1032" t="s">
        <v>725</v>
      </c>
      <c r="I6" s="1032" t="s">
        <v>725</v>
      </c>
      <c r="J6" s="1032" t="s">
        <v>725</v>
      </c>
      <c r="K6" s="1032" t="s">
        <v>725</v>
      </c>
      <c r="L6" s="1032" t="s">
        <v>725</v>
      </c>
      <c r="M6" s="1032" t="s">
        <v>725</v>
      </c>
      <c r="N6" s="1032" t="s">
        <v>725</v>
      </c>
      <c r="O6" s="1032" t="s">
        <v>725</v>
      </c>
      <c r="P6" s="1028" t="s">
        <v>758</v>
      </c>
    </row>
    <row r="7" spans="1:16" ht="135">
      <c r="A7" s="1030" t="s">
        <v>701</v>
      </c>
      <c r="B7" s="1032" t="s">
        <v>725</v>
      </c>
      <c r="C7" s="1032" t="s">
        <v>725</v>
      </c>
      <c r="D7" s="1032" t="s">
        <v>725</v>
      </c>
      <c r="E7" s="1032" t="s">
        <v>725</v>
      </c>
      <c r="F7" s="1032" t="s">
        <v>725</v>
      </c>
      <c r="G7" s="1032" t="s">
        <v>725</v>
      </c>
      <c r="H7" s="1032" t="s">
        <v>725</v>
      </c>
      <c r="I7" s="1032" t="s">
        <v>725</v>
      </c>
      <c r="J7" s="1032" t="s">
        <v>725</v>
      </c>
      <c r="K7" s="1032" t="s">
        <v>725</v>
      </c>
      <c r="L7" s="1032" t="s">
        <v>725</v>
      </c>
      <c r="M7" s="1032" t="s">
        <v>725</v>
      </c>
      <c r="N7" s="1032" t="s">
        <v>725</v>
      </c>
      <c r="O7" s="1032" t="s">
        <v>725</v>
      </c>
      <c r="P7" s="1028" t="s">
        <v>758</v>
      </c>
    </row>
    <row r="8" spans="1:16" ht="210">
      <c r="A8" s="1029" t="s">
        <v>247</v>
      </c>
      <c r="B8" s="1027" t="s">
        <v>759</v>
      </c>
      <c r="C8" s="1027" t="s">
        <v>759</v>
      </c>
      <c r="D8" s="1027" t="s">
        <v>759</v>
      </c>
      <c r="E8" s="1027" t="s">
        <v>759</v>
      </c>
      <c r="F8" s="1027" t="s">
        <v>759</v>
      </c>
      <c r="G8" s="1027" t="s">
        <v>759</v>
      </c>
      <c r="H8" s="1027" t="s">
        <v>759</v>
      </c>
      <c r="I8" s="1027" t="s">
        <v>759</v>
      </c>
      <c r="J8" s="1027" t="s">
        <v>759</v>
      </c>
      <c r="K8" s="1032" t="s">
        <v>725</v>
      </c>
      <c r="L8" s="1032" t="s">
        <v>725</v>
      </c>
      <c r="M8" s="1032" t="s">
        <v>725</v>
      </c>
      <c r="N8" s="1027" t="s">
        <v>760</v>
      </c>
      <c r="O8" s="1027" t="s">
        <v>760</v>
      </c>
      <c r="P8" s="1033"/>
    </row>
    <row r="9" spans="1:16" ht="210">
      <c r="A9" s="1031" t="s">
        <v>745</v>
      </c>
      <c r="B9" s="1027" t="s">
        <v>760</v>
      </c>
      <c r="C9" s="1027" t="s">
        <v>760</v>
      </c>
      <c r="D9" s="1027" t="s">
        <v>760</v>
      </c>
      <c r="E9" s="1027" t="s">
        <v>760</v>
      </c>
      <c r="F9" s="1027" t="s">
        <v>760</v>
      </c>
      <c r="G9" s="1027" t="s">
        <v>760</v>
      </c>
      <c r="H9" s="1027" t="s">
        <v>760</v>
      </c>
      <c r="I9" s="1027" t="s">
        <v>760</v>
      </c>
      <c r="J9" s="1027" t="s">
        <v>760</v>
      </c>
      <c r="K9" s="1032" t="s">
        <v>725</v>
      </c>
      <c r="L9" s="1027" t="s">
        <v>760</v>
      </c>
      <c r="M9" s="1027" t="s">
        <v>760</v>
      </c>
      <c r="N9" s="1027" t="s">
        <v>760</v>
      </c>
      <c r="O9" s="1027" t="s">
        <v>760</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756</v>
      </c>
      <c r="B12" s="778" t="s">
        <v>755</v>
      </c>
      <c r="C12" s="1035" t="s">
        <v>761</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743</v>
      </c>
    </row>
    <row r="15" spans="1:16">
      <c r="A15" s="1194"/>
      <c r="B15" s="1195"/>
      <c r="C15" s="1195"/>
      <c r="D15" s="1197" t="s">
        <v>196</v>
      </c>
      <c r="E15" s="1197"/>
      <c r="F15" s="1197"/>
      <c r="G15" s="1197"/>
      <c r="H15" s="1197"/>
      <c r="I15" s="1195" t="s">
        <v>750</v>
      </c>
      <c r="J15" s="1195" t="s">
        <v>229</v>
      </c>
      <c r="K15" s="1195" t="s">
        <v>749</v>
      </c>
      <c r="L15" s="1195" t="s">
        <v>701</v>
      </c>
      <c r="M15" s="1195" t="s">
        <v>240</v>
      </c>
      <c r="N15" s="1195" t="s">
        <v>748</v>
      </c>
      <c r="O15" s="1195" t="s">
        <v>126</v>
      </c>
      <c r="P15" s="1195"/>
    </row>
    <row r="16" spans="1:16" ht="30">
      <c r="A16" s="1194"/>
      <c r="B16" s="1015" t="s">
        <v>751</v>
      </c>
      <c r="C16" s="1015" t="s">
        <v>752</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760</v>
      </c>
      <c r="C17" s="1027" t="s">
        <v>760</v>
      </c>
      <c r="D17" s="1027" t="s">
        <v>760</v>
      </c>
      <c r="E17" s="1027" t="s">
        <v>760</v>
      </c>
      <c r="F17" s="1027" t="s">
        <v>760</v>
      </c>
      <c r="G17" s="1027" t="s">
        <v>760</v>
      </c>
      <c r="H17" s="1027" t="s">
        <v>760</v>
      </c>
      <c r="I17" s="1027" t="s">
        <v>760</v>
      </c>
      <c r="J17" s="1027" t="s">
        <v>760</v>
      </c>
      <c r="K17" s="1032" t="s">
        <v>725</v>
      </c>
      <c r="L17" s="1032" t="s">
        <v>725</v>
      </c>
      <c r="M17" s="1032" t="s">
        <v>725</v>
      </c>
      <c r="N17" s="1027" t="s">
        <v>760</v>
      </c>
      <c r="O17" s="1027" t="s">
        <v>760</v>
      </c>
      <c r="P17" s="1026"/>
    </row>
    <row r="18" spans="1:16" ht="45">
      <c r="A18" s="1024" t="s">
        <v>253</v>
      </c>
      <c r="B18" s="1028" t="s">
        <v>735</v>
      </c>
      <c r="C18" s="1028" t="s">
        <v>735</v>
      </c>
      <c r="D18" s="1028" t="s">
        <v>735</v>
      </c>
      <c r="E18" s="1028" t="s">
        <v>735</v>
      </c>
      <c r="F18" s="1028" t="s">
        <v>735</v>
      </c>
      <c r="G18" s="1028" t="s">
        <v>735</v>
      </c>
      <c r="H18" s="1028" t="s">
        <v>735</v>
      </c>
      <c r="I18" s="1028" t="s">
        <v>735</v>
      </c>
      <c r="J18" s="1028" t="s">
        <v>735</v>
      </c>
      <c r="K18" s="1028" t="s">
        <v>735</v>
      </c>
      <c r="L18" s="1028" t="s">
        <v>735</v>
      </c>
      <c r="M18" s="1028" t="s">
        <v>735</v>
      </c>
      <c r="N18" s="1028" t="s">
        <v>735</v>
      </c>
      <c r="O18" s="1028" t="s">
        <v>735</v>
      </c>
      <c r="P18" s="1028" t="s">
        <v>735</v>
      </c>
    </row>
    <row r="19" spans="1:16" ht="45">
      <c r="A19" s="1022" t="s">
        <v>746</v>
      </c>
      <c r="B19" s="1028" t="s">
        <v>735</v>
      </c>
      <c r="C19" s="1028" t="s">
        <v>735</v>
      </c>
      <c r="D19" s="1028" t="s">
        <v>735</v>
      </c>
      <c r="E19" s="1028" t="s">
        <v>735</v>
      </c>
      <c r="F19" s="1028" t="s">
        <v>735</v>
      </c>
      <c r="G19" s="1028" t="s">
        <v>735</v>
      </c>
      <c r="H19" s="1028" t="s">
        <v>735</v>
      </c>
      <c r="I19" s="1028" t="s">
        <v>735</v>
      </c>
      <c r="J19" s="1028" t="s">
        <v>735</v>
      </c>
      <c r="K19" s="1028" t="s">
        <v>735</v>
      </c>
      <c r="L19" s="1028" t="s">
        <v>735</v>
      </c>
      <c r="M19" s="1028" t="s">
        <v>735</v>
      </c>
      <c r="N19" s="1028" t="s">
        <v>735</v>
      </c>
      <c r="O19" s="1028" t="s">
        <v>735</v>
      </c>
      <c r="P19" s="1028" t="s">
        <v>735</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757</v>
      </c>
      <c r="B22" s="778" t="s">
        <v>755</v>
      </c>
      <c r="C22" s="1035" t="s">
        <v>762</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562</v>
      </c>
      <c r="B6" s="75" t="s">
        <v>563</v>
      </c>
      <c r="C6" s="431" t="s">
        <v>546</v>
      </c>
    </row>
    <row r="7" spans="1:3">
      <c r="A7" s="125"/>
      <c r="B7" s="129"/>
      <c r="C7" s="122"/>
    </row>
    <row r="8" spans="1:3">
      <c r="A8" s="113" t="s">
        <v>565</v>
      </c>
      <c r="B8" s="75" t="s">
        <v>564</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599</v>
      </c>
    </row>
    <row r="13" spans="1:3">
      <c r="A13" s="140"/>
      <c r="B13" s="124"/>
      <c r="C13" s="296"/>
    </row>
    <row r="14" spans="1:3" s="11" customFormat="1">
      <c r="A14" s="113" t="s">
        <v>582</v>
      </c>
      <c r="B14" s="130" t="s">
        <v>583</v>
      </c>
      <c r="C14" s="131" t="s">
        <v>584</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594</v>
      </c>
      <c r="B4" s="464"/>
      <c r="C4" s="464"/>
      <c r="D4" s="464"/>
      <c r="E4" s="464"/>
      <c r="F4" s="464"/>
      <c r="G4" s="496"/>
      <c r="H4" s="496"/>
      <c r="I4" s="464"/>
      <c r="J4" s="464"/>
      <c r="K4" s="464"/>
      <c r="L4" s="464"/>
      <c r="M4" s="464"/>
      <c r="N4" s="464"/>
      <c r="O4" s="464"/>
      <c r="P4" s="464"/>
    </row>
    <row r="5" spans="1:16" outlineLevel="1">
      <c r="A5" s="678" t="s">
        <v>595</v>
      </c>
      <c r="B5" s="464"/>
      <c r="C5" s="464"/>
      <c r="D5" s="464"/>
      <c r="E5" s="464"/>
      <c r="F5" s="464"/>
      <c r="G5" s="496"/>
      <c r="H5" s="496"/>
      <c r="I5" s="464"/>
      <c r="J5" s="464"/>
      <c r="K5" s="464"/>
      <c r="L5" s="464"/>
      <c r="M5" s="464"/>
      <c r="N5" s="464"/>
      <c r="O5" s="464"/>
      <c r="P5" s="464"/>
    </row>
    <row r="6" spans="1:16" outlineLevel="1">
      <c r="A6" s="678" t="s">
        <v>596</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597</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598</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560</v>
      </c>
      <c r="B13" s="449"/>
      <c r="C13" s="468"/>
      <c r="D13" s="468"/>
      <c r="E13" s="468"/>
      <c r="F13" s="468"/>
      <c r="G13" s="468"/>
      <c r="H13" s="468"/>
      <c r="I13" s="468"/>
      <c r="J13" s="468"/>
      <c r="K13" s="468"/>
      <c r="L13" s="468"/>
      <c r="M13" s="468"/>
      <c r="N13" s="468"/>
      <c r="O13" s="779" t="s">
        <v>615</v>
      </c>
      <c r="P13" s="779" t="s">
        <v>614</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587</v>
      </c>
      <c r="B17" s="498">
        <f ca="1">'EF ele_warmte'!B12</f>
        <v>0.19376073903399008</v>
      </c>
      <c r="C17" s="498">
        <f ca="1">'EF ele_warmte'!B22</f>
        <v>0.23764705882352949</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635</v>
      </c>
      <c r="E24" s="450"/>
    </row>
    <row r="25" spans="1:16" s="449" customFormat="1" outlineLevel="1">
      <c r="A25" s="485" t="s">
        <v>435</v>
      </c>
      <c r="B25" s="309">
        <v>13.15681996793146</v>
      </c>
      <c r="C25" s="43"/>
      <c r="D25" s="303" t="s">
        <v>773</v>
      </c>
      <c r="E25" s="463"/>
    </row>
    <row r="26" spans="1:16" s="449" customFormat="1" outlineLevel="1">
      <c r="A26" s="783" t="s">
        <v>436</v>
      </c>
      <c r="B26" s="314">
        <f>1.34/3.6</f>
        <v>0.37222222222222223</v>
      </c>
      <c r="C26" s="43" t="s">
        <v>214</v>
      </c>
      <c r="D26" s="303" t="s">
        <v>774</v>
      </c>
      <c r="E26" s="463"/>
    </row>
    <row r="27" spans="1:16" s="449" customFormat="1" outlineLevel="1">
      <c r="A27" s="488" t="s">
        <v>606</v>
      </c>
      <c r="B27" s="785">
        <f>B24*B25*B26</f>
        <v>0</v>
      </c>
      <c r="C27" s="489" t="s">
        <v>607</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635</v>
      </c>
      <c r="E31" s="450"/>
    </row>
    <row r="32" spans="1:16" s="449" customFormat="1" outlineLevel="1">
      <c r="A32" s="485" t="s">
        <v>432</v>
      </c>
      <c r="B32" s="48">
        <v>37.963784638354454</v>
      </c>
      <c r="C32" s="492" t="s">
        <v>258</v>
      </c>
      <c r="D32" s="487" t="s">
        <v>773</v>
      </c>
      <c r="E32" s="450"/>
    </row>
    <row r="33" spans="1:5" s="449" customFormat="1" outlineLevel="1">
      <c r="A33" s="485" t="s">
        <v>433</v>
      </c>
      <c r="B33" s="48">
        <v>1887.1743212997605</v>
      </c>
      <c r="C33" s="492" t="s">
        <v>260</v>
      </c>
      <c r="D33" s="487" t="s">
        <v>773</v>
      </c>
      <c r="E33" s="450"/>
    </row>
    <row r="34" spans="1:5" s="449" customFormat="1" outlineLevel="1">
      <c r="A34" s="783" t="s">
        <v>372</v>
      </c>
      <c r="B34" s="48">
        <v>3.75</v>
      </c>
      <c r="C34" s="492"/>
      <c r="D34" s="487" t="s">
        <v>774</v>
      </c>
      <c r="E34" s="450"/>
    </row>
    <row r="35" spans="1:5" s="449" customFormat="1" outlineLevel="1">
      <c r="A35" s="488" t="s">
        <v>606</v>
      </c>
      <c r="B35" s="784">
        <f>B31*B32*B33/1000-B31*B32*B33/1000/B34</f>
        <v>0</v>
      </c>
      <c r="C35" s="495" t="s">
        <v>607</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560</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587</v>
      </c>
      <c r="B17" s="498">
        <f ca="1">'EF ele_warmte'!B12</f>
        <v>0.19376073903399008</v>
      </c>
      <c r="C17" s="498">
        <f ca="1">'EF ele_warmte'!B22</f>
        <v>0.23764705882352949</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560</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578</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587</v>
      </c>
      <c r="B29" s="499">
        <f ca="1">'EF ele_warmte'!B12</f>
        <v>0.19376073903399008</v>
      </c>
      <c r="C29" s="499">
        <f ca="1">'EF ele_warmte'!B22</f>
        <v>0.23764705882352949</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548</v>
      </c>
      <c r="B10" s="501"/>
      <c r="C10" s="141" t="s">
        <v>181</v>
      </c>
      <c r="D10" s="144" t="s">
        <v>381</v>
      </c>
      <c r="I10" s="1206"/>
      <c r="K10" s="58"/>
    </row>
    <row r="11" spans="1:11" s="43" customFormat="1">
      <c r="A11" s="44" t="s">
        <v>549</v>
      </c>
      <c r="B11" s="47"/>
      <c r="D11" s="142" t="s">
        <v>382</v>
      </c>
      <c r="I11" s="1206"/>
      <c r="K11" s="58"/>
    </row>
    <row r="12" spans="1:11" s="43" customFormat="1">
      <c r="A12" s="44" t="s">
        <v>550</v>
      </c>
      <c r="B12" s="47"/>
      <c r="D12" s="142" t="s">
        <v>382</v>
      </c>
      <c r="I12" s="1206"/>
      <c r="K12" s="58"/>
    </row>
    <row r="13" spans="1:11" s="43" customFormat="1">
      <c r="A13" s="44"/>
      <c r="B13" s="449"/>
      <c r="D13" s="96"/>
      <c r="I13" s="1206"/>
    </row>
    <row r="14" spans="1:11" s="43" customFormat="1">
      <c r="A14" s="298" t="s">
        <v>547</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558</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548</v>
      </c>
      <c r="B31" s="501"/>
      <c r="C31" s="141" t="s">
        <v>181</v>
      </c>
      <c r="D31" s="144" t="s">
        <v>381</v>
      </c>
    </row>
    <row r="32" spans="1:11">
      <c r="A32" s="438" t="s">
        <v>549</v>
      </c>
      <c r="B32" s="47"/>
      <c r="C32" s="48"/>
      <c r="D32" s="142" t="s">
        <v>382</v>
      </c>
    </row>
    <row r="33" spans="1:11">
      <c r="A33" s="44"/>
      <c r="B33" s="48"/>
      <c r="C33" s="48"/>
      <c r="D33" s="142"/>
    </row>
    <row r="34" spans="1:11" s="43" customFormat="1">
      <c r="A34" s="298" t="s">
        <v>547</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703</v>
      </c>
      <c r="B45" s="47"/>
      <c r="C45" s="43"/>
      <c r="D45" s="142" t="s">
        <v>382</v>
      </c>
      <c r="I45" s="58"/>
      <c r="J45" s="58"/>
      <c r="K45" s="58"/>
    </row>
    <row r="46" spans="1:11" s="883" customFormat="1">
      <c r="A46" s="178" t="s">
        <v>704</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551</v>
      </c>
      <c r="B52" s="47"/>
      <c r="C52" s="32"/>
      <c r="D52" s="143" t="s">
        <v>383</v>
      </c>
    </row>
    <row r="53" spans="1:4">
      <c r="A53" s="44" t="s">
        <v>552</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553</v>
      </c>
      <c r="B59" s="47"/>
      <c r="C59" s="32"/>
      <c r="D59" s="142" t="s">
        <v>154</v>
      </c>
    </row>
    <row r="60" spans="1:4">
      <c r="A60" s="44" t="s">
        <v>554</v>
      </c>
      <c r="B60" s="47"/>
      <c r="C60" s="32"/>
      <c r="D60" s="142" t="s">
        <v>155</v>
      </c>
    </row>
    <row r="61" spans="1:4">
      <c r="A61" s="44" t="s">
        <v>555</v>
      </c>
      <c r="B61" s="47"/>
      <c r="C61" s="48"/>
      <c r="D61" s="142" t="s">
        <v>379</v>
      </c>
    </row>
    <row r="62" spans="1:4">
      <c r="A62" s="44" t="s">
        <v>556</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573</v>
      </c>
      <c r="B1" s="643"/>
      <c r="C1" s="643"/>
      <c r="D1" s="643"/>
      <c r="E1" s="644"/>
    </row>
    <row r="2" spans="1:5">
      <c r="A2" s="655" t="s">
        <v>384</v>
      </c>
      <c r="B2" s="660" t="s">
        <v>497</v>
      </c>
      <c r="C2" s="656"/>
      <c r="D2" s="656"/>
      <c r="E2" s="657"/>
    </row>
    <row r="3" spans="1:5">
      <c r="A3" s="658"/>
      <c r="B3" s="659"/>
      <c r="C3" s="647"/>
      <c r="D3" s="647"/>
      <c r="E3" s="648"/>
    </row>
    <row r="4" spans="1:5" s="326" customFormat="1" ht="45">
      <c r="A4" s="646" t="s">
        <v>577</v>
      </c>
      <c r="B4" s="654" t="s">
        <v>566</v>
      </c>
      <c r="C4" s="675" t="s">
        <v>588</v>
      </c>
      <c r="D4" s="676" t="s">
        <v>589</v>
      </c>
      <c r="E4" s="677" t="s">
        <v>590</v>
      </c>
    </row>
    <row r="5" spans="1:5">
      <c r="A5" s="649" t="s">
        <v>567</v>
      </c>
      <c r="B5" s="641" t="s">
        <v>568</v>
      </c>
      <c r="C5" s="672">
        <v>3.678273E-2</v>
      </c>
      <c r="D5" s="673">
        <v>0.27778000000000003</v>
      </c>
      <c r="E5" s="665">
        <f>C5*D5</f>
        <v>1.0217506739400001E-2</v>
      </c>
    </row>
    <row r="6" spans="1:5">
      <c r="A6" s="649" t="s">
        <v>567</v>
      </c>
      <c r="B6" s="641" t="s">
        <v>569</v>
      </c>
      <c r="C6" s="672">
        <v>4.2278999999999997E-2</v>
      </c>
      <c r="D6" s="673">
        <v>0.27778000000000003</v>
      </c>
      <c r="E6" s="665">
        <f t="shared" ref="E6:E21" si="0">C6*D6</f>
        <v>1.174426062E-2</v>
      </c>
    </row>
    <row r="7" spans="1:5">
      <c r="A7" s="649" t="s">
        <v>567</v>
      </c>
      <c r="B7" s="641" t="s">
        <v>570</v>
      </c>
      <c r="C7" s="672">
        <v>42.279000000000003</v>
      </c>
      <c r="D7" s="673">
        <v>0.27778000000000003</v>
      </c>
      <c r="E7" s="665">
        <f t="shared" si="0"/>
        <v>11.744260620000002</v>
      </c>
    </row>
    <row r="8" spans="1:5">
      <c r="A8" s="649" t="s">
        <v>571</v>
      </c>
      <c r="B8" s="641" t="s">
        <v>568</v>
      </c>
      <c r="C8" s="672">
        <v>3.8573799999999998E-2</v>
      </c>
      <c r="D8" s="673">
        <v>0.27778000000000003</v>
      </c>
      <c r="E8" s="665">
        <f t="shared" si="0"/>
        <v>1.0715030164E-2</v>
      </c>
    </row>
    <row r="9" spans="1:5">
      <c r="A9" s="649" t="s">
        <v>571</v>
      </c>
      <c r="B9" s="641" t="s">
        <v>569</v>
      </c>
      <c r="C9" s="672">
        <v>4.0604000000000001E-2</v>
      </c>
      <c r="D9" s="673">
        <v>0.27778000000000003</v>
      </c>
      <c r="E9" s="665">
        <f t="shared" si="0"/>
        <v>1.1278979120000001E-2</v>
      </c>
    </row>
    <row r="10" spans="1:5">
      <c r="A10" s="649" t="s">
        <v>571</v>
      </c>
      <c r="B10" s="641" t="s">
        <v>570</v>
      </c>
      <c r="C10" s="672">
        <v>40.603999999999999</v>
      </c>
      <c r="D10" s="673">
        <v>0.27778000000000003</v>
      </c>
      <c r="E10" s="665">
        <f t="shared" si="0"/>
        <v>11.278979120000001</v>
      </c>
    </row>
    <row r="11" spans="1:5">
      <c r="A11" s="649" t="s">
        <v>591</v>
      </c>
      <c r="B11" s="641" t="s">
        <v>568</v>
      </c>
      <c r="C11" s="672">
        <v>2.3511000000000001E-2</v>
      </c>
      <c r="D11" s="673">
        <v>0.27778000000000003</v>
      </c>
      <c r="E11" s="665">
        <f t="shared" si="0"/>
        <v>6.5308855800000004E-3</v>
      </c>
    </row>
    <row r="12" spans="1:5">
      <c r="A12" s="649" t="s">
        <v>591</v>
      </c>
      <c r="B12" s="641" t="s">
        <v>569</v>
      </c>
      <c r="C12" s="672">
        <v>4.6100000000000002E-2</v>
      </c>
      <c r="D12" s="673">
        <v>0.27778000000000003</v>
      </c>
      <c r="E12" s="665">
        <f t="shared" si="0"/>
        <v>1.2805658000000001E-2</v>
      </c>
    </row>
    <row r="13" spans="1:5">
      <c r="A13" s="649" t="s">
        <v>591</v>
      </c>
      <c r="B13" s="641" t="s">
        <v>570</v>
      </c>
      <c r="C13" s="672">
        <v>46.1</v>
      </c>
      <c r="D13" s="673">
        <v>0.27778000000000003</v>
      </c>
      <c r="E13" s="665">
        <f t="shared" si="0"/>
        <v>12.805658000000001</v>
      </c>
    </row>
    <row r="14" spans="1:5">
      <c r="A14" s="649" t="s">
        <v>592</v>
      </c>
      <c r="B14" s="641" t="s">
        <v>568</v>
      </c>
      <c r="C14" s="672">
        <v>2.6525139999999999E-2</v>
      </c>
      <c r="D14" s="673">
        <v>0.27778000000000003</v>
      </c>
      <c r="E14" s="665">
        <f t="shared" si="0"/>
        <v>7.3681533892000009E-3</v>
      </c>
    </row>
    <row r="15" spans="1:5">
      <c r="A15" s="649" t="s">
        <v>592</v>
      </c>
      <c r="B15" s="641" t="s">
        <v>569</v>
      </c>
      <c r="C15" s="672">
        <v>4.5733000000000003E-2</v>
      </c>
      <c r="D15" s="673">
        <v>0.27778000000000003</v>
      </c>
      <c r="E15" s="665">
        <f t="shared" si="0"/>
        <v>1.2703712740000001E-2</v>
      </c>
    </row>
    <row r="16" spans="1:5">
      <c r="A16" s="649" t="s">
        <v>592</v>
      </c>
      <c r="B16" s="641" t="s">
        <v>570</v>
      </c>
      <c r="C16" s="672">
        <v>45.732999999999997</v>
      </c>
      <c r="D16" s="673">
        <v>0.27778000000000003</v>
      </c>
      <c r="E16" s="665">
        <f t="shared" si="0"/>
        <v>12.70371274</v>
      </c>
    </row>
    <row r="17" spans="1:10">
      <c r="A17" s="649" t="s">
        <v>575</v>
      </c>
      <c r="B17" s="641" t="s">
        <v>572</v>
      </c>
      <c r="C17" s="672">
        <v>3.2923000000000001E-2</v>
      </c>
      <c r="D17" s="673">
        <f>0.27778</f>
        <v>0.27778000000000003</v>
      </c>
      <c r="E17" s="665">
        <f t="shared" si="0"/>
        <v>9.1453509400000015E-3</v>
      </c>
    </row>
    <row r="18" spans="1:10">
      <c r="A18" s="649" t="s">
        <v>576</v>
      </c>
      <c r="B18" s="641" t="s">
        <v>572</v>
      </c>
      <c r="C18" s="672">
        <v>3.8852400000000002E-2</v>
      </c>
      <c r="D18" s="673">
        <f>0.27778</f>
        <v>0.27778000000000003</v>
      </c>
      <c r="E18" s="665">
        <f t="shared" si="0"/>
        <v>1.0792419672000002E-2</v>
      </c>
    </row>
    <row r="19" spans="1:10">
      <c r="A19" s="649" t="s">
        <v>579</v>
      </c>
      <c r="B19" s="641" t="s">
        <v>568</v>
      </c>
      <c r="C19" s="672">
        <v>2.4812460000000001E-2</v>
      </c>
      <c r="D19" s="673">
        <v>0.27778000000000003</v>
      </c>
      <c r="E19" s="665">
        <f t="shared" si="0"/>
        <v>6.8924051388000009E-3</v>
      </c>
    </row>
    <row r="20" spans="1:10">
      <c r="A20" s="649" t="s">
        <v>579</v>
      </c>
      <c r="B20" s="641" t="s">
        <v>569</v>
      </c>
      <c r="C20" s="672">
        <v>4.5948999999999997E-2</v>
      </c>
      <c r="D20" s="673">
        <v>0.27778000000000003</v>
      </c>
      <c r="E20" s="665">
        <f t="shared" si="0"/>
        <v>1.276371322E-2</v>
      </c>
    </row>
    <row r="21" spans="1:10">
      <c r="A21" s="649" t="s">
        <v>579</v>
      </c>
      <c r="B21" s="641" t="s">
        <v>570</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574</v>
      </c>
      <c r="B24" s="643"/>
      <c r="C24" s="643"/>
      <c r="D24" s="643"/>
      <c r="E24" s="644"/>
    </row>
    <row r="25" spans="1:10">
      <c r="A25" s="669" t="s">
        <v>384</v>
      </c>
      <c r="B25" s="1048" t="s">
        <v>775</v>
      </c>
      <c r="C25" s="647"/>
      <c r="D25" s="647"/>
      <c r="E25" s="648"/>
    </row>
    <row r="26" spans="1:10">
      <c r="A26" s="44"/>
      <c r="B26" s="43"/>
      <c r="C26" s="43"/>
      <c r="D26" s="43"/>
      <c r="E26" s="96"/>
    </row>
    <row r="27" spans="1:10" s="326" customFormat="1">
      <c r="A27" s="646" t="s">
        <v>577</v>
      </c>
      <c r="B27" s="654" t="s">
        <v>566</v>
      </c>
      <c r="C27" s="662"/>
      <c r="D27" s="661"/>
      <c r="E27" s="677" t="s">
        <v>581</v>
      </c>
    </row>
    <row r="28" spans="1:10">
      <c r="A28" s="649" t="s">
        <v>201</v>
      </c>
      <c r="B28" s="641" t="s">
        <v>568</v>
      </c>
      <c r="C28" s="663"/>
      <c r="D28" s="664"/>
      <c r="E28" s="671">
        <f>E29*0.84</f>
        <v>9.962166666666666E-3</v>
      </c>
      <c r="G28" s="645"/>
      <c r="H28" s="788"/>
      <c r="I28" s="788"/>
      <c r="J28" s="788"/>
    </row>
    <row r="29" spans="1:10">
      <c r="A29" s="649" t="s">
        <v>201</v>
      </c>
      <c r="B29" s="641" t="s">
        <v>569</v>
      </c>
      <c r="C29" s="663"/>
      <c r="D29" s="664"/>
      <c r="E29" s="671">
        <f>0.042695/3.6</f>
        <v>1.1859722222222221E-2</v>
      </c>
      <c r="F29" s="902"/>
      <c r="G29" s="645"/>
      <c r="H29" s="788"/>
      <c r="I29" s="788"/>
      <c r="J29" s="788"/>
    </row>
    <row r="30" spans="1:10">
      <c r="A30" s="649" t="s">
        <v>119</v>
      </c>
      <c r="B30" s="641" t="s">
        <v>568</v>
      </c>
      <c r="C30" s="663"/>
      <c r="D30" s="664"/>
      <c r="E30" s="671">
        <f>E31*0.75</f>
        <v>9.1195833333333337E-3</v>
      </c>
      <c r="H30" s="788"/>
      <c r="I30" s="788"/>
      <c r="J30" s="788"/>
    </row>
    <row r="31" spans="1:10">
      <c r="A31" s="649" t="s">
        <v>119</v>
      </c>
      <c r="B31" s="641" t="s">
        <v>569</v>
      </c>
      <c r="C31" s="663"/>
      <c r="D31" s="664"/>
      <c r="E31" s="671">
        <f>0.043774/3.6</f>
        <v>1.2159444444444445E-2</v>
      </c>
      <c r="H31" s="788"/>
      <c r="I31" s="788"/>
      <c r="J31" s="788"/>
    </row>
    <row r="32" spans="1:10">
      <c r="A32" s="649" t="s">
        <v>579</v>
      </c>
      <c r="B32" s="641" t="s">
        <v>568</v>
      </c>
      <c r="C32" s="663"/>
      <c r="D32" s="664"/>
      <c r="E32" s="671">
        <f>E33*0.52</f>
        <v>6.7259111111111118E-3</v>
      </c>
      <c r="H32" s="788"/>
    </row>
    <row r="33" spans="1:8">
      <c r="A33" s="649" t="s">
        <v>579</v>
      </c>
      <c r="B33" s="641" t="s">
        <v>569</v>
      </c>
      <c r="C33" s="663"/>
      <c r="D33" s="664"/>
      <c r="E33" s="671">
        <f>0.046564/3.6</f>
        <v>1.2934444444444445E-2</v>
      </c>
      <c r="H33" s="788"/>
    </row>
    <row r="34" spans="1:8">
      <c r="A34" s="649" t="s">
        <v>580</v>
      </c>
      <c r="B34" s="641" t="s">
        <v>568</v>
      </c>
      <c r="C34" s="663"/>
      <c r="D34" s="664"/>
      <c r="E34" s="671">
        <f>E35*0.175</f>
        <v>2.3333333333333331E-3</v>
      </c>
      <c r="H34" s="788"/>
    </row>
    <row r="35" spans="1:8">
      <c r="A35" s="649" t="s">
        <v>580</v>
      </c>
      <c r="B35" s="641" t="s">
        <v>569</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593</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805</v>
      </c>
      <c r="C21" s="131" t="s">
        <v>561</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531</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531</v>
      </c>
      <c r="B4" s="326"/>
      <c r="C4" s="326"/>
      <c r="D4" s="326"/>
      <c r="E4" s="326"/>
      <c r="F4" s="326"/>
    </row>
    <row r="5" spans="1:6" ht="22.5">
      <c r="A5" s="1303" t="s">
        <v>532</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35942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611</v>
      </c>
      <c r="D12" s="327"/>
      <c r="E12" s="327"/>
      <c r="F12" s="331"/>
    </row>
    <row r="13" spans="1:6" ht="16.5" thickTop="1" thickBot="1">
      <c r="A13" s="1309" t="s">
        <v>4</v>
      </c>
      <c r="B13" s="1310" t="s">
        <v>5</v>
      </c>
      <c r="C13" s="1310"/>
      <c r="D13" s="1310"/>
      <c r="E13" s="1310"/>
      <c r="F13" s="1311"/>
    </row>
    <row r="14" spans="1:6">
      <c r="A14" s="1312" t="s">
        <v>657</v>
      </c>
      <c r="B14" s="1313">
        <v>3204.65</v>
      </c>
      <c r="C14" s="326"/>
      <c r="D14" s="326"/>
      <c r="E14" s="326"/>
      <c r="F14" s="326"/>
    </row>
    <row r="15" spans="1:6">
      <c r="A15" s="1312" t="s">
        <v>183</v>
      </c>
      <c r="B15" s="1313">
        <v>3506</v>
      </c>
      <c r="C15" s="326"/>
      <c r="D15" s="326"/>
      <c r="E15" s="326"/>
      <c r="F15" s="326"/>
    </row>
    <row r="16" spans="1:6">
      <c r="A16" s="1312" t="s">
        <v>6</v>
      </c>
      <c r="B16" s="1313">
        <v>603</v>
      </c>
      <c r="C16" s="326"/>
      <c r="D16" s="326"/>
      <c r="E16" s="326"/>
      <c r="F16" s="326"/>
    </row>
    <row r="17" spans="1:6">
      <c r="A17" s="1312" t="s">
        <v>7</v>
      </c>
      <c r="B17" s="1313">
        <v>387</v>
      </c>
      <c r="C17" s="326"/>
      <c r="D17" s="326"/>
      <c r="E17" s="326"/>
      <c r="F17" s="326"/>
    </row>
    <row r="18" spans="1:6">
      <c r="A18" s="1312" t="s">
        <v>8</v>
      </c>
      <c r="B18" s="1313">
        <v>634</v>
      </c>
      <c r="C18" s="326"/>
      <c r="D18" s="326"/>
      <c r="E18" s="326"/>
      <c r="F18" s="326"/>
    </row>
    <row r="19" spans="1:6">
      <c r="A19" s="1312" t="s">
        <v>9</v>
      </c>
      <c r="B19" s="1313">
        <v>607</v>
      </c>
      <c r="C19" s="326"/>
      <c r="D19" s="326"/>
      <c r="E19" s="326"/>
      <c r="F19" s="326"/>
    </row>
    <row r="20" spans="1:6">
      <c r="A20" s="1312" t="s">
        <v>10</v>
      </c>
      <c r="B20" s="1313">
        <v>510</v>
      </c>
      <c r="C20" s="326"/>
      <c r="D20" s="326"/>
      <c r="E20" s="326"/>
      <c r="F20" s="326"/>
    </row>
    <row r="21" spans="1:6">
      <c r="A21" s="1312" t="s">
        <v>11</v>
      </c>
      <c r="B21" s="1313">
        <v>878</v>
      </c>
      <c r="C21" s="326"/>
      <c r="D21" s="326"/>
      <c r="E21" s="326"/>
      <c r="F21" s="326"/>
    </row>
    <row r="22" spans="1:6">
      <c r="A22" s="1312" t="s">
        <v>12</v>
      </c>
      <c r="B22" s="1313">
        <v>3855</v>
      </c>
      <c r="C22" s="326"/>
      <c r="D22" s="326"/>
      <c r="E22" s="326"/>
      <c r="F22" s="326"/>
    </row>
    <row r="23" spans="1:6">
      <c r="A23" s="1312" t="s">
        <v>13</v>
      </c>
      <c r="B23" s="1313">
        <v>49</v>
      </c>
      <c r="C23" s="326"/>
      <c r="D23" s="326"/>
      <c r="E23" s="326"/>
      <c r="F23" s="326"/>
    </row>
    <row r="24" spans="1:6">
      <c r="A24" s="1312" t="s">
        <v>14</v>
      </c>
      <c r="B24" s="1313">
        <v>4</v>
      </c>
      <c r="C24" s="326"/>
      <c r="D24" s="326"/>
      <c r="E24" s="326"/>
      <c r="F24" s="326"/>
    </row>
    <row r="25" spans="1:6">
      <c r="A25" s="1312" t="s">
        <v>15</v>
      </c>
      <c r="B25" s="1313">
        <v>323</v>
      </c>
      <c r="C25" s="326"/>
      <c r="D25" s="326"/>
      <c r="E25" s="326"/>
      <c r="F25" s="326"/>
    </row>
    <row r="26" spans="1:6">
      <c r="A26" s="1312" t="s">
        <v>16</v>
      </c>
      <c r="B26" s="1313">
        <v>1492</v>
      </c>
      <c r="C26" s="326"/>
      <c r="D26" s="326"/>
      <c r="E26" s="326"/>
      <c r="F26" s="326"/>
    </row>
    <row r="27" spans="1:6">
      <c r="A27" s="1312" t="s">
        <v>17</v>
      </c>
      <c r="B27" s="1313">
        <v>292</v>
      </c>
      <c r="C27" s="326"/>
      <c r="D27" s="326"/>
      <c r="E27" s="326"/>
      <c r="F27" s="326"/>
    </row>
    <row r="28" spans="1:6" s="43" customFormat="1">
      <c r="A28" s="1314" t="s">
        <v>18</v>
      </c>
      <c r="B28" s="1315">
        <v>44915</v>
      </c>
      <c r="C28" s="332"/>
      <c r="D28" s="332"/>
      <c r="E28" s="332"/>
      <c r="F28" s="332"/>
    </row>
    <row r="29" spans="1:6">
      <c r="A29" s="1314" t="s">
        <v>686</v>
      </c>
      <c r="B29" s="1315">
        <v>405</v>
      </c>
      <c r="C29" s="332"/>
      <c r="D29" s="332"/>
      <c r="E29" s="332"/>
      <c r="F29" s="332"/>
    </row>
    <row r="30" spans="1:6">
      <c r="A30" s="1307" t="s">
        <v>687</v>
      </c>
      <c r="B30" s="1316">
        <v>109</v>
      </c>
      <c r="C30" s="329"/>
      <c r="D30" s="329"/>
      <c r="E30" s="329"/>
      <c r="F30" s="329"/>
    </row>
    <row r="31" spans="1:6" ht="15.75" thickBot="1">
      <c r="A31" s="330"/>
      <c r="B31" s="326"/>
      <c r="C31" s="326"/>
      <c r="D31" s="326"/>
      <c r="E31" s="326"/>
      <c r="F31" s="326"/>
    </row>
    <row r="32" spans="1:6" ht="20.25" thickBot="1">
      <c r="A32" s="1304" t="s">
        <v>19</v>
      </c>
      <c r="B32" s="327" t="s">
        <v>384</v>
      </c>
      <c r="C32" s="327" t="s">
        <v>765</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69</v>
      </c>
      <c r="D36" s="1313">
        <v>15071450.193</v>
      </c>
      <c r="E36" s="1313">
        <v>317</v>
      </c>
      <c r="F36" s="1313">
        <v>8126430.1499999901</v>
      </c>
    </row>
    <row r="37" spans="1:6">
      <c r="A37" s="1312" t="s">
        <v>24</v>
      </c>
      <c r="B37" s="1312" t="s">
        <v>27</v>
      </c>
      <c r="C37" s="1313">
        <v>0</v>
      </c>
      <c r="D37" s="1313">
        <v>0</v>
      </c>
      <c r="E37" s="1313">
        <v>0</v>
      </c>
      <c r="F37" s="1313">
        <v>0</v>
      </c>
    </row>
    <row r="38" spans="1:6">
      <c r="A38" s="1312" t="s">
        <v>24</v>
      </c>
      <c r="B38" s="1312" t="s">
        <v>28</v>
      </c>
      <c r="C38" s="1313">
        <v>0</v>
      </c>
      <c r="D38" s="1313">
        <v>0</v>
      </c>
      <c r="E38" s="1313">
        <v>0</v>
      </c>
      <c r="F38" s="1313">
        <v>0</v>
      </c>
    </row>
    <row r="39" spans="1:6">
      <c r="A39" s="1312" t="s">
        <v>29</v>
      </c>
      <c r="B39" s="1312" t="s">
        <v>30</v>
      </c>
      <c r="C39" s="1313">
        <v>25149</v>
      </c>
      <c r="D39" s="1313">
        <v>344071732.79699701</v>
      </c>
      <c r="E39" s="1313">
        <v>36539</v>
      </c>
      <c r="F39" s="1313">
        <v>106266571.483</v>
      </c>
    </row>
    <row r="40" spans="1:6">
      <c r="A40" s="1312" t="s">
        <v>29</v>
      </c>
      <c r="B40" s="1312" t="s">
        <v>28</v>
      </c>
      <c r="C40" s="1313">
        <v>0</v>
      </c>
      <c r="D40" s="1313">
        <v>0</v>
      </c>
      <c r="E40" s="1313">
        <v>1</v>
      </c>
      <c r="F40" s="1313">
        <v>6293.64</v>
      </c>
    </row>
    <row r="41" spans="1:6">
      <c r="A41" s="1312" t="s">
        <v>31</v>
      </c>
      <c r="B41" s="1312" t="s">
        <v>32</v>
      </c>
      <c r="C41" s="1313">
        <v>349</v>
      </c>
      <c r="D41" s="1313">
        <v>28031543.945999999</v>
      </c>
      <c r="E41" s="1313">
        <v>750</v>
      </c>
      <c r="F41" s="1313">
        <v>36096058.423</v>
      </c>
    </row>
    <row r="42" spans="1:6">
      <c r="A42" s="1312" t="s">
        <v>31</v>
      </c>
      <c r="B42" s="1312" t="s">
        <v>33</v>
      </c>
      <c r="C42" s="1313">
        <v>7</v>
      </c>
      <c r="D42" s="1313">
        <v>1754425.9509999999</v>
      </c>
      <c r="E42" s="1313">
        <v>7</v>
      </c>
      <c r="F42" s="1313">
        <v>1930086.9580000001</v>
      </c>
    </row>
    <row r="43" spans="1:6">
      <c r="A43" s="1312" t="s">
        <v>31</v>
      </c>
      <c r="B43" s="1312" t="s">
        <v>34</v>
      </c>
      <c r="C43" s="1313">
        <v>0</v>
      </c>
      <c r="D43" s="1313">
        <v>0</v>
      </c>
      <c r="E43" s="1313">
        <v>0</v>
      </c>
      <c r="F43" s="1313">
        <v>0</v>
      </c>
    </row>
    <row r="44" spans="1:6">
      <c r="A44" s="1312" t="s">
        <v>31</v>
      </c>
      <c r="B44" s="1312" t="s">
        <v>35</v>
      </c>
      <c r="C44" s="1313">
        <v>36</v>
      </c>
      <c r="D44" s="1313">
        <v>5640919.4689999996</v>
      </c>
      <c r="E44" s="1313">
        <v>75</v>
      </c>
      <c r="F44" s="1313">
        <v>4195555.9529999997</v>
      </c>
    </row>
    <row r="45" spans="1:6">
      <c r="A45" s="1312" t="s">
        <v>31</v>
      </c>
      <c r="B45" s="1312" t="s">
        <v>36</v>
      </c>
      <c r="C45" s="1313">
        <v>6</v>
      </c>
      <c r="D45" s="1313">
        <v>42453970.526000001</v>
      </c>
      <c r="E45" s="1313">
        <v>12</v>
      </c>
      <c r="F45" s="1313">
        <v>9285265.4069999997</v>
      </c>
    </row>
    <row r="46" spans="1:6">
      <c r="A46" s="1312" t="s">
        <v>31</v>
      </c>
      <c r="B46" s="1312" t="s">
        <v>37</v>
      </c>
      <c r="C46" s="1313">
        <v>0</v>
      </c>
      <c r="D46" s="1313">
        <v>0</v>
      </c>
      <c r="E46" s="1313">
        <v>0</v>
      </c>
      <c r="F46" s="1313">
        <v>0</v>
      </c>
    </row>
    <row r="47" spans="1:6">
      <c r="A47" s="1312" t="s">
        <v>31</v>
      </c>
      <c r="B47" s="1312" t="s">
        <v>38</v>
      </c>
      <c r="C47" s="1313">
        <v>15</v>
      </c>
      <c r="D47" s="1313">
        <v>1115387.9380000001</v>
      </c>
      <c r="E47" s="1313">
        <v>32</v>
      </c>
      <c r="F47" s="1313">
        <v>1773504.2420000001</v>
      </c>
    </row>
    <row r="48" spans="1:6">
      <c r="A48" s="1312" t="s">
        <v>31</v>
      </c>
      <c r="B48" s="1312" t="s">
        <v>28</v>
      </c>
      <c r="C48" s="1313">
        <v>1</v>
      </c>
      <c r="D48" s="1313">
        <v>29289.751</v>
      </c>
      <c r="E48" s="1313">
        <v>2</v>
      </c>
      <c r="F48" s="1313">
        <v>66233.710000000006</v>
      </c>
    </row>
    <row r="49" spans="1:6">
      <c r="A49" s="1312" t="s">
        <v>31</v>
      </c>
      <c r="B49" s="1312" t="s">
        <v>39</v>
      </c>
      <c r="C49" s="1313">
        <v>13</v>
      </c>
      <c r="D49" s="1313">
        <v>214421.03099999999</v>
      </c>
      <c r="E49" s="1313">
        <v>18</v>
      </c>
      <c r="F49" s="1313">
        <v>158968.68100000001</v>
      </c>
    </row>
    <row r="50" spans="1:6">
      <c r="A50" s="1312" t="s">
        <v>31</v>
      </c>
      <c r="B50" s="1312" t="s">
        <v>40</v>
      </c>
      <c r="C50" s="1313">
        <v>43</v>
      </c>
      <c r="D50" s="1313">
        <v>8620699.2080000006</v>
      </c>
      <c r="E50" s="1313">
        <v>61</v>
      </c>
      <c r="F50" s="1313">
        <v>12416936.514</v>
      </c>
    </row>
    <row r="51" spans="1:6">
      <c r="A51" s="1312" t="s">
        <v>41</v>
      </c>
      <c r="B51" s="1312" t="s">
        <v>42</v>
      </c>
      <c r="C51" s="1313">
        <v>23</v>
      </c>
      <c r="D51" s="1313">
        <v>1381031.625</v>
      </c>
      <c r="E51" s="1313">
        <v>114</v>
      </c>
      <c r="F51" s="1313">
        <v>1764689.355</v>
      </c>
    </row>
    <row r="52" spans="1:6">
      <c r="A52" s="1312" t="s">
        <v>41</v>
      </c>
      <c r="B52" s="1312" t="s">
        <v>28</v>
      </c>
      <c r="C52" s="1313">
        <v>0</v>
      </c>
      <c r="D52" s="1313">
        <v>0</v>
      </c>
      <c r="E52" s="1313">
        <v>0</v>
      </c>
      <c r="F52" s="1313">
        <v>0</v>
      </c>
    </row>
    <row r="53" spans="1:6">
      <c r="A53" s="1312" t="s">
        <v>43</v>
      </c>
      <c r="B53" s="1312" t="s">
        <v>44</v>
      </c>
      <c r="C53" s="1313">
        <v>335</v>
      </c>
      <c r="D53" s="1313">
        <v>15927834.148</v>
      </c>
      <c r="E53" s="1313">
        <v>1053</v>
      </c>
      <c r="F53" s="1313">
        <v>6755426.1469999999</v>
      </c>
    </row>
    <row r="54" spans="1:6">
      <c r="A54" s="1312" t="s">
        <v>45</v>
      </c>
      <c r="B54" s="1312" t="s">
        <v>46</v>
      </c>
      <c r="C54" s="1313">
        <v>0</v>
      </c>
      <c r="D54" s="1313">
        <v>0</v>
      </c>
      <c r="E54" s="1313">
        <v>3</v>
      </c>
      <c r="F54" s="1313">
        <v>5312341.659</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330</v>
      </c>
      <c r="D57" s="1313">
        <v>21192890.234000001</v>
      </c>
      <c r="E57" s="1313">
        <v>566</v>
      </c>
      <c r="F57" s="1313">
        <v>17008860.702</v>
      </c>
    </row>
    <row r="58" spans="1:6">
      <c r="A58" s="1312" t="s">
        <v>48</v>
      </c>
      <c r="B58" s="1312" t="s">
        <v>50</v>
      </c>
      <c r="C58" s="1313">
        <v>312</v>
      </c>
      <c r="D58" s="1313">
        <v>47526784.391999997</v>
      </c>
      <c r="E58" s="1313">
        <v>433</v>
      </c>
      <c r="F58" s="1313">
        <v>17968327.999000002</v>
      </c>
    </row>
    <row r="59" spans="1:6">
      <c r="A59" s="1312" t="s">
        <v>48</v>
      </c>
      <c r="B59" s="1312" t="s">
        <v>51</v>
      </c>
      <c r="C59" s="1313">
        <v>750</v>
      </c>
      <c r="D59" s="1313">
        <v>39554466.546999998</v>
      </c>
      <c r="E59" s="1313">
        <v>1320</v>
      </c>
      <c r="F59" s="1313">
        <v>58463959.601000004</v>
      </c>
    </row>
    <row r="60" spans="1:6">
      <c r="A60" s="1312" t="s">
        <v>48</v>
      </c>
      <c r="B60" s="1312" t="s">
        <v>52</v>
      </c>
      <c r="C60" s="1313">
        <v>410</v>
      </c>
      <c r="D60" s="1313">
        <v>35216063.799000002</v>
      </c>
      <c r="E60" s="1313">
        <v>493</v>
      </c>
      <c r="F60" s="1313">
        <v>20614457.083999999</v>
      </c>
    </row>
    <row r="61" spans="1:6">
      <c r="A61" s="1312" t="s">
        <v>48</v>
      </c>
      <c r="B61" s="1312" t="s">
        <v>53</v>
      </c>
      <c r="C61" s="1313">
        <v>1237</v>
      </c>
      <c r="D61" s="1313">
        <v>68171131.237000003</v>
      </c>
      <c r="E61" s="1313">
        <v>2429</v>
      </c>
      <c r="F61" s="1313">
        <v>62356446.252999999</v>
      </c>
    </row>
    <row r="62" spans="1:6">
      <c r="A62" s="1312" t="s">
        <v>48</v>
      </c>
      <c r="B62" s="1312" t="s">
        <v>54</v>
      </c>
      <c r="C62" s="1313">
        <v>100</v>
      </c>
      <c r="D62" s="1313">
        <v>23607401.548999999</v>
      </c>
      <c r="E62" s="1313">
        <v>111</v>
      </c>
      <c r="F62" s="1313">
        <v>10792102.619999999</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1</v>
      </c>
      <c r="D65" s="1313">
        <v>19951.451000000001</v>
      </c>
      <c r="E65" s="1313">
        <v>2</v>
      </c>
      <c r="F65" s="1313">
        <v>5697.9939999999997</v>
      </c>
    </row>
    <row r="66" spans="1:6">
      <c r="A66" s="1312" t="s">
        <v>55</v>
      </c>
      <c r="B66" s="1312" t="s">
        <v>57</v>
      </c>
      <c r="C66" s="1313">
        <v>4</v>
      </c>
      <c r="D66" s="1313">
        <v>1898458.0859999999</v>
      </c>
      <c r="E66" s="1313">
        <v>90</v>
      </c>
      <c r="F66" s="1313">
        <v>2732958.486</v>
      </c>
    </row>
    <row r="67" spans="1:6">
      <c r="A67" s="1314" t="s">
        <v>55</v>
      </c>
      <c r="B67" s="1314" t="s">
        <v>58</v>
      </c>
      <c r="C67" s="1313">
        <v>0</v>
      </c>
      <c r="D67" s="1313">
        <v>0</v>
      </c>
      <c r="E67" s="1313">
        <v>0</v>
      </c>
      <c r="F67" s="1313">
        <v>0</v>
      </c>
    </row>
    <row r="68" spans="1:6">
      <c r="A68" s="1307" t="s">
        <v>55</v>
      </c>
      <c r="B68" s="1307" t="s">
        <v>59</v>
      </c>
      <c r="C68" s="1316">
        <v>18</v>
      </c>
      <c r="D68" s="1316">
        <v>958429.58499999996</v>
      </c>
      <c r="E68" s="1316">
        <v>42</v>
      </c>
      <c r="F68" s="1316">
        <v>2108912.0290000001</v>
      </c>
    </row>
    <row r="69" spans="1:6" ht="15.75" thickBot="1">
      <c r="A69" s="330"/>
      <c r="B69" s="326"/>
      <c r="C69" s="326"/>
      <c r="D69" s="326"/>
      <c r="E69" s="326"/>
      <c r="F69" s="326"/>
    </row>
    <row r="70" spans="1:6" ht="19.5">
      <c r="A70" s="1304" t="s">
        <v>60</v>
      </c>
      <c r="B70" s="327" t="s">
        <v>389</v>
      </c>
      <c r="C70" s="327" t="s">
        <v>660</v>
      </c>
      <c r="D70" s="327"/>
      <c r="E70" s="327"/>
      <c r="F70" s="331"/>
    </row>
    <row r="71" spans="1:6" ht="20.25" thickBot="1">
      <c r="A71" s="1323"/>
      <c r="B71" s="333"/>
      <c r="C71" s="333"/>
      <c r="D71" s="334" t="s">
        <v>427</v>
      </c>
      <c r="E71" s="333"/>
      <c r="F71" s="335"/>
    </row>
    <row r="72" spans="1:6" ht="16.5" thickTop="1" thickBot="1">
      <c r="A72" s="1309" t="s">
        <v>61</v>
      </c>
      <c r="B72" s="1310" t="s">
        <v>62</v>
      </c>
      <c r="C72" s="1324" t="s">
        <v>656</v>
      </c>
      <c r="D72" s="1325"/>
      <c r="E72" s="1325"/>
      <c r="F72" s="1311"/>
    </row>
    <row r="73" spans="1:6">
      <c r="A73" s="1312" t="s">
        <v>63</v>
      </c>
      <c r="B73" s="1312" t="s">
        <v>639</v>
      </c>
      <c r="C73" s="1326" t="s">
        <v>641</v>
      </c>
      <c r="D73" s="1327">
        <v>386456377</v>
      </c>
      <c r="E73" s="447"/>
      <c r="F73" s="326"/>
    </row>
    <row r="74" spans="1:6">
      <c r="A74" s="1312" t="s">
        <v>63</v>
      </c>
      <c r="B74" s="1312" t="s">
        <v>640</v>
      </c>
      <c r="C74" s="1326" t="s">
        <v>642</v>
      </c>
      <c r="D74" s="1327">
        <v>27565318.872730479</v>
      </c>
      <c r="E74" s="447"/>
      <c r="F74" s="326"/>
    </row>
    <row r="75" spans="1:6">
      <c r="A75" s="1312" t="s">
        <v>64</v>
      </c>
      <c r="B75" s="1312" t="s">
        <v>639</v>
      </c>
      <c r="C75" s="1326" t="s">
        <v>643</v>
      </c>
      <c r="D75" s="1327">
        <v>107510524</v>
      </c>
      <c r="E75" s="447"/>
      <c r="F75" s="326"/>
    </row>
    <row r="76" spans="1:6">
      <c r="A76" s="1312" t="s">
        <v>64</v>
      </c>
      <c r="B76" s="1312" t="s">
        <v>640</v>
      </c>
      <c r="C76" s="1326" t="s">
        <v>644</v>
      </c>
      <c r="D76" s="1327">
        <v>463011.87273048004</v>
      </c>
      <c r="E76" s="447"/>
      <c r="F76" s="326"/>
    </row>
    <row r="77" spans="1:6">
      <c r="A77" s="1312" t="s">
        <v>65</v>
      </c>
      <c r="B77" s="1312" t="s">
        <v>639</v>
      </c>
      <c r="C77" s="1326" t="s">
        <v>645</v>
      </c>
      <c r="D77" s="1327">
        <v>236145299</v>
      </c>
      <c r="E77" s="447"/>
      <c r="F77" s="326"/>
    </row>
    <row r="78" spans="1:6">
      <c r="A78" s="1307" t="s">
        <v>65</v>
      </c>
      <c r="B78" s="1307" t="s">
        <v>640</v>
      </c>
      <c r="C78" s="1307" t="s">
        <v>646</v>
      </c>
      <c r="D78" s="1328">
        <v>24363427</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4616476.2545390399</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533</v>
      </c>
      <c r="B90" s="1313">
        <v>17822.59468353456</v>
      </c>
      <c r="C90" s="326"/>
      <c r="D90" s="326"/>
      <c r="E90" s="326"/>
      <c r="F90" s="326"/>
    </row>
    <row r="91" spans="1:6">
      <c r="A91" s="1312" t="s">
        <v>67</v>
      </c>
      <c r="B91" s="1313">
        <v>21015.854337715529</v>
      </c>
      <c r="C91" s="326"/>
      <c r="D91" s="326"/>
      <c r="E91" s="326"/>
      <c r="F91" s="326"/>
    </row>
    <row r="92" spans="1:6">
      <c r="A92" s="1307" t="s">
        <v>68</v>
      </c>
      <c r="B92" s="1308">
        <v>10151.199593393669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12607</v>
      </c>
      <c r="C97" s="326"/>
      <c r="D97" s="326"/>
      <c r="E97" s="326"/>
      <c r="F97" s="326"/>
    </row>
    <row r="98" spans="1:6">
      <c r="A98" s="1312" t="s">
        <v>71</v>
      </c>
      <c r="B98" s="1313">
        <v>2</v>
      </c>
      <c r="C98" s="326"/>
      <c r="D98" s="326"/>
      <c r="E98" s="326"/>
      <c r="F98" s="326"/>
    </row>
    <row r="99" spans="1:6">
      <c r="A99" s="1312" t="s">
        <v>72</v>
      </c>
      <c r="B99" s="1313">
        <v>137</v>
      </c>
      <c r="C99" s="326"/>
      <c r="D99" s="326"/>
      <c r="E99" s="326"/>
      <c r="F99" s="326"/>
    </row>
    <row r="100" spans="1:6">
      <c r="A100" s="1312" t="s">
        <v>73</v>
      </c>
      <c r="B100" s="1313">
        <v>1808</v>
      </c>
      <c r="C100" s="326"/>
      <c r="D100" s="326"/>
      <c r="E100" s="326"/>
      <c r="F100" s="326"/>
    </row>
    <row r="101" spans="1:6">
      <c r="A101" s="1312" t="s">
        <v>74</v>
      </c>
      <c r="B101" s="1313">
        <v>132</v>
      </c>
      <c r="C101" s="326"/>
      <c r="D101" s="326"/>
      <c r="E101" s="326"/>
      <c r="F101" s="326"/>
    </row>
    <row r="102" spans="1:6">
      <c r="A102" s="1312" t="s">
        <v>75</v>
      </c>
      <c r="B102" s="1313">
        <v>416</v>
      </c>
      <c r="C102" s="326"/>
      <c r="D102" s="326"/>
      <c r="E102" s="326"/>
      <c r="F102" s="326"/>
    </row>
    <row r="103" spans="1:6">
      <c r="A103" s="1312" t="s">
        <v>76</v>
      </c>
      <c r="B103" s="1313">
        <v>298</v>
      </c>
      <c r="C103" s="326"/>
      <c r="D103" s="326"/>
      <c r="E103" s="326"/>
      <c r="F103" s="326"/>
    </row>
    <row r="104" spans="1:6">
      <c r="A104" s="1312" t="s">
        <v>77</v>
      </c>
      <c r="B104" s="1313">
        <v>12509</v>
      </c>
      <c r="C104" s="326"/>
      <c r="D104" s="326"/>
      <c r="E104" s="326"/>
      <c r="F104" s="326"/>
    </row>
    <row r="105" spans="1:6">
      <c r="A105" s="1307" t="s">
        <v>78</v>
      </c>
      <c r="B105" s="1316">
        <v>11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629</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630</v>
      </c>
      <c r="B110" s="1313">
        <v>0</v>
      </c>
      <c r="C110" s="326"/>
      <c r="D110" s="326"/>
      <c r="E110" s="326"/>
      <c r="F110" s="326"/>
    </row>
    <row r="111" spans="1:6">
      <c r="A111" s="1333" t="s">
        <v>631</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12</v>
      </c>
      <c r="C121" s="1313">
        <v>0</v>
      </c>
      <c r="D121" s="326"/>
      <c r="E121" s="326"/>
      <c r="F121" s="326"/>
    </row>
    <row r="122" spans="1:6">
      <c r="A122" s="1312" t="s">
        <v>86</v>
      </c>
      <c r="B122" s="1313">
        <v>0</v>
      </c>
      <c r="C122" s="1313">
        <v>0</v>
      </c>
      <c r="D122" s="326"/>
      <c r="E122" s="326"/>
      <c r="F122" s="326"/>
    </row>
    <row r="123" spans="1:6">
      <c r="A123" s="1312" t="s">
        <v>87</v>
      </c>
      <c r="B123" s="1313">
        <v>206</v>
      </c>
      <c r="C123" s="1313">
        <v>206</v>
      </c>
      <c r="D123" s="326"/>
      <c r="E123" s="326"/>
      <c r="F123" s="326"/>
    </row>
    <row r="124" spans="1:6" s="43" customFormat="1">
      <c r="A124" s="1314" t="s">
        <v>88</v>
      </c>
      <c r="B124" s="1335">
        <v>10</v>
      </c>
      <c r="C124" s="1335">
        <v>11</v>
      </c>
      <c r="D124" s="332"/>
      <c r="E124" s="332"/>
      <c r="F124" s="332"/>
    </row>
    <row r="125" spans="1:6">
      <c r="A125" s="1307" t="s">
        <v>788</v>
      </c>
      <c r="B125" s="1335">
        <v>1</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618</v>
      </c>
      <c r="C129" s="326"/>
      <c r="D129" s="326"/>
      <c r="E129" s="326"/>
      <c r="F129" s="326"/>
    </row>
    <row r="130" spans="1:6">
      <c r="A130" s="1312" t="s">
        <v>290</v>
      </c>
      <c r="B130" s="1313">
        <v>8</v>
      </c>
      <c r="C130" s="326"/>
      <c r="D130" s="326"/>
      <c r="E130" s="326"/>
      <c r="F130" s="326"/>
    </row>
    <row r="131" spans="1:6">
      <c r="A131" s="1312" t="s">
        <v>291</v>
      </c>
      <c r="B131" s="1313">
        <v>10</v>
      </c>
      <c r="C131" s="326"/>
      <c r="D131" s="326"/>
      <c r="E131" s="326"/>
      <c r="F131" s="326"/>
    </row>
    <row r="132" spans="1:6">
      <c r="A132" s="1307" t="s">
        <v>292</v>
      </c>
      <c r="B132" s="1308">
        <v>145</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807</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763</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807</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782</v>
      </c>
      <c r="B41" s="510">
        <v>0.08</v>
      </c>
      <c r="E41" s="645"/>
      <c r="F41" s="645"/>
      <c r="G41" s="907"/>
      <c r="H41" s="907"/>
    </row>
    <row r="42" spans="1:14" s="1044" customFormat="1">
      <c r="A42" s="118" t="s">
        <v>783</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809</v>
      </c>
      <c r="B46" s="506"/>
      <c r="E46" s="645"/>
      <c r="F46" s="645"/>
    </row>
    <row r="47" spans="1:14">
      <c r="A47" s="44"/>
      <c r="B47" s="506"/>
      <c r="E47" s="645"/>
      <c r="F47" s="645"/>
    </row>
    <row r="48" spans="1:14" ht="18">
      <c r="A48" s="137" t="s">
        <v>189</v>
      </c>
      <c r="B48" s="507" t="s">
        <v>559</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610</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808</v>
      </c>
    </row>
    <row r="5" spans="1:3" ht="15.75" thickBot="1">
      <c r="A5" s="918" t="s">
        <v>609</v>
      </c>
      <c r="B5" s="924">
        <v>674939.59000000008</v>
      </c>
      <c r="C5" s="925" t="s">
        <v>811</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403633.257694275</v>
      </c>
      <c r="C3" s="43" t="s">
        <v>169</v>
      </c>
      <c r="D3" s="43"/>
      <c r="E3" s="154"/>
      <c r="F3" s="43"/>
      <c r="G3" s="43"/>
      <c r="H3" s="43"/>
      <c r="I3" s="43"/>
      <c r="J3" s="43"/>
      <c r="K3" s="96"/>
    </row>
    <row r="4" spans="1:11">
      <c r="A4" s="354" t="s">
        <v>170</v>
      </c>
      <c r="B4" s="49">
        <f>IF(ISERROR('SEAP template'!B78+'SEAP template'!C78),0,'SEAP template'!B78+'SEAP template'!C78)</f>
        <v>56566.298614643762</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680</v>
      </c>
      <c r="G6" s="43" t="s">
        <v>685</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1506.4803529411765</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0.19376073903399008</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2152.1147899159669</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9055.9285714285706</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0.23764705882352949</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656</v>
      </c>
      <c r="B1" s="884" t="s">
        <v>303</v>
      </c>
      <c r="C1" s="884" t="s">
        <v>307</v>
      </c>
      <c r="D1" s="884" t="s">
        <v>308</v>
      </c>
      <c r="E1" s="884" t="s">
        <v>309</v>
      </c>
      <c r="F1" s="884" t="s">
        <v>310</v>
      </c>
      <c r="H1" s="917" t="s">
        <v>815</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639</v>
      </c>
      <c r="C3" s="310" t="s">
        <v>64</v>
      </c>
      <c r="D3" s="310" t="s">
        <v>816</v>
      </c>
      <c r="E3" s="310" t="s">
        <v>817</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639</v>
      </c>
      <c r="C4" s="310" t="s">
        <v>63</v>
      </c>
      <c r="D4" s="310" t="s">
        <v>816</v>
      </c>
      <c r="E4" s="310" t="s">
        <v>817</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639</v>
      </c>
      <c r="C5" s="310" t="s">
        <v>65</v>
      </c>
      <c r="D5" s="310" t="s">
        <v>816</v>
      </c>
      <c r="E5" s="310" t="s">
        <v>817</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639</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639</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639</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640</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640</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640</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655</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655</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655</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639</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639</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639</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639</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639</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639</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639</v>
      </c>
      <c r="C21" s="310" t="s">
        <v>64</v>
      </c>
      <c r="D21" s="310" t="s">
        <v>818</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639</v>
      </c>
      <c r="C22" s="310" t="s">
        <v>64</v>
      </c>
      <c r="D22" s="310" t="s">
        <v>818</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639</v>
      </c>
      <c r="C23" s="310" t="s">
        <v>63</v>
      </c>
      <c r="D23" s="310" t="s">
        <v>818</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639</v>
      </c>
      <c r="C24" s="310" t="s">
        <v>63</v>
      </c>
      <c r="D24" s="310" t="s">
        <v>818</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639</v>
      </c>
      <c r="C25" s="310" t="s">
        <v>65</v>
      </c>
      <c r="D25" s="310" t="s">
        <v>818</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639</v>
      </c>
      <c r="C26" s="310" t="s">
        <v>65</v>
      </c>
      <c r="D26" s="310" t="s">
        <v>818</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639</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639</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639</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639</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639</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639</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639</v>
      </c>
      <c r="C33" s="310" t="s">
        <v>64</v>
      </c>
      <c r="D33" s="310" t="s">
        <v>820</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639</v>
      </c>
      <c r="C34" s="310" t="s">
        <v>63</v>
      </c>
      <c r="D34" s="310" t="s">
        <v>820</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639</v>
      </c>
      <c r="C35" s="310" t="s">
        <v>65</v>
      </c>
      <c r="D35" s="310" t="s">
        <v>820</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639</v>
      </c>
      <c r="C36" s="310" t="s">
        <v>64</v>
      </c>
      <c r="D36" s="310" t="s">
        <v>819</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639</v>
      </c>
      <c r="C37" s="310" t="s">
        <v>64</v>
      </c>
      <c r="D37" s="310" t="s">
        <v>819</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639</v>
      </c>
      <c r="C38" s="310" t="s">
        <v>63</v>
      </c>
      <c r="D38" s="310" t="s">
        <v>819</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639</v>
      </c>
      <c r="C39" s="310" t="s">
        <v>63</v>
      </c>
      <c r="D39" s="310" t="s">
        <v>819</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639</v>
      </c>
      <c r="C40" s="310" t="s">
        <v>65</v>
      </c>
      <c r="D40" s="310" t="s">
        <v>819</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639</v>
      </c>
      <c r="C41" s="310" t="s">
        <v>65</v>
      </c>
      <c r="D41" s="310" t="s">
        <v>819</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640</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640</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640</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640</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640</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640</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655</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655</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655</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655</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655</v>
      </c>
      <c r="C52" s="310" t="s">
        <v>64</v>
      </c>
      <c r="D52" s="310" t="s">
        <v>818</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655</v>
      </c>
      <c r="C53" s="310" t="s">
        <v>64</v>
      </c>
      <c r="D53" s="310" t="s">
        <v>818</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655</v>
      </c>
      <c r="C54" s="310" t="s">
        <v>63</v>
      </c>
      <c r="D54" s="310" t="s">
        <v>818</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655</v>
      </c>
      <c r="C55" s="310" t="s">
        <v>63</v>
      </c>
      <c r="D55" s="310" t="s">
        <v>818</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843</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637</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5312.3416589999997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5312.3416589999997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0.19376073903399008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1029.3232458488928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106272.865123</v>
      </c>
      <c r="C5" s="17">
        <f>IF(ISERROR('Eigen informatie GS &amp; warmtenet'!B59),0,'Eigen informatie GS &amp; warmtenet'!B59)</f>
        <v>0</v>
      </c>
      <c r="D5" s="30">
        <f>(SUM(HH_hh_gas_kWh,HH_rest_gas_kWh)/1000)*0.903</f>
        <v>310696.77471568831</v>
      </c>
      <c r="E5" s="17">
        <f>B32*B41</f>
        <v>7420.1152327178897</v>
      </c>
      <c r="F5" s="17">
        <f>B36*B45</f>
        <v>162549.5355019345</v>
      </c>
      <c r="G5" s="18"/>
      <c r="H5" s="17"/>
      <c r="I5" s="17"/>
      <c r="J5" s="17">
        <f>B35*B44+C35*C44</f>
        <v>926.38758147912404</v>
      </c>
      <c r="K5" s="17"/>
      <c r="L5" s="17"/>
      <c r="M5" s="17"/>
      <c r="N5" s="17">
        <f>B34*B43+C34*C43</f>
        <v>46699.072923027794</v>
      </c>
      <c r="O5" s="17">
        <f>B52*B53*B54</f>
        <v>1656.6051131881716</v>
      </c>
      <c r="P5" s="17">
        <f>B60*B61*B62/1000-B60*B61*B62/1000/B63</f>
        <v>3802.7593100742934</v>
      </c>
    </row>
    <row r="6" spans="1:16">
      <c r="A6" s="16" t="s">
        <v>605</v>
      </c>
      <c r="B6" s="780">
        <f>kWh_PV_kleiner_dan_10kW</f>
        <v>21015.854337715529</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127288.71946071553</v>
      </c>
      <c r="C8" s="21">
        <f>C5</f>
        <v>0</v>
      </c>
      <c r="D8" s="21">
        <f>D5</f>
        <v>310696.77471568831</v>
      </c>
      <c r="E8" s="21">
        <f>E5</f>
        <v>7420.1152327178897</v>
      </c>
      <c r="F8" s="21">
        <f>F5</f>
        <v>162549.5355019345</v>
      </c>
      <c r="G8" s="21"/>
      <c r="H8" s="21"/>
      <c r="I8" s="21"/>
      <c r="J8" s="21">
        <f>J5</f>
        <v>926.38758147912404</v>
      </c>
      <c r="K8" s="21"/>
      <c r="L8" s="21">
        <f>L5</f>
        <v>0</v>
      </c>
      <c r="M8" s="21">
        <f>M5</f>
        <v>0</v>
      </c>
      <c r="N8" s="21">
        <f>N5</f>
        <v>46699.072923027794</v>
      </c>
      <c r="O8" s="21">
        <f>O5</f>
        <v>1656.6051131881716</v>
      </c>
      <c r="P8" s="21">
        <f>P5</f>
        <v>3802.7593100742934</v>
      </c>
    </row>
    <row r="9" spans="1:16">
      <c r="B9" s="19"/>
      <c r="C9" s="19"/>
      <c r="D9" s="254"/>
      <c r="E9" s="19"/>
      <c r="F9" s="19"/>
      <c r="G9" s="19"/>
      <c r="H9" s="19"/>
      <c r="I9" s="19"/>
      <c r="J9" s="19"/>
      <c r="K9" s="19"/>
      <c r="L9" s="19"/>
      <c r="M9" s="19"/>
      <c r="N9" s="19"/>
      <c r="O9" s="19"/>
      <c r="P9" s="19"/>
    </row>
    <row r="10" spans="1:16">
      <c r="A10" s="24" t="s">
        <v>213</v>
      </c>
      <c r="B10" s="25">
        <f ca="1">'EF ele_warmte'!B12</f>
        <v>0.19376073903399008</v>
      </c>
      <c r="C10" s="25">
        <f ca="1">'EF ele_warmte'!B22</f>
        <v>0.23764705882352949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24663.556353398475</v>
      </c>
      <c r="C12" s="23">
        <f ca="1">C10*C8</f>
        <v>0</v>
      </c>
      <c r="D12" s="23">
        <f>D8*D10</f>
        <v>62760.748492569044</v>
      </c>
      <c r="E12" s="23">
        <f>E10*E8</f>
        <v>1684.3661578269609</v>
      </c>
      <c r="F12" s="23">
        <f>F10*F8</f>
        <v>43400.725979016512</v>
      </c>
      <c r="G12" s="23"/>
      <c r="H12" s="23"/>
      <c r="I12" s="23"/>
      <c r="J12" s="23">
        <f>J10*J8</f>
        <v>327.94120384360991</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869</v>
      </c>
      <c r="B17" s="199" t="s">
        <v>870</v>
      </c>
      <c r="C17" s="199" t="s">
        <v>862</v>
      </c>
      <c r="D17" s="224" t="s">
        <v>181</v>
      </c>
      <c r="E17" s="15"/>
    </row>
    <row r="18" spans="1:5">
      <c r="A18" s="168" t="s">
        <v>77</v>
      </c>
      <c r="B18" s="1069">
        <v>0.67002188661035234</v>
      </c>
      <c r="C18" s="1069"/>
      <c r="D18" s="295" t="s">
        <v>866</v>
      </c>
      <c r="E18" s="15"/>
    </row>
    <row r="19" spans="1:5">
      <c r="A19" s="168" t="s">
        <v>855</v>
      </c>
      <c r="B19" s="1069">
        <v>6.9009110247437878E-3</v>
      </c>
      <c r="C19" s="1069"/>
      <c r="D19" s="226"/>
      <c r="E19" s="15"/>
    </row>
    <row r="20" spans="1:5">
      <c r="A20" s="168" t="s">
        <v>856</v>
      </c>
      <c r="B20" s="1069"/>
      <c r="C20" s="1069"/>
      <c r="D20" s="226"/>
      <c r="E20" s="15"/>
    </row>
    <row r="21" spans="1:5">
      <c r="A21" s="168" t="s">
        <v>857</v>
      </c>
      <c r="B21" s="1069">
        <v>1.5875198693934698E-2</v>
      </c>
      <c r="C21" s="1069"/>
      <c r="D21" s="226"/>
      <c r="E21" s="15"/>
    </row>
    <row r="22" spans="1:5">
      <c r="A22" s="168" t="s">
        <v>858</v>
      </c>
      <c r="B22" s="1069">
        <v>0.25778178561339132</v>
      </c>
      <c r="C22" s="1069"/>
      <c r="D22" s="226"/>
      <c r="E22" s="15"/>
    </row>
    <row r="23" spans="1:5">
      <c r="A23" s="168" t="s">
        <v>78</v>
      </c>
      <c r="B23" s="1069"/>
      <c r="C23" s="1069"/>
      <c r="D23" s="225"/>
      <c r="E23" s="52"/>
    </row>
    <row r="24" spans="1:5">
      <c r="A24" s="168" t="s">
        <v>859</v>
      </c>
      <c r="B24" s="1069">
        <v>4.9420218057577667E-2</v>
      </c>
      <c r="C24" s="1069">
        <v>0.20490593980654417</v>
      </c>
      <c r="D24" s="225"/>
      <c r="E24" s="15"/>
    </row>
    <row r="25" spans="1:5" s="15" customFormat="1">
      <c r="A25" s="168"/>
      <c r="B25" s="29"/>
      <c r="C25" s="29"/>
      <c r="D25" s="225"/>
    </row>
    <row r="26" spans="1:5" s="15" customFormat="1">
      <c r="A26" s="227" t="s">
        <v>867</v>
      </c>
      <c r="B26" s="37">
        <f>aantalHuishoudens</f>
        <v>35942</v>
      </c>
      <c r="C26" s="36"/>
      <c r="D26" s="225"/>
    </row>
    <row r="27" spans="1:5" s="15" customFormat="1">
      <c r="A27" s="227" t="s">
        <v>868</v>
      </c>
      <c r="B27" s="37">
        <f>SUM(HH_hh_gas_aantal,HH_rest_gas_aantal)</f>
        <v>25149</v>
      </c>
      <c r="C27" s="36"/>
      <c r="D27" s="225"/>
    </row>
    <row r="28" spans="1:5" s="15" customFormat="1">
      <c r="A28" s="228"/>
      <c r="B28" s="29"/>
      <c r="C28" s="36"/>
      <c r="D28" s="229"/>
    </row>
    <row r="29" spans="1:5">
      <c r="A29" s="3"/>
      <c r="B29" s="43"/>
      <c r="C29" s="43"/>
      <c r="D29" s="171"/>
    </row>
    <row r="30" spans="1:5">
      <c r="A30" s="169" t="s">
        <v>464</v>
      </c>
      <c r="B30" s="166" t="s">
        <v>861</v>
      </c>
      <c r="C30" s="166" t="s">
        <v>863</v>
      </c>
      <c r="D30" s="171"/>
    </row>
    <row r="31" spans="1:5">
      <c r="A31" s="168" t="s">
        <v>860</v>
      </c>
      <c r="B31" s="33">
        <f>B27-(0.05*B27)</f>
        <v>23891.55</v>
      </c>
      <c r="C31" s="34" t="s">
        <v>110</v>
      </c>
      <c r="D31" s="171"/>
    </row>
    <row r="32" spans="1:5">
      <c r="A32" s="168" t="s">
        <v>72</v>
      </c>
      <c r="B32" s="33">
        <f>IF((B21*($B$26-($B$27-0.05*$B$27)-$B$60))&lt;0,0,(B21*($B$26-($B$27-0.05*$B$27)-$B$60)))</f>
        <v>185.57234137281498</v>
      </c>
      <c r="C32" s="34" t="s">
        <v>110</v>
      </c>
      <c r="D32" s="171"/>
    </row>
    <row r="33" spans="1:6">
      <c r="A33" s="168" t="s">
        <v>73</v>
      </c>
      <c r="B33" s="33">
        <f>IF((B22*($B$26-($B$27-0.05*$B$27)-$B$60))&lt;0,0,B22*($B$26-($B$27-0.05*$B$27)-$B$60))</f>
        <v>3013.3272938384575</v>
      </c>
      <c r="C33" s="34" t="s">
        <v>110</v>
      </c>
      <c r="D33" s="171"/>
    </row>
    <row r="34" spans="1:6">
      <c r="A34" s="168" t="s">
        <v>74</v>
      </c>
      <c r="B34" s="33">
        <f>IF((B24*($B$26-($B$27-0.05*$B$27)-$B$60))&lt;0,0,B24*($B$26-($B$27-0.05*$B$27)-$B$60))</f>
        <v>577.69516797315134</v>
      </c>
      <c r="C34" s="33">
        <f>B26*C24</f>
        <v>7364.7292885268107</v>
      </c>
      <c r="D34" s="230"/>
    </row>
    <row r="35" spans="1:6">
      <c r="A35" s="168" t="s">
        <v>76</v>
      </c>
      <c r="B35" s="33">
        <f>IF((B19*($B$26-($B$27-0.05*$B$27)-$B$60))&lt;0,0,B19*($B$26-($B$27-0.05*$B$27)-$B$60))</f>
        <v>80.667854378191279</v>
      </c>
      <c r="C35" s="33">
        <f>B35/2</f>
        <v>40.33392718909564</v>
      </c>
      <c r="D35" s="230"/>
    </row>
    <row r="36" spans="1:6">
      <c r="A36" s="168" t="s">
        <v>77</v>
      </c>
      <c r="B36" s="33">
        <f>IF((B18*($B$26-($B$27-0.05*$B$27)-$B$60))&lt;0,0,B18*($B$26-($B$27-0.05*$B$27)-$B$60))</f>
        <v>7832.1873424373834</v>
      </c>
      <c r="C36" s="34" t="s">
        <v>110</v>
      </c>
      <c r="D36" s="171"/>
    </row>
    <row r="37" spans="1:6">
      <c r="A37" s="168" t="s">
        <v>78</v>
      </c>
      <c r="B37" s="33">
        <f>B60</f>
        <v>361</v>
      </c>
      <c r="C37" s="34" t="s">
        <v>110</v>
      </c>
      <c r="D37" s="171"/>
    </row>
    <row r="38" spans="1:6">
      <c r="A38" s="3"/>
      <c r="B38" s="43"/>
      <c r="C38" s="43"/>
      <c r="D38" s="171"/>
    </row>
    <row r="39" spans="1:6">
      <c r="A39" s="169" t="s">
        <v>467</v>
      </c>
      <c r="B39" s="165" t="s">
        <v>864</v>
      </c>
      <c r="C39" s="165" t="s">
        <v>865</v>
      </c>
      <c r="D39" s="295" t="s">
        <v>866</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835</v>
      </c>
      <c r="C52" s="43"/>
      <c r="D52" s="170"/>
    </row>
    <row r="53" spans="1:4">
      <c r="A53" s="168" t="s">
        <v>462</v>
      </c>
      <c r="B53" s="309">
        <v>5.3300370073084435</v>
      </c>
      <c r="C53" s="43"/>
      <c r="D53" s="303" t="s">
        <v>773</v>
      </c>
    </row>
    <row r="54" spans="1:4">
      <c r="A54" s="241" t="s">
        <v>463</v>
      </c>
      <c r="B54" s="314">
        <f>1.34/3.6</f>
        <v>0.37222222222222223</v>
      </c>
      <c r="C54" s="43" t="s">
        <v>214</v>
      </c>
      <c r="D54" s="303" t="s">
        <v>774</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361</v>
      </c>
      <c r="C60" s="32"/>
      <c r="D60" s="174"/>
    </row>
    <row r="61" spans="1:4">
      <c r="A61" s="168" t="s">
        <v>432</v>
      </c>
      <c r="B61" s="309">
        <v>8.5956185892968069</v>
      </c>
      <c r="C61" s="32" t="s">
        <v>258</v>
      </c>
      <c r="D61" s="303" t="s">
        <v>773</v>
      </c>
    </row>
    <row r="62" spans="1:4">
      <c r="A62" s="168" t="s">
        <v>433</v>
      </c>
      <c r="B62" s="309">
        <v>1671.14092090028</v>
      </c>
      <c r="C62" s="32" t="s">
        <v>260</v>
      </c>
      <c r="D62" s="303" t="s">
        <v>773</v>
      </c>
    </row>
    <row r="63" spans="1:4">
      <c r="A63" s="168" t="s">
        <v>395</v>
      </c>
      <c r="B63" s="309">
        <v>3.75</v>
      </c>
      <c r="C63" s="43"/>
      <c r="D63" s="303" t="s">
        <v>774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187204.154259</v>
      </c>
      <c r="C5" s="17">
        <f>IF(ISERROR('Eigen informatie GS &amp; warmtenet'!B60),0,'Eigen informatie GS &amp; warmtenet'!B60)</f>
        <v>0</v>
      </c>
      <c r="D5" s="30">
        <f>SUM(D6:D12)</f>
        <v>212447.670195474</v>
      </c>
      <c r="E5" s="17">
        <f>SUM(E6:E12)</f>
        <v>702.70752564131465</v>
      </c>
      <c r="F5" s="17">
        <f>SUM(F6:F12)</f>
        <v>30564.486979219892</v>
      </c>
      <c r="G5" s="18"/>
      <c r="H5" s="17"/>
      <c r="I5" s="17"/>
      <c r="J5" s="17">
        <f>SUM(J6:J12)</f>
        <v>0.17203054466493406</v>
      </c>
      <c r="K5" s="17"/>
      <c r="L5" s="17"/>
      <c r="M5" s="17"/>
      <c r="N5" s="17">
        <f>SUM(N6:N12)</f>
        <v>6781.1629933588174</v>
      </c>
      <c r="O5" s="17">
        <f>B38*B39*B40</f>
        <v>39.178086126729234</v>
      </c>
      <c r="P5" s="17">
        <f>B46*B47*B48/1000-B46*B47*B48/1000/B49</f>
        <v>1208.4001810493855</v>
      </c>
      <c r="R5" s="32"/>
    </row>
    <row r="6" spans="1:18">
      <c r="A6" s="32" t="s">
        <v>53</v>
      </c>
      <c r="B6" s="37">
        <f>B26</f>
        <v>62356.446253000002</v>
      </c>
      <c r="C6" s="33"/>
      <c r="D6" s="37">
        <f>IF(ISERROR(TER_kantoor_gas_kWh/1000),0,TER_kantoor_gas_kWh/1000)*0.903</f>
        <v>61558.531507011008</v>
      </c>
      <c r="E6" s="33">
        <f>$C$26*'E Balans VL '!I12/100/3.6*1000000</f>
        <v>14.857703205933086</v>
      </c>
      <c r="F6" s="33">
        <f>$C$26*('E Balans VL '!L12+'E Balans VL '!N12)/100/3.6*1000000</f>
        <v>5416.2682101085102</v>
      </c>
      <c r="G6" s="34"/>
      <c r="H6" s="33"/>
      <c r="I6" s="33"/>
      <c r="J6" s="33">
        <f>$C$26*('E Balans VL '!D12+'E Balans VL '!E12)/100/3.6*1000000</f>
        <v>0</v>
      </c>
      <c r="K6" s="33"/>
      <c r="L6" s="33"/>
      <c r="M6" s="33"/>
      <c r="N6" s="33">
        <f>$C$26*'E Balans VL '!Y12/100/3.6*1000000</f>
        <v>83.348114096377429</v>
      </c>
      <c r="O6" s="33"/>
      <c r="P6" s="33"/>
      <c r="R6" s="32"/>
    </row>
    <row r="7" spans="1:18">
      <c r="A7" s="32" t="s">
        <v>52</v>
      </c>
      <c r="B7" s="37">
        <f t="shared" ref="B7:B12" si="0">B27</f>
        <v>20614.457083999998</v>
      </c>
      <c r="C7" s="33"/>
      <c r="D7" s="37">
        <f>IF(ISERROR(TER_horeca_gas_kWh/1000),0,TER_horeca_gas_kWh/1000)*0.903</f>
        <v>31800.105610497005</v>
      </c>
      <c r="E7" s="33">
        <f>$C$27*'E Balans VL '!I9/100/3.6*1000000</f>
        <v>0</v>
      </c>
      <c r="F7" s="33">
        <f>$C$27*('E Balans VL '!L9+'E Balans VL '!N9)/100/3.6*1000000</f>
        <v>1679.7051839643877</v>
      </c>
      <c r="G7" s="34"/>
      <c r="H7" s="33"/>
      <c r="I7" s="33"/>
      <c r="J7" s="33">
        <f>$C$27*('E Balans VL '!D9+'E Balans VL '!E9)/100/3.6*1000000</f>
        <v>0</v>
      </c>
      <c r="K7" s="33"/>
      <c r="L7" s="33"/>
      <c r="M7" s="33"/>
      <c r="N7" s="33">
        <f>$C$27*'E Balans VL '!Y9/100/3.6*1000000</f>
        <v>5.7098208256894782</v>
      </c>
      <c r="O7" s="33"/>
      <c r="P7" s="33"/>
      <c r="R7" s="32"/>
    </row>
    <row r="8" spans="1:18">
      <c r="A8" s="6" t="s">
        <v>51</v>
      </c>
      <c r="B8" s="37">
        <f t="shared" si="0"/>
        <v>58463.959601000002</v>
      </c>
      <c r="C8" s="33"/>
      <c r="D8" s="37">
        <f>IF(ISERROR(TER_handel_gas_kWh/1000),0,TER_handel_gas_kWh/1000)*0.903</f>
        <v>35717.683291941001</v>
      </c>
      <c r="E8" s="33">
        <f>$C$28*'E Balans VL '!I13/100/3.6*1000000</f>
        <v>467.33836095965523</v>
      </c>
      <c r="F8" s="33">
        <f>$C$28*('E Balans VL '!L13+'E Balans VL '!N13)/100/3.6*1000000</f>
        <v>5808.0309531820276</v>
      </c>
      <c r="G8" s="34"/>
      <c r="H8" s="33"/>
      <c r="I8" s="33"/>
      <c r="J8" s="33">
        <f>$C$28*('E Balans VL '!D13+'E Balans VL '!E13)/100/3.6*1000000</f>
        <v>0</v>
      </c>
      <c r="K8" s="33"/>
      <c r="L8" s="33"/>
      <c r="M8" s="33"/>
      <c r="N8" s="33">
        <f>$C$28*'E Balans VL '!Y13/100/3.6*1000000</f>
        <v>21.839768917490353</v>
      </c>
      <c r="O8" s="33"/>
      <c r="P8" s="33"/>
      <c r="R8" s="32"/>
    </row>
    <row r="9" spans="1:18">
      <c r="A9" s="32" t="s">
        <v>50</v>
      </c>
      <c r="B9" s="37">
        <f t="shared" si="0"/>
        <v>17968.327999000001</v>
      </c>
      <c r="C9" s="33"/>
      <c r="D9" s="37">
        <f>IF(ISERROR(TER_gezond_gas_kWh/1000),0,TER_gezond_gas_kWh/1000)*0.903</f>
        <v>42916.686305975993</v>
      </c>
      <c r="E9" s="33">
        <f>$C$29*'E Balans VL '!I10/100/3.6*1000000</f>
        <v>0</v>
      </c>
      <c r="F9" s="33">
        <f>$C$29*('E Balans VL '!L10+'E Balans VL '!N10)/100/3.6*1000000</f>
        <v>1638.1059035312953</v>
      </c>
      <c r="G9" s="34"/>
      <c r="H9" s="33"/>
      <c r="I9" s="33"/>
      <c r="J9" s="33">
        <f>$C$29*('E Balans VL '!D10+'E Balans VL '!E10)/100/3.6*1000000</f>
        <v>0</v>
      </c>
      <c r="K9" s="33"/>
      <c r="L9" s="33"/>
      <c r="M9" s="33"/>
      <c r="N9" s="33">
        <f>$C$29*'E Balans VL '!Y10/100/3.6*1000000</f>
        <v>131.33237517508448</v>
      </c>
      <c r="O9" s="33"/>
      <c r="P9" s="33"/>
      <c r="R9" s="32"/>
    </row>
    <row r="10" spans="1:18">
      <c r="A10" s="32" t="s">
        <v>49</v>
      </c>
      <c r="B10" s="37">
        <f t="shared" si="0"/>
        <v>17008.860701999998</v>
      </c>
      <c r="C10" s="33"/>
      <c r="D10" s="37">
        <f>IF(ISERROR(TER_ander_gas_kWh/1000),0,TER_ander_gas_kWh/1000)*0.903</f>
        <v>19137.179881302003</v>
      </c>
      <c r="E10" s="33">
        <f>$C$30*'E Balans VL '!I14/100/3.6*1000000</f>
        <v>220.51146147572635</v>
      </c>
      <c r="F10" s="33">
        <f>$C$30*('E Balans VL '!L14+'E Balans VL '!N14)/100/3.6*1000000</f>
        <v>15599.51335311971</v>
      </c>
      <c r="G10" s="34"/>
      <c r="H10" s="33"/>
      <c r="I10" s="33"/>
      <c r="J10" s="33">
        <f>$C$30*('E Balans VL '!D14+'E Balans VL '!E14)/100/3.6*1000000</f>
        <v>0.17203054466493406</v>
      </c>
      <c r="K10" s="33"/>
      <c r="L10" s="33"/>
      <c r="M10" s="33"/>
      <c r="N10" s="33">
        <f>$C$30*'E Balans VL '!Y14/100/3.6*1000000</f>
        <v>6504.9459167584982</v>
      </c>
      <c r="O10" s="33"/>
      <c r="P10" s="33"/>
      <c r="R10" s="32"/>
    </row>
    <row r="11" spans="1:18">
      <c r="A11" s="32" t="s">
        <v>54</v>
      </c>
      <c r="B11" s="37">
        <f t="shared" si="0"/>
        <v>10792.10262</v>
      </c>
      <c r="C11" s="33"/>
      <c r="D11" s="37">
        <f>IF(ISERROR(TER_onderwijs_gas_kWh/1000),0,TER_onderwijs_gas_kWh/1000)*0.903</f>
        <v>21317.483598747</v>
      </c>
      <c r="E11" s="33">
        <f>$C$31*'E Balans VL '!I11/100/3.6*1000000</f>
        <v>0</v>
      </c>
      <c r="F11" s="33">
        <f>$C$31*('E Balans VL '!L11+'E Balans VL '!N11)/100/3.6*1000000</f>
        <v>422.86337531396163</v>
      </c>
      <c r="G11" s="34"/>
      <c r="H11" s="33"/>
      <c r="I11" s="33"/>
      <c r="J11" s="33">
        <f>$C$31*('E Balans VL '!D11+'E Balans VL '!E11)/100/3.6*1000000</f>
        <v>0</v>
      </c>
      <c r="K11" s="33"/>
      <c r="L11" s="33"/>
      <c r="M11" s="33"/>
      <c r="N11" s="33">
        <f>$C$31*'E Balans VL '!Y11/100/3.6*1000000</f>
        <v>33.986997585677074</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energieproductie'!N47+'lokale energieproductie'!N40</f>
        <v>7351.65</v>
      </c>
      <c r="C13" s="243">
        <f ca="1">'lokale energieproductie'!O47+'lokale energieproductie'!O40</f>
        <v>8734.5</v>
      </c>
      <c r="D13" s="304">
        <f ca="1">('lokale energieproductie'!P40+'lokale energieproductie'!P47)*(-1)</f>
        <v>-17469.000000000004</v>
      </c>
      <c r="E13" s="244"/>
      <c r="F13" s="304">
        <f ca="1">('lokale energieproductie'!S40+'lokale energieproductie'!S47)*(-1)</f>
        <v>0</v>
      </c>
      <c r="G13" s="245"/>
      <c r="H13" s="244"/>
      <c r="I13" s="244"/>
      <c r="J13" s="244"/>
      <c r="K13" s="244"/>
      <c r="L13" s="304">
        <f ca="1">('lokale energieproductie'!U40+'lokale energieproductie'!T40+'lokale energieproductie'!U47+'lokale energieproductie'!T47)*(-1)</f>
        <v>0</v>
      </c>
      <c r="M13" s="244"/>
      <c r="N13" s="304">
        <f ca="1">('lokale energieproductie'!Q40+'lokale energieproductie'!R40+'lokale energieproductie'!V40+'lokale energieproductie'!Q47+'lokale energieproductie'!R47+'lokale energieproductie'!V47)*(-1)</f>
        <v>-3535.7142857142858</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194555.804259</v>
      </c>
      <c r="C16" s="21">
        <f t="shared" ca="1" si="1"/>
        <v>8734.5</v>
      </c>
      <c r="D16" s="21">
        <f t="shared" ca="1" si="1"/>
        <v>194978.670195474</v>
      </c>
      <c r="E16" s="21">
        <f t="shared" si="1"/>
        <v>702.70752564131465</v>
      </c>
      <c r="F16" s="21">
        <f t="shared" ca="1" si="1"/>
        <v>30564.486979219892</v>
      </c>
      <c r="G16" s="21">
        <f t="shared" si="1"/>
        <v>0</v>
      </c>
      <c r="H16" s="21">
        <f t="shared" si="1"/>
        <v>0</v>
      </c>
      <c r="I16" s="21">
        <f t="shared" si="1"/>
        <v>0</v>
      </c>
      <c r="J16" s="21">
        <f t="shared" si="1"/>
        <v>0.17203054466493406</v>
      </c>
      <c r="K16" s="21">
        <f t="shared" si="1"/>
        <v>0</v>
      </c>
      <c r="L16" s="21">
        <f t="shared" ca="1" si="1"/>
        <v>0</v>
      </c>
      <c r="M16" s="21">
        <f t="shared" si="1"/>
        <v>0</v>
      </c>
      <c r="N16" s="21">
        <f t="shared" ca="1" si="1"/>
        <v>3245.4487076445316</v>
      </c>
      <c r="O16" s="21">
        <f>O5</f>
        <v>39.178086126729234</v>
      </c>
      <c r="P16" s="21">
        <f>P5</f>
        <v>1208.4001810493855</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0.19376073903399008</v>
      </c>
      <c r="C18" s="25">
        <f ca="1">'EF ele_warmte'!B22</f>
        <v>0.23764705882352949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37697.276416576155</v>
      </c>
      <c r="C20" s="23">
        <f t="shared" ref="C20:P20" ca="1" si="2">C16*C18</f>
        <v>2075.7282352941183</v>
      </c>
      <c r="D20" s="23">
        <f t="shared" ca="1" si="2"/>
        <v>39385.691379485754</v>
      </c>
      <c r="E20" s="23">
        <f t="shared" si="2"/>
        <v>159.51460832057842</v>
      </c>
      <c r="F20" s="23">
        <f t="shared" ca="1" si="2"/>
        <v>8160.7180234517118</v>
      </c>
      <c r="G20" s="23">
        <f t="shared" si="2"/>
        <v>0</v>
      </c>
      <c r="H20" s="23">
        <f t="shared" si="2"/>
        <v>0</v>
      </c>
      <c r="I20" s="23">
        <f t="shared" si="2"/>
        <v>0</v>
      </c>
      <c r="J20" s="23">
        <f t="shared" si="2"/>
        <v>6.0898812811386656E-2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62356.446253000002</v>
      </c>
      <c r="C26" s="39">
        <f>IF(ISERROR(B26*3.6/1000000/'E Balans VL '!Z12*100),0,B26*3.6/1000000/'E Balans VL '!Z12*100)</f>
        <v>1.7890005749385645</v>
      </c>
      <c r="D26" s="233" t="s">
        <v>843</v>
      </c>
      <c r="F26" s="6"/>
    </row>
    <row r="27" spans="1:18" ht="30">
      <c r="A27" s="228" t="s">
        <v>52</v>
      </c>
      <c r="B27" s="33">
        <f>IF(ISERROR(TER_horeca_ele_kWh/1000),0,TER_horeca_ele_kWh/1000)</f>
        <v>20614.457083999998</v>
      </c>
      <c r="C27" s="39">
        <f>IF(ISERROR(B27*3.6/1000000/'E Balans VL '!Z9*100),0,B27*3.6/1000000/'E Balans VL '!Z9*100)</f>
        <v>1.5102224242246987</v>
      </c>
      <c r="D27" s="233" t="s">
        <v>843</v>
      </c>
      <c r="F27" s="6"/>
    </row>
    <row r="28" spans="1:18" ht="30">
      <c r="A28" s="168" t="s">
        <v>51</v>
      </c>
      <c r="B28" s="33">
        <f>IF(ISERROR(TER_handel_ele_kWh/1000),0,TER_handel_ele_kWh/1000)</f>
        <v>58463.959601000002</v>
      </c>
      <c r="C28" s="39">
        <f>IF(ISERROR(B28*3.6/1000000/'E Balans VL '!Z13*100),0,B28*3.6/1000000/'E Balans VL '!Z13*100)</f>
        <v>1.8065856631757742</v>
      </c>
      <c r="D28" s="233" t="s">
        <v>843</v>
      </c>
      <c r="F28" s="6"/>
    </row>
    <row r="29" spans="1:18" ht="30">
      <c r="A29" s="228" t="s">
        <v>50</v>
      </c>
      <c r="B29" s="33">
        <f>IF(ISERROR(TER_gezond_ele_kWh/1000),0,TER_gezond_ele_kWh/1000)</f>
        <v>17968.327999000001</v>
      </c>
      <c r="C29" s="39">
        <f>IF(ISERROR(B29*3.6/1000000/'E Balans VL '!Z10*100),0,B29*3.6/1000000/'E Balans VL '!Z10*100)</f>
        <v>1.7610066303422687</v>
      </c>
      <c r="D29" s="233" t="s">
        <v>843</v>
      </c>
      <c r="F29" s="6"/>
    </row>
    <row r="30" spans="1:18" ht="30">
      <c r="A30" s="228" t="s">
        <v>49</v>
      </c>
      <c r="B30" s="33">
        <f>IF(ISERROR(TER_ander_ele_kWh/1000),0,TER_ander_ele_kWh/1000)</f>
        <v>17008.860701999998</v>
      </c>
      <c r="C30" s="39">
        <f>IF(ISERROR(B30*3.6/1000000/'E Balans VL '!Z14*100),0,B30*3.6/1000000/'E Balans VL '!Z14*100)</f>
        <v>0.70456195767208496</v>
      </c>
      <c r="D30" s="233" t="s">
        <v>843</v>
      </c>
      <c r="F30" s="6"/>
    </row>
    <row r="31" spans="1:18" ht="30">
      <c r="A31" s="228" t="s">
        <v>54</v>
      </c>
      <c r="B31" s="33">
        <f>IF(ISERROR(TER_onderwijs_ele_kWh/1000),0,TER_onderwijs_ele_kWh/1000)</f>
        <v>10792.10262</v>
      </c>
      <c r="C31" s="39">
        <f>IF(ISERROR(B31*3.6/1000000/'E Balans VL '!Z11*100),0,B31*3.6/1000000/'E Balans VL '!Z11*100)</f>
        <v>3.3160850269301214</v>
      </c>
      <c r="D31" s="233" t="s">
        <v>843</v>
      </c>
    </row>
    <row r="32" spans="1:18" ht="30">
      <c r="A32" s="228" t="s">
        <v>255</v>
      </c>
      <c r="B32" s="33">
        <f>IF(ISERROR(TER_rest_ele_kWh/1000),0,TER_rest_ele_kWh/1000)</f>
        <v>0</v>
      </c>
      <c r="C32" s="39">
        <f>IF(ISERROR(B32*3.6/1000000/'E Balans VL '!Z8*100),0,B32*3.6/1000000/'E Balans VL '!Z8*100)</f>
        <v>0</v>
      </c>
      <c r="D32" s="233" t="s">
        <v>843</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8</v>
      </c>
      <c r="C38" s="43"/>
      <c r="D38" s="229"/>
    </row>
    <row r="39" spans="1:4">
      <c r="A39" s="168" t="s">
        <v>462</v>
      </c>
      <c r="B39" s="309">
        <v>13.15681996793146</v>
      </c>
      <c r="C39" s="43"/>
      <c r="D39" s="303" t="s">
        <v>773</v>
      </c>
    </row>
    <row r="40" spans="1:4">
      <c r="A40" s="6" t="s">
        <v>463</v>
      </c>
      <c r="B40" s="314">
        <f>1.34/3.6</f>
        <v>0.37222222222222223</v>
      </c>
      <c r="C40" s="43" t="s">
        <v>214</v>
      </c>
      <c r="D40" s="303" t="s">
        <v>774</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23</v>
      </c>
      <c r="C46" s="32"/>
      <c r="D46" s="229"/>
    </row>
    <row r="47" spans="1:4">
      <c r="A47" s="168" t="s">
        <v>432</v>
      </c>
      <c r="B47" s="530">
        <v>37.963784638354454</v>
      </c>
      <c r="C47" s="32" t="s">
        <v>258</v>
      </c>
      <c r="D47" s="303" t="s">
        <v>773</v>
      </c>
    </row>
    <row r="48" spans="1:4">
      <c r="A48" s="168" t="s">
        <v>433</v>
      </c>
      <c r="B48" s="530">
        <v>1887.1743212997605</v>
      </c>
      <c r="C48" s="32" t="s">
        <v>260</v>
      </c>
      <c r="D48" s="303" t="s">
        <v>773</v>
      </c>
    </row>
    <row r="49" spans="1:4">
      <c r="A49" s="168" t="s">
        <v>395</v>
      </c>
      <c r="B49" s="530">
        <v>3.75</v>
      </c>
      <c r="C49" s="32"/>
      <c r="D49" s="303" t="s">
        <v>774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65922.609888000006</v>
      </c>
      <c r="C5" s="17">
        <f>IF(ISERROR('Eigen informatie GS &amp; warmtenet'!B61),0,'Eigen informatie GS &amp; warmtenet'!B61)</f>
        <v>0</v>
      </c>
      <c r="D5" s="30">
        <f>SUM(D6:D15)</f>
        <v>79338.174011459996</v>
      </c>
      <c r="E5" s="17">
        <f>SUM(E6:E15)</f>
        <v>724.47631474519221</v>
      </c>
      <c r="F5" s="17">
        <f>SUM(F6:F15)</f>
        <v>25295.862058573326</v>
      </c>
      <c r="G5" s="18"/>
      <c r="H5" s="17"/>
      <c r="I5" s="17"/>
      <c r="J5" s="17">
        <f>SUM(J6:J15)</f>
        <v>336.43485957090348</v>
      </c>
      <c r="K5" s="17"/>
      <c r="L5" s="17"/>
      <c r="M5" s="17"/>
      <c r="N5" s="17">
        <f>SUM(N6:N15)</f>
        <v>7134.4421459158475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4195.555953</v>
      </c>
      <c r="C8" s="33"/>
      <c r="D8" s="37">
        <f>IF( ISERROR(IND_metaal_Gas_kWH/1000),0,IND_metaal_Gas_kWH/1000)*0.903</f>
        <v>5093.7502805069998</v>
      </c>
      <c r="E8" s="33">
        <f>C30*'E Balans VL '!I18/100/3.6*1000000</f>
        <v>22.870629828103155</v>
      </c>
      <c r="F8" s="33">
        <f>C30*'E Balans VL '!L18/100/3.6*1000000+C30*'E Balans VL '!N18/100/3.6*1000000</f>
        <v>270.19412384109808</v>
      </c>
      <c r="G8" s="34"/>
      <c r="H8" s="33"/>
      <c r="I8" s="33"/>
      <c r="J8" s="40">
        <f>C30*'E Balans VL '!D18/100/3.6*1000000+C30*'E Balans VL '!E18/100/3.6*1000000</f>
        <v>3.4366720927428736</v>
      </c>
      <c r="K8" s="33"/>
      <c r="L8" s="33"/>
      <c r="M8" s="33"/>
      <c r="N8" s="33">
        <f>C30*'E Balans VL '!Y18/100/3.6*1000000</f>
        <v>90.642213954208046</v>
      </c>
      <c r="O8" s="33"/>
      <c r="P8" s="33"/>
      <c r="R8" s="32"/>
    </row>
    <row r="9" spans="1:18">
      <c r="A9" s="6" t="s">
        <v>32</v>
      </c>
      <c r="B9" s="37">
        <f t="shared" si="0"/>
        <v>36096.058423000002</v>
      </c>
      <c r="C9" s="33"/>
      <c r="D9" s="37">
        <f>IF( ISERROR(IND_andere_gas_kWh/1000),0,IND_andere_gas_kWh/1000)*0.903</f>
        <v>25312.484183237997</v>
      </c>
      <c r="E9" s="33">
        <f>C31*'E Balans VL '!I19/100/3.6*1000000</f>
        <v>116.5242237682498</v>
      </c>
      <c r="F9" s="33">
        <f>C31*'E Balans VL '!L19/100/3.6*1000000+C31*'E Balans VL '!N19/100/3.6*1000000</f>
        <v>23339.994732587395</v>
      </c>
      <c r="G9" s="34"/>
      <c r="H9" s="33"/>
      <c r="I9" s="33"/>
      <c r="J9" s="40">
        <f>C31*'E Balans VL '!D19/100/3.6*1000000+C31*'E Balans VL '!E19/100/3.6*1000000</f>
        <v>0</v>
      </c>
      <c r="K9" s="33"/>
      <c r="L9" s="33"/>
      <c r="M9" s="33"/>
      <c r="N9" s="33">
        <f>C31*'E Balans VL '!Y19/100/3.6*1000000</f>
        <v>1458.6000262693385</v>
      </c>
      <c r="O9" s="33"/>
      <c r="P9" s="33"/>
      <c r="R9" s="32"/>
    </row>
    <row r="10" spans="1:18">
      <c r="A10" s="6" t="s">
        <v>40</v>
      </c>
      <c r="B10" s="37">
        <f t="shared" si="0"/>
        <v>12416.936514000001</v>
      </c>
      <c r="C10" s="33"/>
      <c r="D10" s="37">
        <f>IF( ISERROR(IND_voed_gas_kWh/1000),0,IND_voed_gas_kWh/1000)*0.903</f>
        <v>7784.4913848240003</v>
      </c>
      <c r="E10" s="33">
        <f>C32*'E Balans VL '!I20/100/3.6*1000000</f>
        <v>26.028941996171664</v>
      </c>
      <c r="F10" s="33">
        <f>C32*'E Balans VL '!L20/100/3.6*1000000+C32*'E Balans VL '!N20/100/3.6*1000000</f>
        <v>241.92483469996998</v>
      </c>
      <c r="G10" s="34"/>
      <c r="H10" s="33"/>
      <c r="I10" s="33"/>
      <c r="J10" s="40">
        <f>C32*'E Balans VL '!D20/100/3.6*1000000+C32*'E Balans VL '!E20/100/3.6*1000000</f>
        <v>0</v>
      </c>
      <c r="K10" s="33"/>
      <c r="L10" s="33"/>
      <c r="M10" s="33"/>
      <c r="N10" s="33">
        <f>C32*'E Balans VL '!Y20/100/3.6*1000000</f>
        <v>493.91130973367632</v>
      </c>
      <c r="O10" s="33"/>
      <c r="P10" s="33"/>
      <c r="R10" s="32"/>
    </row>
    <row r="11" spans="1:18">
      <c r="A11" s="6" t="s">
        <v>39</v>
      </c>
      <c r="B11" s="37">
        <f t="shared" si="0"/>
        <v>158.968681</v>
      </c>
      <c r="C11" s="33"/>
      <c r="D11" s="37">
        <f>IF( ISERROR(IND_textiel_gas_kWh/1000),0,IND_textiel_gas_kWh/1000)*0.903</f>
        <v>193.622190993</v>
      </c>
      <c r="E11" s="33">
        <f>C33*'E Balans VL '!I21/100/3.6*1000000</f>
        <v>0.13659700890928372</v>
      </c>
      <c r="F11" s="33">
        <f>C33*'E Balans VL '!L21/100/3.6*1000000+C33*'E Balans VL '!N21/100/3.6*1000000</f>
        <v>3.3329433879208197</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9285.265406999999</v>
      </c>
      <c r="C12" s="33"/>
      <c r="D12" s="37">
        <f>IF( ISERROR(IND_min_gas_kWh/1000),0,IND_min_gas_kWh/1000)*0.903</f>
        <v>38335.935384978002</v>
      </c>
      <c r="E12" s="33">
        <f>C34*'E Balans VL '!I22/100/3.6*1000000</f>
        <v>151.95391515953557</v>
      </c>
      <c r="F12" s="33">
        <f>C34*'E Balans VL '!L22/100/3.6*1000000+C34*'E Balans VL '!N22/100/3.6*1000000</f>
        <v>1417.2502478640779</v>
      </c>
      <c r="G12" s="34"/>
      <c r="H12" s="33"/>
      <c r="I12" s="33"/>
      <c r="J12" s="40">
        <f>C34*'E Balans VL '!D22/100/3.6*1000000+C34*'E Balans VL '!E22/100/3.6*1000000</f>
        <v>332.28776007234757</v>
      </c>
      <c r="K12" s="33"/>
      <c r="L12" s="33"/>
      <c r="M12" s="33"/>
      <c r="N12" s="33">
        <f>C34*'E Balans VL '!Y22/100/3.6*1000000</f>
        <v>5088.5225122413967</v>
      </c>
      <c r="O12" s="33"/>
      <c r="P12" s="33"/>
      <c r="R12" s="32"/>
    </row>
    <row r="13" spans="1:18">
      <c r="A13" s="6" t="s">
        <v>38</v>
      </c>
      <c r="B13" s="37">
        <f t="shared" si="0"/>
        <v>1773.504242</v>
      </c>
      <c r="C13" s="33"/>
      <c r="D13" s="37">
        <f>IF( ISERROR(IND_papier_gas_kWh/1000),0,IND_papier_gas_kWh/1000)*0.903</f>
        <v>1007.1953080140001</v>
      </c>
      <c r="E13" s="33">
        <f>C35*'E Balans VL '!I23/100/3.6*1000000</f>
        <v>0</v>
      </c>
      <c r="F13" s="33">
        <f>C35*'E Balans VL '!L23/100/3.6*1000000+C35*'E Balans VL '!N23/100/3.6*1000000</f>
        <v>0.23756648448093415</v>
      </c>
      <c r="G13" s="34"/>
      <c r="H13" s="33"/>
      <c r="I13" s="33"/>
      <c r="J13" s="40">
        <f>C35*'E Balans VL '!D23/100/3.6*1000000+C35*'E Balans VL '!E23/100/3.6*1000000</f>
        <v>0.35081029790418361</v>
      </c>
      <c r="K13" s="33"/>
      <c r="L13" s="33"/>
      <c r="M13" s="33"/>
      <c r="N13" s="33">
        <f>C35*'E Balans VL '!Y23/100/3.6*1000000</f>
        <v>0</v>
      </c>
      <c r="O13" s="33"/>
      <c r="P13" s="33"/>
      <c r="R13" s="32"/>
    </row>
    <row r="14" spans="1:18">
      <c r="A14" s="6" t="s">
        <v>33</v>
      </c>
      <c r="B14" s="37">
        <f t="shared" si="0"/>
        <v>1930.0869580000001</v>
      </c>
      <c r="C14" s="33"/>
      <c r="D14" s="37">
        <f>IF( ISERROR(IND_chemie_gas_kWh/1000),0,IND_chemie_gas_kWh/1000)*0.903</f>
        <v>1584.246633753</v>
      </c>
      <c r="E14" s="33">
        <f>C36*'E Balans VL '!I24/100/3.6*1000000</f>
        <v>403.06266364735393</v>
      </c>
      <c r="F14" s="33">
        <f>C36*'E Balans VL '!L24/100/3.6*1000000+C36*'E Balans VL '!N24/100/3.6*1000000</f>
        <v>12.823423434029058</v>
      </c>
      <c r="G14" s="34"/>
      <c r="H14" s="33"/>
      <c r="I14" s="33"/>
      <c r="J14" s="40">
        <f>C36*'E Balans VL '!D24/100/3.6*1000000+C36*'E Balans VL '!E24/100/3.6*1000000</f>
        <v>0</v>
      </c>
      <c r="K14" s="33"/>
      <c r="L14" s="33"/>
      <c r="M14" s="33"/>
      <c r="N14" s="33">
        <f>C36*'E Balans VL '!Y24/100/3.6*1000000</f>
        <v>0.67351019977980975</v>
      </c>
      <c r="O14" s="33"/>
      <c r="P14" s="33"/>
      <c r="R14" s="32"/>
    </row>
    <row r="15" spans="1:18">
      <c r="A15" s="6" t="s">
        <v>265</v>
      </c>
      <c r="B15" s="37">
        <f t="shared" si="0"/>
        <v>66.233710000000002</v>
      </c>
      <c r="C15" s="33"/>
      <c r="D15" s="37">
        <f>IF( ISERROR(IND_rest_gas_kWh/1000),0,IND_rest_gas_kWh/1000)*0.903</f>
        <v>26.448645153000001</v>
      </c>
      <c r="E15" s="33">
        <f>C37*'E Balans VL '!I15/100/3.6*1000000</f>
        <v>3.8993433368687835</v>
      </c>
      <c r="F15" s="33">
        <f>C37*'E Balans VL '!L15/100/3.6*1000000+C37*'E Balans VL '!N15/100/3.6*1000000</f>
        <v>10.104186274351097</v>
      </c>
      <c r="G15" s="34"/>
      <c r="H15" s="33"/>
      <c r="I15" s="33"/>
      <c r="J15" s="40">
        <f>C37*'E Balans VL '!D15/100/3.6*1000000+C37*'E Balans VL '!E15/100/3.6*1000000</f>
        <v>0.3596171079088909</v>
      </c>
      <c r="K15" s="33"/>
      <c r="L15" s="33"/>
      <c r="M15" s="33"/>
      <c r="N15" s="33">
        <f>C37*'E Balans VL '!Y15/100/3.6*1000000</f>
        <v>2.0925735174476063</v>
      </c>
      <c r="O15" s="33"/>
      <c r="P15" s="33"/>
      <c r="R15" s="32"/>
    </row>
    <row r="16" spans="1:18">
      <c r="A16" s="16" t="s">
        <v>473</v>
      </c>
      <c r="B16" s="243">
        <f>'lokale energieproductie'!N46+'lokale energieproductie'!N39</f>
        <v>225</v>
      </c>
      <c r="C16" s="243">
        <f>'lokale energieproductie'!O46+'lokale energieproductie'!O39</f>
        <v>321.42857142857144</v>
      </c>
      <c r="D16" s="304">
        <f>('lokale energieproductie'!P39+'lokale energieproductie'!P46)*(-1)</f>
        <v>-642.85714285714289</v>
      </c>
      <c r="E16" s="244"/>
      <c r="F16" s="304">
        <f>('lokale energieproductie'!S39+'lokale energieproductie'!S46)*(-1)</f>
        <v>0</v>
      </c>
      <c r="G16" s="245"/>
      <c r="H16" s="244"/>
      <c r="I16" s="244"/>
      <c r="J16" s="244"/>
      <c r="K16" s="244"/>
      <c r="L16" s="304">
        <f>('lokale energieproductie'!T39+'lokale energieproductie'!U39+'lokale energieproductie'!T46+'lokale energieproductie'!U46)*(-1)</f>
        <v>0</v>
      </c>
      <c r="M16" s="244"/>
      <c r="N16" s="304">
        <f>('lokale energieproductie'!Q39+'lokale energieproductie'!R39+'lokale energieproductie'!V39+'lokale energieproductie'!Q46+'lokale energieproductie'!R46+'lokale energieproductie'!V46)*(-1)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66147.609888000006</v>
      </c>
      <c r="C18" s="21">
        <f>C5+C16</f>
        <v>321.42857142857144</v>
      </c>
      <c r="D18" s="21">
        <f>MAX((D5+D16),0)</f>
        <v>78695.316868602851</v>
      </c>
      <c r="E18" s="21">
        <f>MAX((E5+E16),0)</f>
        <v>724.47631474519221</v>
      </c>
      <c r="F18" s="21">
        <f>MAX((F5+F16),0)</f>
        <v>25295.862058573326</v>
      </c>
      <c r="G18" s="21"/>
      <c r="H18" s="21"/>
      <c r="I18" s="21"/>
      <c r="J18" s="21">
        <f>MAX((J5+J16),0)</f>
        <v>336.43485957090348</v>
      </c>
      <c r="K18" s="21"/>
      <c r="L18" s="21">
        <f>MAX((L5+L16),0)</f>
        <v>0</v>
      </c>
      <c r="M18" s="21"/>
      <c r="N18" s="21">
        <f>MAX((N5+N16),0)</f>
        <v>7134.4421459158475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0.19376073903399008</v>
      </c>
      <c r="C20" s="25">
        <f ca="1">'EF ele_warmte'!B22</f>
        <v>0.23764705882352949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12816.80977723095</v>
      </c>
      <c r="C22" s="23">
        <f ca="1">C18*C20</f>
        <v>76.386554621848774</v>
      </c>
      <c r="D22" s="23">
        <f>D18*D20</f>
        <v>15896.454007457776</v>
      </c>
      <c r="E22" s="23">
        <f>E18*E20</f>
        <v>164.45612344715863</v>
      </c>
      <c r="F22" s="23">
        <f>F18*F20</f>
        <v>6753.9951696390781</v>
      </c>
      <c r="G22" s="23"/>
      <c r="H22" s="23"/>
      <c r="I22" s="23"/>
      <c r="J22" s="23">
        <f>J18*J20</f>
        <v>119.09794028809982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843</v>
      </c>
    </row>
    <row r="29" spans="1:18" ht="30">
      <c r="A29" s="168" t="s">
        <v>37</v>
      </c>
      <c r="B29" s="37">
        <f>IF( ISERROR(IND_nonf_ele_kWh/1000),0,IND_nonf_ele_kWh/1000)</f>
        <v>0</v>
      </c>
      <c r="C29" s="39">
        <f>IF(ISERROR(B29*3.6/1000000/'E Balans VL '!Z17*100),0,B29*3.6/1000000/'E Balans VL '!Z17*100)</f>
        <v>0</v>
      </c>
      <c r="D29" s="233" t="s">
        <v>843</v>
      </c>
    </row>
    <row r="30" spans="1:18" ht="30">
      <c r="A30" s="168" t="s">
        <v>35</v>
      </c>
      <c r="B30" s="37">
        <f>IF( ISERROR(IND_metaal_ele_kWh/1000),0,IND_metaal_ele_kWh/1000)</f>
        <v>4195.555953</v>
      </c>
      <c r="C30" s="39">
        <f>IF(ISERROR(B30*3.6/1000000/'E Balans VL '!Z18*100),0,B30*3.6/1000000/'E Balans VL '!Z18*100)</f>
        <v>0.25264487510464329</v>
      </c>
      <c r="D30" s="233" t="s">
        <v>843</v>
      </c>
    </row>
    <row r="31" spans="1:18" ht="30">
      <c r="A31" s="6" t="s">
        <v>32</v>
      </c>
      <c r="B31" s="37">
        <f>IF( ISERROR(IND_ander_ele_kWh/1000),0,IND_ander_ele_kWh/1000)</f>
        <v>36096.058423000002</v>
      </c>
      <c r="C31" s="39">
        <f>IF(ISERROR(B31*3.6/1000000/'E Balans VL '!Z19*100),0,B31*3.6/1000000/'E Balans VL '!Z19*100)</f>
        <v>1.4706281475936851</v>
      </c>
      <c r="D31" s="233" t="s">
        <v>843</v>
      </c>
    </row>
    <row r="32" spans="1:18" ht="30">
      <c r="A32" s="168" t="s">
        <v>40</v>
      </c>
      <c r="B32" s="37">
        <f>IF( ISERROR(IND_voed_ele_kWh/1000),0,IND_voed_ele_kWh/1000)</f>
        <v>12416.936514000001</v>
      </c>
      <c r="C32" s="39">
        <f>IF(ISERROR(B32*3.6/1000000/'E Balans VL '!Z20*100),0,B32*3.6/1000000/'E Balans VL '!Z20*100)</f>
        <v>0.35902360410613104</v>
      </c>
      <c r="D32" s="233" t="s">
        <v>843</v>
      </c>
    </row>
    <row r="33" spans="1:5" ht="30">
      <c r="A33" s="168" t="s">
        <v>39</v>
      </c>
      <c r="B33" s="37">
        <f>IF( ISERROR(IND_textiel_ele_kWh/1000),0,IND_textiel_ele_kWh/1000)</f>
        <v>158.968681</v>
      </c>
      <c r="C33" s="39">
        <f>IF(ISERROR(B33*3.6/1000000/'E Balans VL '!Z21*100),0,B33*3.6/1000000/'E Balans VL '!Z21*100)</f>
        <v>2.6142968212303101E-2</v>
      </c>
      <c r="D33" s="233" t="s">
        <v>843</v>
      </c>
    </row>
    <row r="34" spans="1:5" ht="30">
      <c r="A34" s="168" t="s">
        <v>36</v>
      </c>
      <c r="B34" s="37">
        <f>IF( ISERROR(IND_min_ele_kWh/1000),0,IND_min_ele_kWh/1000)</f>
        <v>9285.265406999999</v>
      </c>
      <c r="C34" s="39">
        <f>IF(ISERROR(B34*3.6/1000000/'E Balans VL '!Z22*100),0,B34*3.6/1000000/'E Balans VL '!Z22*100)</f>
        <v>3.9647220477941469</v>
      </c>
      <c r="D34" s="233" t="s">
        <v>843</v>
      </c>
    </row>
    <row r="35" spans="1:5" ht="30">
      <c r="A35" s="168" t="s">
        <v>38</v>
      </c>
      <c r="B35" s="37">
        <f>IF( ISERROR(IND_papier_ele_kWh/1000),0,IND_papier_ele_kWh/1000)</f>
        <v>1773.504242</v>
      </c>
      <c r="C35" s="39">
        <f>IF(ISERROR(B35*3.6/1000000/'E Balans VL '!Z22*100),0,B35*3.6/1000000/'E Balans VL '!Z22*100)</f>
        <v>0.75726983149161875</v>
      </c>
      <c r="D35" s="233" t="s">
        <v>843</v>
      </c>
    </row>
    <row r="36" spans="1:5" ht="30">
      <c r="A36" s="168" t="s">
        <v>33</v>
      </c>
      <c r="B36" s="37">
        <f>IF( ISERROR(IND_chemie_ele_kWh/1000),0,IND_chemie_ele_kWh/1000)</f>
        <v>1930.0869580000001</v>
      </c>
      <c r="C36" s="39">
        <f>IF(ISERROR(B36*3.6/1000000/'E Balans VL '!Z24*100),0,B36*3.6/1000000/'E Balans VL '!Z24*100)</f>
        <v>5.8566104328679432E-2</v>
      </c>
      <c r="D36" s="233" t="s">
        <v>843</v>
      </c>
    </row>
    <row r="37" spans="1:5" ht="30">
      <c r="A37" s="168" t="s">
        <v>265</v>
      </c>
      <c r="B37" s="37">
        <f>IF( ISERROR(IND_rest_ele_kWh/1000),0,IND_rest_ele_kWh/1000)</f>
        <v>66.233710000000002</v>
      </c>
      <c r="C37" s="39">
        <f>IF(ISERROR(B37*3.6/1000000/'E Balans VL '!Z15*100),0,B37*3.6/1000000/'E Balans VL '!Z15*100)</f>
        <v>5.4382892594069575E-4</v>
      </c>
      <c r="D37" s="233" t="s">
        <v>843</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773</v>
      </c>
    </row>
    <row r="45" spans="1:5">
      <c r="A45" s="6" t="s">
        <v>463</v>
      </c>
      <c r="B45" s="314">
        <f>1.34/3.6</f>
        <v>0.37222222222222223</v>
      </c>
      <c r="C45" s="43" t="s">
        <v>214</v>
      </c>
      <c r="D45" s="303" t="s">
        <v>774</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773</v>
      </c>
    </row>
    <row r="53" spans="1:4">
      <c r="A53" s="168" t="s">
        <v>259</v>
      </c>
      <c r="B53" s="309">
        <v>1870.3471198212708</v>
      </c>
      <c r="C53" s="32" t="s">
        <v>260</v>
      </c>
      <c r="D53" s="303" t="s">
        <v>773</v>
      </c>
    </row>
    <row r="54" spans="1:4">
      <c r="A54" s="168" t="s">
        <v>395</v>
      </c>
      <c r="B54" s="309">
        <v>3.75</v>
      </c>
      <c r="C54" s="32"/>
      <c r="D54" s="303" t="s">
        <v>774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1764.689355</v>
      </c>
      <c r="C5" s="17">
        <f>'Eigen informatie GS &amp; warmtenet'!B62</f>
        <v>0</v>
      </c>
      <c r="D5" s="30">
        <f>IF(ISERROR(SUM(LB_lb_gas_kWh,LB_rest_gas_kWh)/1000),0,SUM(LB_lb_gas_kWh,LB_rest_gas_kWh)/1000)*0.903</f>
        <v>1247.0715573750001</v>
      </c>
      <c r="E5" s="17">
        <f>B17*'E Balans VL '!I25/3.6*1000000/100</f>
        <v>50.543689528337353</v>
      </c>
      <c r="F5" s="17">
        <f>B17*('E Balans VL '!L25/3.6*1000000+'E Balans VL '!N25/3.6*1000000)/100</f>
        <v>5586.094925028232</v>
      </c>
      <c r="G5" s="18"/>
      <c r="H5" s="17"/>
      <c r="I5" s="17"/>
      <c r="J5" s="17">
        <f>('E Balans VL '!D25+'E Balans VL '!E25)/3.6*1000000*landbouw!B17/100</f>
        <v>448.70508750962153</v>
      </c>
      <c r="K5" s="17"/>
      <c r="L5" s="17">
        <f>L6*(-1)</f>
        <v>0</v>
      </c>
      <c r="M5" s="17"/>
      <c r="N5" s="17">
        <f>N6*(-1)</f>
        <v>0</v>
      </c>
      <c r="O5" s="17"/>
      <c r="P5" s="17"/>
      <c r="R5" s="32"/>
    </row>
    <row r="6" spans="1:18">
      <c r="A6" s="16" t="s">
        <v>473</v>
      </c>
      <c r="B6" s="17" t="s">
        <v>210</v>
      </c>
      <c r="C6" s="17">
        <f>'lokale energieproductie'!O48+'lokale energieproductie'!O41</f>
        <v>0</v>
      </c>
      <c r="D6" s="304">
        <f>('lokale energieproductie'!P41+'lokale energieproductie'!P48)*(-1)</f>
        <v>0</v>
      </c>
      <c r="E6" s="244"/>
      <c r="F6" s="304">
        <f>('lokale energieproductie'!S41+'lokale energieproductie'!S48)*(-1)</f>
        <v>0</v>
      </c>
      <c r="G6" s="245"/>
      <c r="H6" s="244"/>
      <c r="I6" s="244"/>
      <c r="J6" s="244"/>
      <c r="K6" s="244"/>
      <c r="L6" s="304">
        <f>('lokale energieproductie'!T41+'lokale energieproductie'!U41+'lokale energieproductie'!T48+'lokale energieproductie'!U48)*(-1)</f>
        <v>0</v>
      </c>
      <c r="M6" s="244"/>
      <c r="N6" s="304">
        <f>('lokale energieproductie'!V41+'lokale energieproductie'!R41+'lokale energieproductie'!Q41+'lokale energieproductie'!Q48+'lokale energieproductie'!R48+'lokale energieproductie'!V48)*(-1)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1764.689355</v>
      </c>
      <c r="C8" s="21">
        <f>C5+C6</f>
        <v>0</v>
      </c>
      <c r="D8" s="21">
        <f>MAX((D5+D6),0)</f>
        <v>1247.0715573750001</v>
      </c>
      <c r="E8" s="21">
        <f>MAX((E5+E6),0)</f>
        <v>50.543689528337353</v>
      </c>
      <c r="F8" s="21">
        <f>MAX((F5+F6),0)</f>
        <v>5586.094925028232</v>
      </c>
      <c r="G8" s="21"/>
      <c r="H8" s="21"/>
      <c r="I8" s="21"/>
      <c r="J8" s="21">
        <f>MAX((J5+J6),0)</f>
        <v>448.70508750962153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0.19376073903399008</v>
      </c>
      <c r="C10" s="31">
        <f ca="1">'EF ele_warmte'!B22</f>
        <v>0.23764705882352949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341.92751359021526</v>
      </c>
      <c r="C12" s="23">
        <f ca="1">C8*C10</f>
        <v>0</v>
      </c>
      <c r="D12" s="23">
        <f>D8*D10</f>
        <v>251.90845458975005</v>
      </c>
      <c r="E12" s="23">
        <f>E8*E10</f>
        <v>11.47341752293258</v>
      </c>
      <c r="F12" s="23">
        <f>F8*F10</f>
        <v>1491.4873449825379</v>
      </c>
      <c r="G12" s="23"/>
      <c r="H12" s="23"/>
      <c r="I12" s="23"/>
      <c r="J12" s="23">
        <f>J8*J10</f>
        <v>158.84160097840601</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0.24436944280756948</v>
      </c>
      <c r="C17" s="910" t="s">
        <v>843</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222.05190717782872</v>
      </c>
      <c r="C26" s="243">
        <f>B26*'GWP N2O_CH4'!B5</f>
        <v>4663.0900507344031</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67.673767531038848</v>
      </c>
      <c r="C27" s="243">
        <f>B27*'GWP N2O_CH4'!B5</f>
        <v>1421.1491181518159</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5.7854311521377006</v>
      </c>
      <c r="C28" s="243">
        <f>B28*'GWP N2O_CH4'!B4</f>
        <v>1793.4836571626872</v>
      </c>
      <c r="D28" s="50"/>
    </row>
    <row r="29" spans="1:4">
      <c r="A29" s="41" t="s">
        <v>272</v>
      </c>
      <c r="B29" s="243">
        <f>B34*'ha_N2O bodem landbouw'!B4</f>
        <v>20.899773820349431</v>
      </c>
      <c r="C29" s="243">
        <f>B29*'GWP N2O_CH4'!B4</f>
        <v>6478.9298843083234</v>
      </c>
      <c r="D29" s="50"/>
    </row>
    <row r="31" spans="1:4">
      <c r="A31" s="190" t="s">
        <v>480</v>
      </c>
      <c r="B31" s="200"/>
      <c r="C31" s="222"/>
    </row>
    <row r="32" spans="1:4">
      <c r="A32" s="232"/>
      <c r="B32" s="32"/>
      <c r="C32" s="233"/>
    </row>
    <row r="33" spans="1:5">
      <c r="A33" s="234"/>
      <c r="B33" s="221" t="s">
        <v>608</v>
      </c>
      <c r="C33" s="235" t="s">
        <v>181</v>
      </c>
    </row>
    <row r="34" spans="1:5" ht="15.75" thickBot="1">
      <c r="A34" s="253" t="s">
        <v>111</v>
      </c>
      <c r="B34" s="35">
        <f>IF(ISERROR(aantalCultuurgronden/'ha_N2O bodem landbouw'!B5),0,aantalCultuurgronden/'ha_N2O bodem landbouw'!B5)</f>
        <v>4.7480545629276236E-3</v>
      </c>
      <c r="C34" s="925" t="s">
        <v>811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5.6201889304739539E-3</v>
      </c>
      <c r="C5" s="434" t="s">
        <v>210</v>
      </c>
      <c r="D5" s="419">
        <f>SUM(D6:D11)</f>
        <v>9.440298655793572E-3</v>
      </c>
      <c r="E5" s="419">
        <f>SUM(E6:E11)</f>
        <v>3.9478373223930524E-3</v>
      </c>
      <c r="F5" s="432" t="s">
        <v>210</v>
      </c>
      <c r="G5" s="419">
        <f>SUM(G6:G11)</f>
        <v>1.6211820827629297</v>
      </c>
      <c r="H5" s="419">
        <f>SUM(H6:H11)</f>
        <v>0.46877229837765011</v>
      </c>
      <c r="I5" s="434" t="s">
        <v>210</v>
      </c>
      <c r="J5" s="434" t="s">
        <v>210</v>
      </c>
      <c r="K5" s="434" t="s">
        <v>210</v>
      </c>
      <c r="L5" s="434" t="s">
        <v>210</v>
      </c>
      <c r="M5" s="419">
        <f>SUM(M6:M11)</f>
        <v>0.12631741860030804</v>
      </c>
      <c r="N5" s="434" t="s">
        <v>210</v>
      </c>
      <c r="O5" s="434" t="s">
        <v>210</v>
      </c>
      <c r="P5" s="435" t="s">
        <v>210</v>
      </c>
    </row>
    <row r="6" spans="1:18">
      <c r="A6" s="257" t="s">
        <v>641</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2.7099114981740365E-3</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4.5181982279354251E-3</v>
      </c>
      <c r="E6" s="886">
        <f>vkm_GW_PW*SUMIFS(TableVerdeelsleutelVkm[LPG],TableVerdeelsleutelVkm[Voertuigtype],"Lichte voertuigen")*SUMIFS(TableECFTransport[EnergieConsumptieFactor (PJ per km)],TableECFTransport[Index],CONCATENATE($A6,"_LPG_LPG"))</f>
        <v>1.7912818324033019E-3</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0.53832518842541599</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0.22158034905696325</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4.6617963695652569E-2</v>
      </c>
      <c r="N6" s="420"/>
      <c r="O6" s="420"/>
      <c r="P6" s="421"/>
    </row>
    <row r="7" spans="1:18">
      <c r="A7" s="257" t="s">
        <v>642</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6.7065947323817639E-6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0.26585364243024995</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1.9616150709885571E-6</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1.5264866551500512E-2</v>
      </c>
      <c r="N7" s="420"/>
      <c r="O7" s="420"/>
      <c r="P7" s="421"/>
      <c r="R7" s="883"/>
    </row>
    <row r="8" spans="1:18">
      <c r="A8" s="257" t="s">
        <v>643</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9.4071003535244752E-4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2.148067359689157E-3</v>
      </c>
      <c r="E8" s="422">
        <f>vkm_NGW_PW*SUMIFS(TableVerdeelsleutelVkm[LPG],TableVerdeelsleutelVkm[Voertuigtype],"Lichte voertuigen")*SUMIFS(TableECFTransport[EnergieConsumptieFactor (PJ per km)],TableECFTransport[Index],CONCATENATE($A8,"_LPG_LPG"))</f>
        <v>8.1541742869247825E-4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0.22446817624391252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0.10436135384544215</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2.0286968144481499E-2</v>
      </c>
      <c r="N8" s="420"/>
      <c r="O8" s="420"/>
      <c r="P8" s="421"/>
      <c r="R8" s="883"/>
    </row>
    <row r="9" spans="1:18">
      <c r="A9" s="257" t="s">
        <v>644</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1.1264999331302367E-7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5.750536201160855E-3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3.9770343545579941E-8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3.3018587508846348E-4</v>
      </c>
      <c r="N9" s="420"/>
      <c r="O9" s="420"/>
      <c r="P9" s="421"/>
      <c r="R9" s="883"/>
    </row>
    <row r="10" spans="1:18">
      <c r="A10" s="257" t="s">
        <v>645</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1.9568205722820912E-3</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2.7740330681689895E-3</v>
      </c>
      <c r="E10" s="422">
        <f>vkm_SW_PW*SUMIFS(TableVerdeelsleutelVkm[LPG],TableVerdeelsleutelVkm[Voertuigtype],"Lichte voertuigen")*SUMIFS(TableECFTransport[EnergieConsumptieFactor (PJ per km)],TableECFTransport[Index],CONCATENATE($A10,"_LPG_LPG"))</f>
        <v>1.3411380612972726E-3</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0.36565725207566707</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0.14282680957736893</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3.1120668609488412E-2</v>
      </c>
      <c r="N10" s="420"/>
      <c r="O10" s="420"/>
      <c r="P10" s="421"/>
      <c r="R10" s="883"/>
    </row>
    <row r="11" spans="1:18">
      <c r="A11" s="4" t="s">
        <v>646</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5.9275799396831905E-6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0.22112728738652324</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1.7845124612891502E-6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1.2696765724096606E-2</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1561.1635917983203</v>
      </c>
      <c r="C14" s="21"/>
      <c r="D14" s="21">
        <f t="shared" ref="D14:M14" si="0">((D5)*10^9/3600)+D12</f>
        <v>2622.305182164881</v>
      </c>
      <c r="E14" s="21">
        <f t="shared" si="0"/>
        <v>1096.6214784425144</v>
      </c>
      <c r="F14" s="21"/>
      <c r="G14" s="21">
        <f t="shared" si="0"/>
        <v>450328.35632303602</v>
      </c>
      <c r="H14" s="21">
        <f t="shared" si="0"/>
        <v>130214.52732712502</v>
      </c>
      <c r="I14" s="21"/>
      <c r="J14" s="21"/>
      <c r="K14" s="21"/>
      <c r="L14" s="21"/>
      <c r="M14" s="21">
        <f t="shared" si="0"/>
        <v>35088.171833418899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0.19376073903399008</v>
      </c>
      <c r="C16" s="56">
        <f ca="1">'EF ele_warmte'!B22</f>
        <v>0.23764705882352949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302.49221129980094</v>
      </c>
      <c r="C18" s="23"/>
      <c r="D18" s="23">
        <f t="shared" ref="D18:M18" si="1">D14*D16</f>
        <v>529.70564679730603</v>
      </c>
      <c r="E18" s="23">
        <f t="shared" si="1"/>
        <v>248.93307560645079</v>
      </c>
      <c r="F18" s="23"/>
      <c r="G18" s="23">
        <f t="shared" si="1"/>
        <v>120237.67113825062</v>
      </c>
      <c r="H18" s="23">
        <f t="shared" si="1"/>
        <v>32423.417304454131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647</v>
      </c>
      <c r="D23" s="915" t="s">
        <v>648</v>
      </c>
      <c r="E23" s="915" t="s">
        <v>649</v>
      </c>
      <c r="F23" s="915" t="s">
        <v>632</v>
      </c>
      <c r="G23" s="915" t="s">
        <v>650</v>
      </c>
      <c r="H23" s="915" t="s">
        <v>651</v>
      </c>
      <c r="I23" s="915" t="s">
        <v>118</v>
      </c>
      <c r="J23" s="915" t="s">
        <v>652</v>
      </c>
      <c r="K23" s="915" t="s">
        <v>653</v>
      </c>
      <c r="L23" s="916" t="s">
        <v>654</v>
      </c>
      <c r="M23" s="129" t="s">
        <v>181</v>
      </c>
      <c r="N23" s="264" t="s">
        <v>311</v>
      </c>
    </row>
    <row r="24" spans="1:18">
      <c r="A24" s="32" t="s">
        <v>639</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814</v>
      </c>
      <c r="N24" s="885">
        <f>SUM(B24:L24)</f>
        <v>1.0000000000028502</v>
      </c>
      <c r="O24" s="883"/>
    </row>
    <row r="25" spans="1:18">
      <c r="A25" s="32" t="s">
        <v>640</v>
      </c>
      <c r="B25" s="1060">
        <v>0</v>
      </c>
      <c r="C25" s="1057">
        <v>0.99992999999999999</v>
      </c>
      <c r="D25" s="1060">
        <v>0</v>
      </c>
      <c r="E25" s="1060">
        <v>0</v>
      </c>
      <c r="F25" s="1057"/>
      <c r="G25" s="1060">
        <v>5.3999999999999998E-5</v>
      </c>
      <c r="H25" s="1060">
        <v>0</v>
      </c>
      <c r="I25" s="1060">
        <v>0</v>
      </c>
      <c r="J25" s="1060">
        <v>1.2E-5</v>
      </c>
      <c r="K25" s="1060">
        <v>0</v>
      </c>
      <c r="L25" s="1058">
        <v>0</v>
      </c>
      <c r="M25" s="1047" t="s">
        <v>814</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821</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8.9101200154021159E-4</v>
      </c>
      <c r="C50" s="315">
        <f t="shared" ref="C50:P50" si="2">SUM(C51:C52)</f>
        <v>0</v>
      </c>
      <c r="D50" s="315">
        <f t="shared" si="2"/>
        <v>0</v>
      </c>
      <c r="E50" s="315">
        <f t="shared" si="2"/>
        <v>0</v>
      </c>
      <c r="F50" s="315">
        <f t="shared" si="2"/>
        <v>0</v>
      </c>
      <c r="G50" s="315">
        <f t="shared" si="2"/>
        <v>5.578004501435601E-2</v>
      </c>
      <c r="H50" s="315">
        <f t="shared" si="2"/>
        <v>0</v>
      </c>
      <c r="I50" s="315">
        <f t="shared" si="2"/>
        <v>0</v>
      </c>
      <c r="J50" s="315">
        <f t="shared" si="2"/>
        <v>0</v>
      </c>
      <c r="K50" s="315">
        <f t="shared" si="2"/>
        <v>0</v>
      </c>
      <c r="L50" s="315">
        <f t="shared" si="2"/>
        <v>0</v>
      </c>
      <c r="M50" s="315">
        <f t="shared" si="2"/>
        <v>3.2027666747166451E-3</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8.9101200154021159E-4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5.578004501435601E-2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3.2027666747166451E-3</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247.5033337611699</v>
      </c>
      <c r="C54" s="21">
        <f t="shared" ref="C54:P54" si="3">(C50)*10^9/3600</f>
        <v>0</v>
      </c>
      <c r="D54" s="21">
        <f t="shared" si="3"/>
        <v>0</v>
      </c>
      <c r="E54" s="21">
        <f t="shared" si="3"/>
        <v>0</v>
      </c>
      <c r="F54" s="21">
        <f t="shared" si="3"/>
        <v>0</v>
      </c>
      <c r="G54" s="21">
        <f t="shared" si="3"/>
        <v>15494.456948432226</v>
      </c>
      <c r="H54" s="21">
        <f t="shared" si="3"/>
        <v>0</v>
      </c>
      <c r="I54" s="21">
        <f t="shared" si="3"/>
        <v>0</v>
      </c>
      <c r="J54" s="21">
        <f t="shared" si="3"/>
        <v>0</v>
      </c>
      <c r="K54" s="21">
        <f t="shared" si="3"/>
        <v>0</v>
      </c>
      <c r="L54" s="21">
        <f t="shared" si="3"/>
        <v>0</v>
      </c>
      <c r="M54" s="21">
        <f t="shared" si="3"/>
        <v>889.65740964351244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0.19376073903399008</v>
      </c>
      <c r="C56" s="56">
        <f ca="1">'EF ele_warmte'!B22</f>
        <v>0.23764705882352949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47.956428862940584</v>
      </c>
      <c r="C58" s="23">
        <f t="shared" ref="C58:P58" ca="1" si="4">C54*C56</f>
        <v>0</v>
      </c>
      <c r="D58" s="23">
        <f t="shared" si="4"/>
        <v>0</v>
      </c>
      <c r="E58" s="23">
        <f t="shared" si="4"/>
        <v>0</v>
      </c>
      <c r="F58" s="23">
        <f t="shared" si="4"/>
        <v>0</v>
      </c>
      <c r="G58" s="23">
        <f t="shared" si="4"/>
        <v>4137.0200052314049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543</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822</v>
      </c>
      <c r="B65" s="1056">
        <v>6.3799999999999996E-2</v>
      </c>
      <c r="C65" s="171" t="s">
        <v>813</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544</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60"/>
  <sheetViews>
    <sheetView showGridLines="0" zoomScale="65" zoomScaleNormal="65" workbookViewId="0">
      <selection activeCell="M37" sqref="M37"/>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703</v>
      </c>
      <c r="N2" s="1272" t="s">
        <v>704</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17822.59468353456</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31167.0539311092</v>
      </c>
      <c r="C6" s="1242"/>
      <c r="D6" s="1245"/>
      <c r="E6" s="1245"/>
      <c r="F6" s="1248"/>
      <c r="G6" s="1251"/>
      <c r="H6" s="1239"/>
      <c r="I6" s="1245"/>
      <c r="J6" s="1245"/>
      <c r="K6" s="1245"/>
      <c r="L6" s="1245"/>
      <c r="M6" s="1245"/>
      <c r="N6" s="951"/>
      <c r="O6" s="542"/>
      <c r="P6" s="1285"/>
      <c r="Q6" s="1286"/>
      <c r="S6" s="540"/>
      <c r="T6" s="1282"/>
      <c r="U6" s="1282"/>
    </row>
    <row r="7" spans="1:21" s="531" customFormat="1">
      <c r="A7" s="541" t="s">
        <v>701</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N38</f>
        <v>6339.15</v>
      </c>
      <c r="C8" s="545">
        <f>B57</f>
        <v>7457.8235294117649</v>
      </c>
      <c r="D8" s="546"/>
      <c r="E8" s="546">
        <f>E57</f>
        <v>0</v>
      </c>
      <c r="F8" s="547"/>
      <c r="G8" s="548"/>
      <c r="H8" s="546">
        <f>I57</f>
        <v>0</v>
      </c>
      <c r="I8" s="546">
        <f>G57+F57</f>
        <v>0</v>
      </c>
      <c r="J8" s="546">
        <f>H57+D57+C57</f>
        <v>0</v>
      </c>
      <c r="K8" s="546"/>
      <c r="L8" s="546"/>
      <c r="M8" s="546"/>
      <c r="N8" s="549"/>
      <c r="O8" s="550">
        <f>C8*$C$12+D8*$D$12+E8*$E$12+F8*$F$12+G8*$G$12+H8*$H$12+I8*$I$12+J8*$J$12</f>
        <v>1506.4803529411765</v>
      </c>
      <c r="P8" s="1285"/>
      <c r="Q8" s="1286"/>
      <c r="S8" s="540"/>
      <c r="T8" s="1282"/>
      <c r="U8" s="1282"/>
    </row>
    <row r="9" spans="1:21" s="531" customFormat="1" ht="17.45" customHeight="1" thickBot="1">
      <c r="A9" s="551" t="s">
        <v>243</v>
      </c>
      <c r="B9" s="552">
        <f>N45+'Eigen informatie GS &amp; warmtenet'!B12</f>
        <v>1237.5</v>
      </c>
      <c r="C9" s="553">
        <f>P45+IF(ISERROR(('Eigen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S45+IF(ISERROR('Eigen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W45+IF(ISERROR('Eigen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(T45+U45)+IF(ISERROR('Eigen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V45+Q45+R45+IF(ISERROR('Eigen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3535.7142857142858</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56566.298614643762</v>
      </c>
      <c r="C10" s="560">
        <f t="shared" ref="C10:L10" si="0">SUM(C8:C9)</f>
        <v>7457.8235294117649</v>
      </c>
      <c r="D10" s="560">
        <f t="shared" si="0"/>
        <v>0</v>
      </c>
      <c r="E10" s="560">
        <f t="shared" si="0"/>
        <v>0</v>
      </c>
      <c r="F10" s="560">
        <f t="shared" si="0"/>
        <v>0</v>
      </c>
      <c r="G10" s="560">
        <f t="shared" si="0"/>
        <v>0</v>
      </c>
      <c r="H10" s="560">
        <f t="shared" si="0"/>
        <v>0</v>
      </c>
      <c r="I10" s="560">
        <f t="shared" si="0"/>
        <v>0</v>
      </c>
      <c r="J10" s="560">
        <f t="shared" si="0"/>
        <v>3535.7142857142858</v>
      </c>
      <c r="K10" s="560">
        <f t="shared" si="0"/>
        <v>0</v>
      </c>
      <c r="L10" s="560">
        <f t="shared" si="0"/>
        <v>0</v>
      </c>
      <c r="M10" s="961"/>
      <c r="N10" s="961"/>
      <c r="O10" s="561">
        <f>SUM(O4:O9)</f>
        <v>1506.4803529411765</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703</v>
      </c>
      <c r="N15" s="1272" t="s">
        <v>704</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O38</f>
        <v>9055.9285714285725</v>
      </c>
      <c r="C17" s="576">
        <f>B58</f>
        <v>10654.033613445379</v>
      </c>
      <c r="D17" s="577"/>
      <c r="E17" s="577">
        <f>E58</f>
        <v>0</v>
      </c>
      <c r="F17" s="578"/>
      <c r="G17" s="579"/>
      <c r="H17" s="576">
        <f>I58</f>
        <v>0</v>
      </c>
      <c r="I17" s="577">
        <f>G58+F58</f>
        <v>0</v>
      </c>
      <c r="J17" s="577">
        <f>H58+D58+C58</f>
        <v>0</v>
      </c>
      <c r="K17" s="577"/>
      <c r="L17" s="577"/>
      <c r="M17" s="577"/>
      <c r="N17" s="962"/>
      <c r="O17" s="580">
        <f>C17*$C$22+E17*$E$22+H17*$H$22+I17*$I$22+J17*$J$22+D17*$D$22+F17*$F$22+G17*$G$22+K17*$K$22+L17*$L$22</f>
        <v>2152.1147899159669</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9055.9285714285725</v>
      </c>
      <c r="C20" s="559">
        <f>SUM(C17:C19)</f>
        <v>10654.033613445379</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2152.1147899159669</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51">
      <c r="A28" s="589"/>
      <c r="B28" s="787">
        <v>71022</v>
      </c>
      <c r="C28" s="787">
        <v>3500</v>
      </c>
      <c r="D28" s="637" t="s">
        <v>874</v>
      </c>
      <c r="E28" s="636" t="s">
        <v>875</v>
      </c>
      <c r="F28" s="636" t="s">
        <v>876</v>
      </c>
      <c r="G28" s="636" t="s">
        <v>877</v>
      </c>
      <c r="H28" s="636" t="s">
        <v>878</v>
      </c>
      <c r="I28" s="636" t="s">
        <v>875</v>
      </c>
      <c r="J28" s="786">
        <v>39365</v>
      </c>
      <c r="K28" s="786">
        <v>39471</v>
      </c>
      <c r="L28" s="636" t="s">
        <v>879</v>
      </c>
      <c r="M28" s="636">
        <v>220</v>
      </c>
      <c r="N28" s="636">
        <v>990</v>
      </c>
      <c r="O28" s="636">
        <v>1414.2857142857142</v>
      </c>
      <c r="P28" s="636">
        <v>2828.5714285714289</v>
      </c>
      <c r="Q28" s="636">
        <v>0</v>
      </c>
      <c r="R28" s="636">
        <v>0</v>
      </c>
      <c r="S28" s="636">
        <v>0</v>
      </c>
      <c r="T28" s="636">
        <v>0</v>
      </c>
      <c r="U28" s="636">
        <v>0</v>
      </c>
      <c r="V28" s="636">
        <v>0</v>
      </c>
      <c r="W28" s="636">
        <v>0</v>
      </c>
      <c r="X28" s="636">
        <v>1500</v>
      </c>
      <c r="Y28" s="636" t="s">
        <v>50</v>
      </c>
      <c r="Z28" s="638" t="s">
        <v>155</v>
      </c>
    </row>
    <row r="29" spans="1:26" s="590" customFormat="1" ht="63.75">
      <c r="A29" s="589"/>
      <c r="B29" s="787">
        <v>71022</v>
      </c>
      <c r="C29" s="787">
        <v>3500</v>
      </c>
      <c r="D29" s="637" t="s">
        <v>880</v>
      </c>
      <c r="E29" s="636" t="s">
        <v>881</v>
      </c>
      <c r="F29" s="636" t="s">
        <v>882</v>
      </c>
      <c r="G29" s="636" t="s">
        <v>877</v>
      </c>
      <c r="H29" s="636" t="s">
        <v>878</v>
      </c>
      <c r="I29" s="636" t="s">
        <v>881</v>
      </c>
      <c r="J29" s="786">
        <v>39310</v>
      </c>
      <c r="K29" s="786">
        <v>39508</v>
      </c>
      <c r="L29" s="636" t="s">
        <v>879</v>
      </c>
      <c r="M29" s="636">
        <v>4.7</v>
      </c>
      <c r="N29" s="636">
        <v>21.150000000000002</v>
      </c>
      <c r="O29" s="636">
        <v>30.214285714285719</v>
      </c>
      <c r="P29" s="636">
        <v>60.428571428571438</v>
      </c>
      <c r="Q29" s="636">
        <v>0</v>
      </c>
      <c r="R29" s="636">
        <v>0</v>
      </c>
      <c r="S29" s="636">
        <v>0</v>
      </c>
      <c r="T29" s="636">
        <v>0</v>
      </c>
      <c r="U29" s="636">
        <v>0</v>
      </c>
      <c r="V29" s="636">
        <v>0</v>
      </c>
      <c r="W29" s="636">
        <v>0</v>
      </c>
      <c r="X29" s="636">
        <v>1600</v>
      </c>
      <c r="Y29" s="636" t="s">
        <v>49</v>
      </c>
      <c r="Z29" s="638" t="s">
        <v>155</v>
      </c>
    </row>
    <row r="30" spans="1:26" s="590" customFormat="1" ht="38.25">
      <c r="A30" s="589"/>
      <c r="B30" s="787">
        <v>71022</v>
      </c>
      <c r="C30" s="787">
        <v>3511</v>
      </c>
      <c r="D30" s="637" t="s">
        <v>883</v>
      </c>
      <c r="E30" s="636" t="s">
        <v>884</v>
      </c>
      <c r="F30" s="636" t="s">
        <v>885</v>
      </c>
      <c r="G30" s="636" t="s">
        <v>877</v>
      </c>
      <c r="H30" s="636" t="s">
        <v>878</v>
      </c>
      <c r="I30" s="636" t="s">
        <v>884</v>
      </c>
      <c r="J30" s="786">
        <v>40424</v>
      </c>
      <c r="K30" s="786">
        <v>40725</v>
      </c>
      <c r="L30" s="636" t="s">
        <v>879</v>
      </c>
      <c r="M30" s="636">
        <v>50</v>
      </c>
      <c r="N30" s="636">
        <v>225</v>
      </c>
      <c r="O30" s="636">
        <v>321.42857142857144</v>
      </c>
      <c r="P30" s="636">
        <v>642.85714285714289</v>
      </c>
      <c r="Q30" s="636">
        <v>0</v>
      </c>
      <c r="R30" s="636">
        <v>0</v>
      </c>
      <c r="S30" s="636">
        <v>0</v>
      </c>
      <c r="T30" s="636">
        <v>0</v>
      </c>
      <c r="U30" s="636">
        <v>0</v>
      </c>
      <c r="V30" s="636">
        <v>0</v>
      </c>
      <c r="W30" s="636">
        <v>0</v>
      </c>
      <c r="X30" s="636">
        <v>800</v>
      </c>
      <c r="Y30" s="636" t="s">
        <v>35</v>
      </c>
      <c r="Z30" s="638" t="s">
        <v>379</v>
      </c>
    </row>
    <row r="31" spans="1:26" s="590" customFormat="1" ht="51">
      <c r="A31" s="589"/>
      <c r="B31" s="787">
        <v>71022</v>
      </c>
      <c r="C31" s="787">
        <v>3500</v>
      </c>
      <c r="D31" s="637" t="s">
        <v>886</v>
      </c>
      <c r="E31" s="636" t="s">
        <v>887</v>
      </c>
      <c r="F31" s="636" t="s">
        <v>888</v>
      </c>
      <c r="G31" s="636" t="s">
        <v>877</v>
      </c>
      <c r="H31" s="636" t="s">
        <v>878</v>
      </c>
      <c r="I31" s="636" t="s">
        <v>887</v>
      </c>
      <c r="J31" s="786">
        <v>40904</v>
      </c>
      <c r="K31" s="786">
        <v>40904</v>
      </c>
      <c r="L31" s="636" t="s">
        <v>879</v>
      </c>
      <c r="M31" s="636">
        <v>220</v>
      </c>
      <c r="N31" s="636">
        <v>990</v>
      </c>
      <c r="O31" s="636">
        <v>1414.2857142857142</v>
      </c>
      <c r="P31" s="636">
        <v>2828.5714285714289</v>
      </c>
      <c r="Q31" s="636">
        <v>0</v>
      </c>
      <c r="R31" s="636">
        <v>0</v>
      </c>
      <c r="S31" s="636">
        <v>0</v>
      </c>
      <c r="T31" s="636">
        <v>0</v>
      </c>
      <c r="U31" s="636">
        <v>0</v>
      </c>
      <c r="V31" s="636">
        <v>0</v>
      </c>
      <c r="W31" s="636">
        <v>0</v>
      </c>
      <c r="X31" s="636">
        <v>1500</v>
      </c>
      <c r="Y31" s="636" t="s">
        <v>50</v>
      </c>
      <c r="Z31" s="638" t="s">
        <v>155</v>
      </c>
    </row>
    <row r="32" spans="1:26" s="590" customFormat="1" ht="25.5">
      <c r="A32" s="589"/>
      <c r="B32" s="787">
        <v>71022</v>
      </c>
      <c r="C32" s="787">
        <v>3511</v>
      </c>
      <c r="D32" s="637" t="s">
        <v>889</v>
      </c>
      <c r="E32" s="636" t="s">
        <v>890</v>
      </c>
      <c r="F32" s="636" t="s">
        <v>891</v>
      </c>
      <c r="G32" s="636" t="s">
        <v>877</v>
      </c>
      <c r="H32" s="636" t="s">
        <v>878</v>
      </c>
      <c r="I32" s="636" t="s">
        <v>892</v>
      </c>
      <c r="J32" s="786">
        <v>41907</v>
      </c>
      <c r="K32" s="786">
        <v>41907</v>
      </c>
      <c r="L32" s="636" t="s">
        <v>879</v>
      </c>
      <c r="M32" s="636">
        <v>5</v>
      </c>
      <c r="N32" s="636">
        <v>22.5</v>
      </c>
      <c r="O32" s="636">
        <v>32.142857142857146</v>
      </c>
      <c r="P32" s="636">
        <v>64.285714285714292</v>
      </c>
      <c r="Q32" s="636">
        <v>0</v>
      </c>
      <c r="R32" s="636">
        <v>0</v>
      </c>
      <c r="S32" s="636">
        <v>0</v>
      </c>
      <c r="T32" s="636">
        <v>0</v>
      </c>
      <c r="U32" s="636">
        <v>0</v>
      </c>
      <c r="V32" s="636">
        <v>0</v>
      </c>
      <c r="W32" s="636">
        <v>0</v>
      </c>
      <c r="X32" s="636">
        <v>1300</v>
      </c>
      <c r="Y32" s="636" t="s">
        <v>53</v>
      </c>
      <c r="Z32" s="638" t="s">
        <v>155</v>
      </c>
    </row>
    <row r="33" spans="1:26" s="590" customFormat="1" ht="25.5">
      <c r="A33" s="589"/>
      <c r="B33" s="787">
        <v>71022</v>
      </c>
      <c r="C33" s="787">
        <v>3500</v>
      </c>
      <c r="D33" s="637"/>
      <c r="E33" s="636"/>
      <c r="F33" s="636" t="s">
        <v>893</v>
      </c>
      <c r="G33" s="636" t="s">
        <v>877</v>
      </c>
      <c r="H33" s="636" t="s">
        <v>878</v>
      </c>
      <c r="I33" s="636" t="s">
        <v>894</v>
      </c>
      <c r="J33" s="786">
        <v>41879</v>
      </c>
      <c r="K33" s="786">
        <v>42423</v>
      </c>
      <c r="L33" s="636" t="s">
        <v>879</v>
      </c>
      <c r="M33" s="636">
        <v>9</v>
      </c>
      <c r="N33" s="636">
        <v>40.5</v>
      </c>
      <c r="O33" s="636">
        <v>57.857142857142861</v>
      </c>
      <c r="P33" s="636">
        <v>115.71428571428572</v>
      </c>
      <c r="Q33" s="636">
        <v>0</v>
      </c>
      <c r="R33" s="636">
        <v>0</v>
      </c>
      <c r="S33" s="636">
        <v>0</v>
      </c>
      <c r="T33" s="636">
        <v>0</v>
      </c>
      <c r="U33" s="636">
        <v>0</v>
      </c>
      <c r="V33" s="636">
        <v>0</v>
      </c>
      <c r="W33" s="636">
        <v>0</v>
      </c>
      <c r="X33" s="636">
        <v>1100</v>
      </c>
      <c r="Y33" s="636" t="s">
        <v>51</v>
      </c>
      <c r="Z33" s="638" t="s">
        <v>155</v>
      </c>
    </row>
    <row r="34" spans="1:26" s="590" customFormat="1" ht="51">
      <c r="A34" s="589"/>
      <c r="B34" s="787">
        <v>71022</v>
      </c>
      <c r="C34" s="787">
        <v>3500</v>
      </c>
      <c r="D34" s="637" t="s">
        <v>895</v>
      </c>
      <c r="E34" s="636"/>
      <c r="F34" s="636" t="s">
        <v>896</v>
      </c>
      <c r="G34" s="636" t="s">
        <v>897</v>
      </c>
      <c r="H34" s="636" t="s">
        <v>878</v>
      </c>
      <c r="I34" s="636" t="s">
        <v>898</v>
      </c>
      <c r="J34" s="786">
        <v>36161</v>
      </c>
      <c r="K34" s="786">
        <v>43089</v>
      </c>
      <c r="L34" s="636" t="s">
        <v>899</v>
      </c>
      <c r="M34" s="636">
        <v>760</v>
      </c>
      <c r="N34" s="636">
        <v>3420</v>
      </c>
      <c r="O34" s="636">
        <v>4885.7142857142862</v>
      </c>
      <c r="P34" s="636">
        <v>9771.4285714285725</v>
      </c>
      <c r="Q34" s="636">
        <v>0</v>
      </c>
      <c r="R34" s="636">
        <v>0</v>
      </c>
      <c r="S34" s="636">
        <v>0</v>
      </c>
      <c r="T34" s="636">
        <v>0</v>
      </c>
      <c r="U34" s="636">
        <v>0</v>
      </c>
      <c r="V34" s="636">
        <v>0</v>
      </c>
      <c r="W34" s="636">
        <v>0</v>
      </c>
      <c r="X34" s="636">
        <v>1500</v>
      </c>
      <c r="Y34" s="636" t="s">
        <v>50</v>
      </c>
      <c r="Z34" s="638" t="s">
        <v>155</v>
      </c>
    </row>
    <row r="35" spans="1:26" s="590" customFormat="1" ht="51">
      <c r="A35" s="589"/>
      <c r="B35" s="787">
        <v>71022</v>
      </c>
      <c r="C35" s="787">
        <v>3500</v>
      </c>
      <c r="D35" s="637" t="s">
        <v>900</v>
      </c>
      <c r="E35" s="636" t="s">
        <v>901</v>
      </c>
      <c r="F35" s="636" t="s">
        <v>902</v>
      </c>
      <c r="G35" s="636" t="s">
        <v>897</v>
      </c>
      <c r="H35" s="636" t="s">
        <v>878</v>
      </c>
      <c r="I35" s="636" t="s">
        <v>903</v>
      </c>
      <c r="J35" s="786">
        <v>43045</v>
      </c>
      <c r="K35" s="786">
        <v>43346</v>
      </c>
      <c r="L35" s="636" t="s">
        <v>899</v>
      </c>
      <c r="M35" s="636">
        <v>50</v>
      </c>
      <c r="N35" s="636">
        <v>225</v>
      </c>
      <c r="O35" s="636">
        <v>321.42857142857144</v>
      </c>
      <c r="P35" s="636">
        <v>642.85714285714289</v>
      </c>
      <c r="Q35" s="636">
        <v>0</v>
      </c>
      <c r="R35" s="636">
        <v>0</v>
      </c>
      <c r="S35" s="636">
        <v>0</v>
      </c>
      <c r="T35" s="636">
        <v>0</v>
      </c>
      <c r="U35" s="636">
        <v>0</v>
      </c>
      <c r="V35" s="636">
        <v>0</v>
      </c>
      <c r="W35" s="636">
        <v>0</v>
      </c>
      <c r="X35" s="636">
        <v>1500</v>
      </c>
      <c r="Y35" s="636" t="s">
        <v>50</v>
      </c>
      <c r="Z35" s="638" t="s">
        <v>155</v>
      </c>
    </row>
    <row r="36" spans="1:26" s="590" customFormat="1" ht="51">
      <c r="A36" s="589"/>
      <c r="B36" s="787">
        <v>71022</v>
      </c>
      <c r="C36" s="787">
        <v>3500</v>
      </c>
      <c r="D36" s="637" t="s">
        <v>904</v>
      </c>
      <c r="E36" s="636" t="s">
        <v>901</v>
      </c>
      <c r="F36" s="636" t="s">
        <v>905</v>
      </c>
      <c r="G36" s="636" t="s">
        <v>897</v>
      </c>
      <c r="H36" s="636" t="s">
        <v>878</v>
      </c>
      <c r="I36" s="636" t="s">
        <v>906</v>
      </c>
      <c r="J36" s="786">
        <v>42853</v>
      </c>
      <c r="K36" s="786">
        <v>43346</v>
      </c>
      <c r="L36" s="636" t="s">
        <v>899</v>
      </c>
      <c r="M36" s="636">
        <v>20</v>
      </c>
      <c r="N36" s="636">
        <v>90</v>
      </c>
      <c r="O36" s="636">
        <v>128.57142857142858</v>
      </c>
      <c r="P36" s="636">
        <v>257.14285714285717</v>
      </c>
      <c r="Q36" s="636">
        <v>0</v>
      </c>
      <c r="R36" s="636">
        <v>0</v>
      </c>
      <c r="S36" s="636">
        <v>0</v>
      </c>
      <c r="T36" s="636">
        <v>0</v>
      </c>
      <c r="U36" s="636">
        <v>0</v>
      </c>
      <c r="V36" s="636">
        <v>0</v>
      </c>
      <c r="W36" s="636">
        <v>0</v>
      </c>
      <c r="X36" s="636">
        <v>1500</v>
      </c>
      <c r="Y36" s="636" t="s">
        <v>50</v>
      </c>
      <c r="Z36" s="638" t="s">
        <v>155</v>
      </c>
    </row>
    <row r="37" spans="1:26" s="590" customFormat="1" ht="63.75">
      <c r="A37" s="589"/>
      <c r="B37" s="787">
        <v>71022</v>
      </c>
      <c r="C37" s="787">
        <v>3500</v>
      </c>
      <c r="D37" s="637" t="s">
        <v>907</v>
      </c>
      <c r="E37" s="636"/>
      <c r="F37" s="636" t="s">
        <v>908</v>
      </c>
      <c r="G37" s="636" t="s">
        <v>897</v>
      </c>
      <c r="H37" s="636" t="s">
        <v>878</v>
      </c>
      <c r="I37" s="636" t="s">
        <v>909</v>
      </c>
      <c r="J37" s="786">
        <v>42535</v>
      </c>
      <c r="K37" s="786">
        <v>43067</v>
      </c>
      <c r="L37" s="636" t="s">
        <v>899</v>
      </c>
      <c r="M37" s="636">
        <v>70</v>
      </c>
      <c r="N37" s="636">
        <v>315.00000000000006</v>
      </c>
      <c r="O37" s="636">
        <v>450.00000000000011</v>
      </c>
      <c r="P37" s="636">
        <v>900.00000000000023</v>
      </c>
      <c r="Q37" s="636">
        <v>0</v>
      </c>
      <c r="R37" s="636">
        <v>0</v>
      </c>
      <c r="S37" s="636">
        <v>0</v>
      </c>
      <c r="T37" s="636">
        <v>0</v>
      </c>
      <c r="U37" s="636">
        <v>0</v>
      </c>
      <c r="V37" s="636">
        <v>0</v>
      </c>
      <c r="W37" s="636">
        <v>0</v>
      </c>
      <c r="X37" s="636">
        <v>1600</v>
      </c>
      <c r="Y37" s="636" t="s">
        <v>49</v>
      </c>
      <c r="Z37" s="638" t="s">
        <v>155</v>
      </c>
    </row>
    <row r="38" spans="1:26" s="570" customFormat="1">
      <c r="A38" s="592" t="s">
        <v>275</v>
      </c>
      <c r="B38" s="593"/>
      <c r="C38" s="593"/>
      <c r="D38" s="593"/>
      <c r="E38" s="593"/>
      <c r="F38" s="593"/>
      <c r="G38" s="593"/>
      <c r="H38" s="593"/>
      <c r="I38" s="593"/>
      <c r="J38" s="593"/>
      <c r="K38" s="593"/>
      <c r="L38" s="594"/>
      <c r="M38" s="594">
        <f>SUM(M28:M37)</f>
        <v>1408.7</v>
      </c>
      <c r="N38" s="594">
        <f>SUM(N28:N37)</f>
        <v>6339.15</v>
      </c>
      <c r="O38" s="594">
        <f>SUM(O28:O37)</f>
        <v>9055.9285714285725</v>
      </c>
      <c r="P38" s="594">
        <f>SUM(P28:P37)</f>
        <v>18111.857142857145</v>
      </c>
      <c r="Q38" s="594">
        <f>SUM(Q28:Q37)</f>
        <v>0</v>
      </c>
      <c r="R38" s="594">
        <f>SUM(R28:R37)</f>
        <v>0</v>
      </c>
      <c r="S38" s="594">
        <f>SUM(S28:S37)</f>
        <v>0</v>
      </c>
      <c r="T38" s="594">
        <f>SUM(T28:T37)</f>
        <v>0</v>
      </c>
      <c r="U38" s="594">
        <f>SUM(U28:U37)</f>
        <v>0</v>
      </c>
      <c r="V38" s="594">
        <f>SUM(V28:V37)</f>
        <v>0</v>
      </c>
      <c r="W38" s="594">
        <f>SUM(W28:W37)</f>
        <v>0</v>
      </c>
      <c r="X38" s="595"/>
      <c r="Y38" s="595"/>
      <c r="Z38" s="596"/>
    </row>
    <row r="39" spans="1:26" s="570" customFormat="1">
      <c r="A39" s="592" t="s">
        <v>282</v>
      </c>
      <c r="B39" s="593"/>
      <c r="C39" s="593"/>
      <c r="D39" s="593"/>
      <c r="E39" s="593"/>
      <c r="F39" s="593"/>
      <c r="G39" s="593"/>
      <c r="H39" s="593"/>
      <c r="I39" s="593"/>
      <c r="J39" s="593"/>
      <c r="K39" s="593"/>
      <c r="L39" s="594"/>
      <c r="M39" s="594">
        <f>SUMIF($Z$28:$Z$37,"industrie",M28:M37)</f>
        <v>50</v>
      </c>
      <c r="N39" s="594">
        <f>SUMIF($Z$28:$Z$37,"industrie",N28:N37)</f>
        <v>225</v>
      </c>
      <c r="O39" s="594">
        <f>SUMIF($Z$28:$Z$37,"industrie",O28:O37)</f>
        <v>321.42857142857144</v>
      </c>
      <c r="P39" s="594">
        <f>SUMIF($Z$28:$Z$37,"industrie",P28:P37)</f>
        <v>642.85714285714289</v>
      </c>
      <c r="Q39" s="594">
        <f>SUMIF($Z$28:$Z$37,"industrie",Q28:Q37)</f>
        <v>0</v>
      </c>
      <c r="R39" s="594">
        <f>SUMIF($Z$28:$Z$37,"industrie",R28:R37)</f>
        <v>0</v>
      </c>
      <c r="S39" s="594">
        <f>SUMIF($Z$28:$Z$37,"industrie",S28:S37)</f>
        <v>0</v>
      </c>
      <c r="T39" s="594">
        <f>SUMIF($Z$28:$Z$37,"industrie",T28:T37)</f>
        <v>0</v>
      </c>
      <c r="U39" s="594">
        <f>SUMIF($Z$28:$Z$37,"industrie",U28:U37)</f>
        <v>0</v>
      </c>
      <c r="V39" s="594">
        <f>SUMIF($Z$28:$Z$37,"industrie",V28:V37)</f>
        <v>0</v>
      </c>
      <c r="W39" s="594">
        <f>SUMIF($Z$28:$Z$37,"industrie",W28:W37)</f>
        <v>0</v>
      </c>
      <c r="X39" s="595"/>
      <c r="Y39" s="595"/>
      <c r="Z39" s="596"/>
    </row>
    <row r="40" spans="1:26" s="570" customFormat="1">
      <c r="A40" s="592" t="s">
        <v>283</v>
      </c>
      <c r="B40" s="593"/>
      <c r="C40" s="593"/>
      <c r="D40" s="593"/>
      <c r="E40" s="593"/>
      <c r="F40" s="593"/>
      <c r="G40" s="593"/>
      <c r="H40" s="593"/>
      <c r="I40" s="593"/>
      <c r="J40" s="593"/>
      <c r="K40" s="593"/>
      <c r="L40" s="594"/>
      <c r="M40" s="594">
        <f ca="1">SUMIF($Z$28:AC37,"tertiair",M28:M37)</f>
        <v>1358.7</v>
      </c>
      <c r="N40" s="594">
        <f ca="1">SUMIF($Z$28:AD37,"tertiair",N28:N37)</f>
        <v>6114.15</v>
      </c>
      <c r="O40" s="594">
        <f ca="1">SUMIF($Z$28:AE37,"tertiair",O28:O37)</f>
        <v>8734.5</v>
      </c>
      <c r="P40" s="594">
        <f ca="1">SUMIF($Z$28:AF37,"tertiair",P28:P37)</f>
        <v>17469.000000000004</v>
      </c>
      <c r="Q40" s="594">
        <f ca="1">SUMIF($Z$28:AG37,"tertiair",Q28:Q37)</f>
        <v>0</v>
      </c>
      <c r="R40" s="594">
        <f ca="1">SUMIF($Z$28:AH37,"tertiair",R28:R37)</f>
        <v>0</v>
      </c>
      <c r="S40" s="594">
        <f ca="1">SUMIF($Z$28:AI37,"tertiair",S28:S37)</f>
        <v>0</v>
      </c>
      <c r="T40" s="594">
        <f ca="1">SUMIF($Z$28:AJ37,"tertiair",T28:T37)</f>
        <v>0</v>
      </c>
      <c r="U40" s="594">
        <f ca="1">SUMIF($Z$28:AK37,"tertiair",U28:U37)</f>
        <v>0</v>
      </c>
      <c r="V40" s="594">
        <f ca="1">SUMIF($Z$28:AL37,"tertiair",V28:V37)</f>
        <v>0</v>
      </c>
      <c r="W40" s="594">
        <f ca="1">SUMIF($Z$28:AM37,"tertiair",W28:W37)</f>
        <v>0</v>
      </c>
      <c r="X40" s="595"/>
      <c r="Y40" s="595"/>
      <c r="Z40" s="596"/>
    </row>
    <row r="41" spans="1:26" s="570" customFormat="1" ht="15.75" thickBot="1">
      <c r="A41" s="597" t="s">
        <v>284</v>
      </c>
      <c r="B41" s="598"/>
      <c r="C41" s="598"/>
      <c r="D41" s="598"/>
      <c r="E41" s="598"/>
      <c r="F41" s="598"/>
      <c r="G41" s="598"/>
      <c r="H41" s="598"/>
      <c r="I41" s="598"/>
      <c r="J41" s="598"/>
      <c r="K41" s="598"/>
      <c r="L41" s="599"/>
      <c r="M41" s="599">
        <f>SUMIF($Z$28:$Z$37,"landbouw",M28:M37)</f>
        <v>0</v>
      </c>
      <c r="N41" s="599">
        <f>SUMIF($Z$28:$Z$37,"landbouw",N28:N37)</f>
        <v>0</v>
      </c>
      <c r="O41" s="599">
        <f>SUMIF($Z$28:$Z$37,"landbouw",O28:O37)</f>
        <v>0</v>
      </c>
      <c r="P41" s="599">
        <f>SUMIF($Z$28:$Z$37,"landbouw",P28:P37)</f>
        <v>0</v>
      </c>
      <c r="Q41" s="599">
        <f>SUMIF($Z$28:$Z$37,"landbouw",Q28:Q37)</f>
        <v>0</v>
      </c>
      <c r="R41" s="599">
        <f>SUMIF($Z$28:$Z$37,"landbouw",R28:R37)</f>
        <v>0</v>
      </c>
      <c r="S41" s="599">
        <f>SUMIF($Z$28:$Z$37,"landbouw",S28:S37)</f>
        <v>0</v>
      </c>
      <c r="T41" s="599">
        <f>SUMIF($Z$28:$Z$37,"landbouw",T28:T37)</f>
        <v>0</v>
      </c>
      <c r="U41" s="599">
        <f>SUMIF($Z$28:$Z$37,"landbouw",U28:U37)</f>
        <v>0</v>
      </c>
      <c r="V41" s="599">
        <f>SUMIF($Z$28:$Z$37,"landbouw",V28:V37)</f>
        <v>0</v>
      </c>
      <c r="W41" s="599">
        <f>SUMIF($Z$28:$Z$37,"landbouw",W28:W37)</f>
        <v>0</v>
      </c>
      <c r="X41" s="600"/>
      <c r="Y41" s="600"/>
      <c r="Z41" s="601"/>
    </row>
    <row r="42" spans="1:26" s="531" customFormat="1" ht="15.75" thickBot="1">
      <c r="A42" s="602"/>
      <c r="B42" s="603"/>
      <c r="C42" s="603"/>
      <c r="D42" s="603"/>
      <c r="E42" s="603"/>
      <c r="F42" s="603"/>
      <c r="G42" s="603"/>
      <c r="H42" s="603"/>
      <c r="I42" s="603"/>
      <c r="J42" s="603"/>
      <c r="K42" s="603"/>
      <c r="L42" s="586"/>
      <c r="M42" s="586"/>
      <c r="N42" s="586"/>
      <c r="O42" s="587"/>
      <c r="P42" s="587"/>
    </row>
    <row r="43" spans="1:26" s="531" customFormat="1" ht="45">
      <c r="A43" s="604" t="s">
        <v>276</v>
      </c>
      <c r="B43" s="633" t="s">
        <v>89</v>
      </c>
      <c r="C43" s="633" t="s">
        <v>90</v>
      </c>
      <c r="D43" s="633" t="s">
        <v>91</v>
      </c>
      <c r="E43" s="633" t="s">
        <v>92</v>
      </c>
      <c r="F43" s="633" t="s">
        <v>93</v>
      </c>
      <c r="G43" s="633" t="s">
        <v>94</v>
      </c>
      <c r="H43" s="633" t="s">
        <v>95</v>
      </c>
      <c r="I43" s="633" t="s">
        <v>96</v>
      </c>
      <c r="J43" s="633" t="s">
        <v>97</v>
      </c>
      <c r="K43" s="633" t="s">
        <v>98</v>
      </c>
      <c r="L43" s="633" t="s">
        <v>99</v>
      </c>
      <c r="M43" s="634" t="s">
        <v>293</v>
      </c>
      <c r="N43" s="634" t="s">
        <v>100</v>
      </c>
      <c r="O43" s="634" t="s">
        <v>101</v>
      </c>
      <c r="P43" s="634" t="s">
        <v>517</v>
      </c>
      <c r="Q43" s="634" t="s">
        <v>102</v>
      </c>
      <c r="R43" s="634" t="s">
        <v>103</v>
      </c>
      <c r="S43" s="634" t="s">
        <v>104</v>
      </c>
      <c r="T43" s="634" t="s">
        <v>105</v>
      </c>
      <c r="U43" s="634" t="s">
        <v>106</v>
      </c>
      <c r="V43" s="634" t="s">
        <v>107</v>
      </c>
      <c r="W43" s="633" t="s">
        <v>108</v>
      </c>
      <c r="X43" s="633" t="s">
        <v>294</v>
      </c>
      <c r="Y43" s="633" t="s">
        <v>109</v>
      </c>
      <c r="Z43" s="635" t="s">
        <v>295</v>
      </c>
    </row>
    <row r="44" spans="1:26" s="605" customFormat="1" ht="63.75">
      <c r="A44" s="591"/>
      <c r="B44" s="787">
        <v>71022</v>
      </c>
      <c r="C44" s="787">
        <v>3511</v>
      </c>
      <c r="D44" s="639" t="s">
        <v>910</v>
      </c>
      <c r="E44" s="639" t="s">
        <v>911</v>
      </c>
      <c r="F44" s="639" t="s">
        <v>912</v>
      </c>
      <c r="G44" s="639" t="s">
        <v>913</v>
      </c>
      <c r="H44" s="639" t="s">
        <v>914</v>
      </c>
      <c r="I44" s="639" t="s">
        <v>915</v>
      </c>
      <c r="J44" s="786">
        <v>32143</v>
      </c>
      <c r="K44" s="786">
        <v>37316</v>
      </c>
      <c r="L44" s="639" t="s">
        <v>879</v>
      </c>
      <c r="M44" s="639">
        <v>275</v>
      </c>
      <c r="N44" s="639">
        <v>1237.5</v>
      </c>
      <c r="O44" s="639">
        <v>0</v>
      </c>
      <c r="P44" s="639">
        <v>0</v>
      </c>
      <c r="Q44" s="639">
        <v>3535.7142857142858</v>
      </c>
      <c r="R44" s="639">
        <v>0</v>
      </c>
      <c r="S44" s="639">
        <v>0</v>
      </c>
      <c r="T44" s="639">
        <v>0</v>
      </c>
      <c r="U44" s="639">
        <v>0</v>
      </c>
      <c r="V44" s="639">
        <v>0</v>
      </c>
      <c r="W44" s="639">
        <v>0</v>
      </c>
      <c r="X44" s="639">
        <v>1600</v>
      </c>
      <c r="Y44" s="639" t="s">
        <v>49</v>
      </c>
      <c r="Z44" s="640" t="s">
        <v>155</v>
      </c>
    </row>
    <row r="45" spans="1:26" s="570" customFormat="1">
      <c r="A45" s="592" t="s">
        <v>275</v>
      </c>
      <c r="B45" s="593"/>
      <c r="C45" s="593"/>
      <c r="D45" s="593"/>
      <c r="E45" s="593"/>
      <c r="F45" s="593"/>
      <c r="G45" s="593"/>
      <c r="H45" s="593"/>
      <c r="I45" s="593"/>
      <c r="J45" s="593"/>
      <c r="K45" s="593"/>
      <c r="L45" s="594"/>
      <c r="M45" s="594">
        <f>SUM(M44:M44)</f>
        <v>275</v>
      </c>
      <c r="N45" s="594">
        <f>SUM(N44:N44)</f>
        <v>1237.5</v>
      </c>
      <c r="O45" s="594">
        <f>SUM(O44:O44)</f>
        <v>0</v>
      </c>
      <c r="P45" s="594">
        <f>SUM(P44:P44)</f>
        <v>0</v>
      </c>
      <c r="Q45" s="594">
        <f>SUM(Q44:Q44)</f>
        <v>3535.7142857142858</v>
      </c>
      <c r="R45" s="594">
        <f>SUM(R44:R44)</f>
        <v>0</v>
      </c>
      <c r="S45" s="594">
        <f>SUM(S44:S44)</f>
        <v>0</v>
      </c>
      <c r="T45" s="594">
        <f>SUM(T44:T44)</f>
        <v>0</v>
      </c>
      <c r="U45" s="594">
        <f>SUM(U44:U44)</f>
        <v>0</v>
      </c>
      <c r="V45" s="594">
        <f>SUM(V44:V44)</f>
        <v>0</v>
      </c>
      <c r="W45" s="594">
        <f>SUM(W44:W44)</f>
        <v>0</v>
      </c>
      <c r="X45" s="595"/>
      <c r="Y45" s="595"/>
      <c r="Z45" s="596"/>
    </row>
    <row r="46" spans="1:26" s="570" customFormat="1">
      <c r="A46" s="592" t="s">
        <v>282</v>
      </c>
      <c r="B46" s="593"/>
      <c r="C46" s="593"/>
      <c r="D46" s="593"/>
      <c r="E46" s="593"/>
      <c r="F46" s="593"/>
      <c r="G46" s="593"/>
      <c r="H46" s="593"/>
      <c r="I46" s="593"/>
      <c r="J46" s="593"/>
      <c r="K46" s="593"/>
      <c r="L46" s="594"/>
      <c r="M46" s="594">
        <f>SUMIF($Z$44:$Z$44,"industrie",M44:M44)</f>
        <v>0</v>
      </c>
      <c r="N46" s="594">
        <f>SUMIF($Z$44:$Z$44,"industrie",N44:N44)</f>
        <v>0</v>
      </c>
      <c r="O46" s="594">
        <f>SUMIF($Z$44:$Z$44,"industrie",O44:O44)</f>
        <v>0</v>
      </c>
      <c r="P46" s="594">
        <f>SUMIF($Z$44:$Z$44,"industrie",P44:P44)</f>
        <v>0</v>
      </c>
      <c r="Q46" s="594">
        <f>SUMIF($Z$44:$Z$44,"industrie",Q44:Q44)</f>
        <v>0</v>
      </c>
      <c r="R46" s="594">
        <f>SUMIF($Z$44:$Z$44,"industrie",R44:R44)</f>
        <v>0</v>
      </c>
      <c r="S46" s="594">
        <f>SUMIF($Z$44:$Z$44,"industrie",S44:S44)</f>
        <v>0</v>
      </c>
      <c r="T46" s="594">
        <f>SUMIF($Z$44:$Z$44,"industrie",T44:T44)</f>
        <v>0</v>
      </c>
      <c r="U46" s="594">
        <f>SUMIF($Z$44:$Z$44,"industrie",U44:U44)</f>
        <v>0</v>
      </c>
      <c r="V46" s="594">
        <f>SUMIF($Z$44:$Z$44,"industrie",V44:V44)</f>
        <v>0</v>
      </c>
      <c r="W46" s="594">
        <f>SUMIF($Z$44:$Z$44,"industrie",W44:W44)</f>
        <v>0</v>
      </c>
      <c r="X46" s="595"/>
      <c r="Y46" s="595"/>
      <c r="Z46" s="596"/>
    </row>
    <row r="47" spans="1:26" s="570" customFormat="1">
      <c r="A47" s="592" t="s">
        <v>283</v>
      </c>
      <c r="B47" s="593"/>
      <c r="C47" s="593"/>
      <c r="D47" s="593"/>
      <c r="E47" s="593"/>
      <c r="F47" s="593"/>
      <c r="G47" s="593"/>
      <c r="H47" s="593"/>
      <c r="I47" s="593"/>
      <c r="J47" s="593"/>
      <c r="K47" s="593"/>
      <c r="L47" s="594"/>
      <c r="M47" s="594">
        <f>SUMIF($Z$44:$Z$45,"tertiair",M44:M45)</f>
        <v>275</v>
      </c>
      <c r="N47" s="594">
        <f>SUMIF($Z$44:$Z$45,"tertiair",N44:N45)</f>
        <v>1237.5</v>
      </c>
      <c r="O47" s="594">
        <f>SUMIF($Z$44:$Z$45,"tertiair",O44:O45)</f>
        <v>0</v>
      </c>
      <c r="P47" s="594">
        <f>SUMIF($Z$44:$Z$45,"tertiair",P44:P45)</f>
        <v>0</v>
      </c>
      <c r="Q47" s="594">
        <f>SUMIF($Z$44:$Z$45,"tertiair",Q44:Q45)</f>
        <v>3535.7142857142858</v>
      </c>
      <c r="R47" s="594">
        <f>SUMIF($Z$44:$Z$45,"tertiair",R44:R45)</f>
        <v>0</v>
      </c>
      <c r="S47" s="594">
        <f>SUMIF($Z$44:$Z$45,"tertiair",S44:S45)</f>
        <v>0</v>
      </c>
      <c r="T47" s="594">
        <f>SUMIF($Z$44:$Z$45,"tertiair",T44:T45)</f>
        <v>0</v>
      </c>
      <c r="U47" s="594">
        <f>SUMIF($Z$44:$Z$45,"tertiair",U44:U45)</f>
        <v>0</v>
      </c>
      <c r="V47" s="594">
        <f>SUMIF($Z$44:$Z$45,"tertiair",V44:V45)</f>
        <v>0</v>
      </c>
      <c r="W47" s="594">
        <f>SUMIF($Z$44:$Z$45,"tertiair",W44:W45)</f>
        <v>0</v>
      </c>
      <c r="X47" s="595"/>
      <c r="Y47" s="595"/>
      <c r="Z47" s="596"/>
    </row>
    <row r="48" spans="1:26" s="570" customFormat="1" ht="15.75" thickBot="1">
      <c r="A48" s="597" t="s">
        <v>284</v>
      </c>
      <c r="B48" s="598"/>
      <c r="C48" s="598"/>
      <c r="D48" s="598"/>
      <c r="E48" s="598"/>
      <c r="F48" s="598"/>
      <c r="G48" s="598"/>
      <c r="H48" s="598"/>
      <c r="I48" s="598"/>
      <c r="J48" s="598"/>
      <c r="K48" s="598"/>
      <c r="L48" s="599"/>
      <c r="M48" s="599">
        <f>SUMIF($Z$44:$Z$46,"landbouw",M44:M46)</f>
        <v>0</v>
      </c>
      <c r="N48" s="599">
        <f>SUMIF($Z$44:$Z$46,"landbouw",N44:N46)</f>
        <v>0</v>
      </c>
      <c r="O48" s="599">
        <f>SUMIF($Z$44:$Z$46,"landbouw",O44:O46)</f>
        <v>0</v>
      </c>
      <c r="P48" s="599">
        <f>SUMIF($Z$44:$Z$46,"landbouw",P44:P46)</f>
        <v>0</v>
      </c>
      <c r="Q48" s="599">
        <f>SUMIF($Z$44:$Z$46,"landbouw",Q44:Q46)</f>
        <v>0</v>
      </c>
      <c r="R48" s="599">
        <f>SUMIF($Z$44:$Z$46,"landbouw",R44:R46)</f>
        <v>0</v>
      </c>
      <c r="S48" s="599">
        <f>SUMIF($Z$44:$Z$46,"landbouw",S44:S46)</f>
        <v>0</v>
      </c>
      <c r="T48" s="599">
        <f>SUMIF($Z$44:$Z$46,"landbouw",T44:T46)</f>
        <v>0</v>
      </c>
      <c r="U48" s="599">
        <f>SUMIF($Z$44:$Z$46,"landbouw",U44:U46)</f>
        <v>0</v>
      </c>
      <c r="V48" s="599">
        <f>SUMIF($Z$44:$Z$46,"landbouw",V44:V46)</f>
        <v>0</v>
      </c>
      <c r="W48" s="599">
        <f>SUMIF($Z$44:$Z$46,"landbouw",W44:W46)</f>
        <v>0</v>
      </c>
      <c r="X48" s="600"/>
      <c r="Y48" s="600"/>
      <c r="Z48" s="601"/>
    </row>
    <row r="49" spans="1:27" s="606" customFormat="1">
      <c r="A49" s="602"/>
      <c r="B49" s="586"/>
      <c r="C49" s="586"/>
      <c r="D49" s="586"/>
      <c r="E49" s="586"/>
      <c r="F49" s="586"/>
      <c r="G49" s="586"/>
      <c r="H49" s="586"/>
      <c r="I49" s="586"/>
      <c r="J49" s="586"/>
      <c r="K49" s="586"/>
      <c r="L49" s="586"/>
      <c r="M49" s="586"/>
      <c r="N49" s="586"/>
      <c r="O49" s="586"/>
      <c r="P49" s="586"/>
      <c r="Q49" s="586"/>
      <c r="R49" s="586"/>
      <c r="S49" s="586"/>
      <c r="T49" s="586"/>
      <c r="U49" s="586"/>
      <c r="V49" s="586"/>
      <c r="W49" s="586"/>
      <c r="X49" s="586"/>
      <c r="Y49" s="586"/>
    </row>
    <row r="50" spans="1:27" s="606" customFormat="1" ht="15.75" thickBot="1">
      <c r="A50" s="602"/>
      <c r="B50" s="586"/>
      <c r="C50" s="586"/>
      <c r="D50" s="586"/>
      <c r="E50" s="586"/>
      <c r="F50" s="586"/>
      <c r="G50" s="586"/>
      <c r="H50" s="586"/>
      <c r="I50" s="586"/>
      <c r="J50" s="586"/>
      <c r="K50" s="586"/>
      <c r="L50" s="586"/>
      <c r="M50" s="586"/>
      <c r="N50" s="586"/>
      <c r="O50" s="586"/>
      <c r="P50" s="586"/>
      <c r="Q50" s="586"/>
      <c r="R50" s="586"/>
      <c r="S50" s="586"/>
      <c r="T50" s="586"/>
      <c r="U50" s="586"/>
      <c r="V50" s="586"/>
      <c r="W50" s="586"/>
      <c r="X50" s="586"/>
      <c r="Y50" s="586"/>
      <c r="Z50" s="586"/>
      <c r="AA50" s="586"/>
    </row>
    <row r="51" spans="1:27">
      <c r="A51" s="607" t="s">
        <v>277</v>
      </c>
      <c r="B51" s="608"/>
      <c r="C51" s="608"/>
      <c r="D51" s="608"/>
      <c r="E51" s="608"/>
      <c r="F51" s="608"/>
      <c r="G51" s="608"/>
      <c r="H51" s="608"/>
      <c r="I51" s="609"/>
      <c r="J51" s="610"/>
      <c r="K51" s="610"/>
      <c r="L51" s="611"/>
      <c r="M51" s="611"/>
      <c r="N51" s="611"/>
      <c r="O51" s="611"/>
      <c r="P51" s="611"/>
    </row>
    <row r="52" spans="1:27">
      <c r="A52" s="613"/>
      <c r="B52" s="603"/>
      <c r="C52" s="603"/>
      <c r="D52" s="603"/>
      <c r="E52" s="603"/>
      <c r="F52" s="603"/>
      <c r="G52" s="603"/>
      <c r="H52" s="603"/>
      <c r="I52" s="614"/>
      <c r="J52" s="603"/>
      <c r="K52" s="603"/>
      <c r="L52" s="611"/>
      <c r="M52" s="611"/>
      <c r="N52" s="611"/>
      <c r="O52" s="611"/>
      <c r="P52" s="611"/>
    </row>
    <row r="53" spans="1:27">
      <c r="A53" s="615"/>
      <c r="B53" s="616" t="s">
        <v>278</v>
      </c>
      <c r="C53" s="616" t="s">
        <v>279</v>
      </c>
      <c r="D53" s="616"/>
      <c r="E53" s="616"/>
      <c r="F53" s="616"/>
      <c r="G53" s="616"/>
      <c r="H53" s="616"/>
      <c r="I53" s="617"/>
      <c r="J53" s="616"/>
      <c r="K53" s="616"/>
      <c r="L53" s="616"/>
      <c r="M53" s="616"/>
      <c r="N53" s="616"/>
      <c r="O53" s="616"/>
      <c r="P53" s="611"/>
    </row>
    <row r="54" spans="1:27">
      <c r="A54" s="613" t="s">
        <v>275</v>
      </c>
      <c r="B54" s="618">
        <f>IF(ISERROR(O38/(O38+N38)),0,O38/(O38+N38))</f>
        <v>0.58823529411764708</v>
      </c>
      <c r="C54" s="619">
        <f>IF(ISERROR(N38/(O38+N38)),0,N38/(N38+O38))</f>
        <v>0.41176470588235292</v>
      </c>
      <c r="D54" s="586"/>
      <c r="E54" s="586"/>
      <c r="F54" s="586"/>
      <c r="G54" s="586"/>
      <c r="H54" s="586"/>
      <c r="I54" s="620"/>
      <c r="J54" s="586"/>
      <c r="K54" s="586"/>
      <c r="L54" s="621"/>
      <c r="M54" s="621"/>
      <c r="N54" s="621"/>
      <c r="O54" s="621"/>
      <c r="P54" s="611"/>
    </row>
    <row r="55" spans="1:27">
      <c r="A55" s="613"/>
      <c r="B55" s="622"/>
      <c r="C55" s="622"/>
      <c r="D55" s="622"/>
      <c r="E55" s="622"/>
      <c r="F55" s="622"/>
      <c r="G55" s="622"/>
      <c r="H55" s="622"/>
      <c r="I55" s="623"/>
      <c r="J55" s="622"/>
      <c r="K55" s="622"/>
      <c r="L55" s="624"/>
      <c r="M55" s="624"/>
      <c r="N55" s="624"/>
      <c r="O55" s="624"/>
      <c r="P55" s="611"/>
    </row>
    <row r="56" spans="1:27" ht="30">
      <c r="A56" s="625"/>
      <c r="B56" s="626" t="s">
        <v>517</v>
      </c>
      <c r="C56" s="626" t="s">
        <v>102</v>
      </c>
      <c r="D56" s="626" t="s">
        <v>103</v>
      </c>
      <c r="E56" s="626" t="s">
        <v>104</v>
      </c>
      <c r="F56" s="626" t="s">
        <v>105</v>
      </c>
      <c r="G56" s="626" t="s">
        <v>106</v>
      </c>
      <c r="H56" s="626" t="s">
        <v>107</v>
      </c>
      <c r="I56" s="627" t="s">
        <v>108</v>
      </c>
      <c r="J56" s="616"/>
      <c r="K56" s="616"/>
      <c r="L56" s="624"/>
      <c r="M56" s="624"/>
      <c r="N56" s="624"/>
      <c r="O56" s="611"/>
      <c r="P56" s="611"/>
    </row>
    <row r="57" spans="1:27">
      <c r="A57" s="615" t="s">
        <v>280</v>
      </c>
      <c r="B57" s="628">
        <f t="shared" ref="B57:I57" si="2">$C$54*P38</f>
        <v>7457.8235294117649</v>
      </c>
      <c r="C57" s="628">
        <f t="shared" si="2"/>
        <v>0</v>
      </c>
      <c r="D57" s="628">
        <f t="shared" si="2"/>
        <v>0</v>
      </c>
      <c r="E57" s="628">
        <f t="shared" si="2"/>
        <v>0</v>
      </c>
      <c r="F57" s="628">
        <f t="shared" si="2"/>
        <v>0</v>
      </c>
      <c r="G57" s="628">
        <f t="shared" si="2"/>
        <v>0</v>
      </c>
      <c r="H57" s="628">
        <f t="shared" si="2"/>
        <v>0</v>
      </c>
      <c r="I57" s="629">
        <f t="shared" si="2"/>
        <v>0</v>
      </c>
      <c r="J57" s="586"/>
      <c r="K57" s="586"/>
      <c r="L57" s="624"/>
      <c r="M57" s="624"/>
      <c r="N57" s="624"/>
      <c r="O57" s="611"/>
      <c r="P57" s="611"/>
    </row>
    <row r="58" spans="1:27" ht="15.75" thickBot="1">
      <c r="A58" s="630" t="s">
        <v>281</v>
      </c>
      <c r="B58" s="631">
        <f t="shared" ref="B58:I58" si="3">$B$54*P38</f>
        <v>10654.033613445379</v>
      </c>
      <c r="C58" s="631">
        <f t="shared" si="3"/>
        <v>0</v>
      </c>
      <c r="D58" s="631">
        <f t="shared" si="3"/>
        <v>0</v>
      </c>
      <c r="E58" s="631">
        <f t="shared" si="3"/>
        <v>0</v>
      </c>
      <c r="F58" s="631">
        <f t="shared" si="3"/>
        <v>0</v>
      </c>
      <c r="G58" s="631">
        <f t="shared" si="3"/>
        <v>0</v>
      </c>
      <c r="H58" s="631">
        <f t="shared" si="3"/>
        <v>0</v>
      </c>
      <c r="I58" s="632">
        <f t="shared" si="3"/>
        <v>0</v>
      </c>
      <c r="J58" s="586"/>
      <c r="K58" s="586"/>
      <c r="L58" s="624"/>
      <c r="M58" s="624"/>
      <c r="N58" s="624"/>
      <c r="O58" s="611"/>
      <c r="P58" s="611"/>
    </row>
    <row r="59" spans="1:27">
      <c r="J59" s="566"/>
      <c r="K59" s="566"/>
      <c r="L59" s="566"/>
      <c r="M59" s="566"/>
      <c r="N59" s="566"/>
    </row>
    <row r="60" spans="1:27">
      <c r="J60" s="566"/>
      <c r="K60" s="566"/>
      <c r="L60" s="566"/>
      <c r="M60" s="566"/>
      <c r="N60"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775</v>
      </c>
      <c r="B2" s="1068" t="s">
        <v>827</v>
      </c>
      <c r="C2" s="1046" t="s">
        <v>634</v>
      </c>
      <c r="D2" s="1046" t="s">
        <v>776</v>
      </c>
      <c r="E2" s="345"/>
      <c r="F2" s="893" t="s">
        <v>669</v>
      </c>
      <c r="G2" s="893" t="s">
        <v>668</v>
      </c>
      <c r="H2" s="893" t="s">
        <v>670</v>
      </c>
    </row>
    <row r="3" spans="1:8" s="11" customFormat="1">
      <c r="A3" s="1062" t="s">
        <v>821</v>
      </c>
      <c r="B3" s="1063" t="s">
        <v>823</v>
      </c>
      <c r="C3" s="1062" t="s">
        <v>192</v>
      </c>
      <c r="D3" s="1064" t="s">
        <v>826</v>
      </c>
      <c r="E3" s="345"/>
      <c r="F3" s="893" t="s">
        <v>669</v>
      </c>
      <c r="G3" s="893" t="s">
        <v>668</v>
      </c>
      <c r="H3" s="893" t="s">
        <v>670</v>
      </c>
    </row>
    <row r="4" spans="1:8" s="11" customFormat="1">
      <c r="A4" s="344" t="s">
        <v>390</v>
      </c>
      <c r="B4" s="794">
        <v>2021</v>
      </c>
      <c r="C4" s="344" t="s">
        <v>390</v>
      </c>
      <c r="D4" s="344" t="s">
        <v>676</v>
      </c>
      <c r="E4" s="345"/>
      <c r="F4" s="893" t="s">
        <v>665</v>
      </c>
      <c r="G4" s="893" t="s">
        <v>666</v>
      </c>
      <c r="H4" s="893" t="s">
        <v>667</v>
      </c>
    </row>
    <row r="5" spans="1:8">
      <c r="A5" s="339" t="s">
        <v>765</v>
      </c>
      <c r="B5" s="889" t="s">
        <v>777</v>
      </c>
      <c r="C5" s="339" t="s">
        <v>765</v>
      </c>
      <c r="D5" s="339" t="s">
        <v>677</v>
      </c>
      <c r="E5" s="341"/>
      <c r="F5" s="342"/>
      <c r="G5" s="342"/>
      <c r="H5" s="343"/>
    </row>
    <row r="6" spans="1:8">
      <c r="A6" s="344" t="s">
        <v>414</v>
      </c>
      <c r="B6" s="347" t="s">
        <v>415</v>
      </c>
      <c r="C6" s="344" t="s">
        <v>417</v>
      </c>
      <c r="D6" s="344" t="s">
        <v>413</v>
      </c>
      <c r="E6" s="341" t="s">
        <v>416</v>
      </c>
      <c r="F6" s="342"/>
      <c r="G6" s="342"/>
      <c r="H6" s="343"/>
    </row>
    <row r="7" spans="1:8" s="11" customFormat="1">
      <c r="A7" s="344" t="s">
        <v>671</v>
      </c>
      <c r="B7" s="794">
        <v>2020</v>
      </c>
      <c r="C7" s="344" t="s">
        <v>390</v>
      </c>
      <c r="D7" s="344" t="s">
        <v>828</v>
      </c>
      <c r="E7" s="345" t="s">
        <v>672</v>
      </c>
      <c r="F7" s="893"/>
      <c r="G7" s="893"/>
      <c r="H7" s="1051"/>
    </row>
    <row r="8" spans="1:8" s="883" customFormat="1">
      <c r="A8" s="344" t="s">
        <v>682</v>
      </c>
      <c r="B8" s="794">
        <v>2017</v>
      </c>
      <c r="C8" s="344" t="s">
        <v>684</v>
      </c>
      <c r="D8" s="344" t="s">
        <v>683</v>
      </c>
      <c r="E8" s="346" t="s">
        <v>681</v>
      </c>
      <c r="F8" s="342"/>
      <c r="G8" s="342"/>
      <c r="H8" s="343"/>
    </row>
    <row r="9" spans="1:8" s="11" customFormat="1">
      <c r="A9" s="344" t="s">
        <v>611</v>
      </c>
      <c r="B9" s="794" t="s">
        <v>812</v>
      </c>
      <c r="C9" s="344" t="s">
        <v>612</v>
      </c>
      <c r="D9" s="344" t="s">
        <v>613</v>
      </c>
      <c r="E9" s="345"/>
      <c r="F9" s="893" t="s">
        <v>779</v>
      </c>
      <c r="G9" s="893"/>
      <c r="H9" s="1045" t="s">
        <v>780</v>
      </c>
    </row>
    <row r="10" spans="1:8">
      <c r="A10" s="339" t="s">
        <v>660</v>
      </c>
      <c r="B10" s="889" t="s">
        <v>688</v>
      </c>
      <c r="C10" s="339" t="s">
        <v>661</v>
      </c>
      <c r="D10" s="339" t="s">
        <v>741</v>
      </c>
      <c r="E10" s="682"/>
      <c r="F10" s="342" t="s">
        <v>664</v>
      </c>
      <c r="G10" s="342" t="s">
        <v>662</v>
      </c>
      <c r="H10" s="343" t="s">
        <v>663</v>
      </c>
    </row>
    <row r="11" spans="1:8" s="883" customFormat="1">
      <c r="A11" s="344" t="s">
        <v>675</v>
      </c>
      <c r="B11" s="794">
        <v>2017</v>
      </c>
      <c r="C11" s="344" t="s">
        <v>408</v>
      </c>
      <c r="D11" s="344" t="s">
        <v>674</v>
      </c>
      <c r="E11" s="341"/>
      <c r="F11" s="342" t="s">
        <v>673</v>
      </c>
      <c r="G11" s="342" t="s">
        <v>678</v>
      </c>
      <c r="H11" s="343" t="s">
        <v>679</v>
      </c>
    </row>
    <row r="12" spans="1:8" s="10" customFormat="1">
      <c r="A12" s="344" t="s">
        <v>392</v>
      </c>
      <c r="B12" s="340" t="s">
        <v>407</v>
      </c>
      <c r="C12" s="339"/>
      <c r="D12" s="348" t="s">
        <v>406</v>
      </c>
      <c r="E12" s="341"/>
      <c r="F12" s="342"/>
      <c r="G12" s="342"/>
      <c r="H12" s="343"/>
    </row>
    <row r="13" spans="1:8">
      <c r="A13" s="339" t="s">
        <v>385</v>
      </c>
      <c r="B13" s="340" t="s">
        <v>781</v>
      </c>
      <c r="C13" s="339" t="s">
        <v>658</v>
      </c>
      <c r="D13" s="339" t="s">
        <v>778</v>
      </c>
      <c r="E13" s="346" t="s">
        <v>386</v>
      </c>
      <c r="F13" s="342" t="s">
        <v>387</v>
      </c>
      <c r="G13" s="342" t="s">
        <v>768</v>
      </c>
      <c r="H13" s="342" t="s">
        <v>388</v>
      </c>
    </row>
    <row r="14" spans="1:8" s="890" customFormat="1">
      <c r="A14" s="1070" t="s">
        <v>839</v>
      </c>
      <c r="B14" s="1071" t="s">
        <v>846</v>
      </c>
      <c r="C14" s="1070" t="s">
        <v>391</v>
      </c>
      <c r="D14" s="1070" t="s">
        <v>405</v>
      </c>
      <c r="E14" s="1072"/>
      <c r="F14" s="1073" t="s">
        <v>692</v>
      </c>
      <c r="G14" s="1073" t="s">
        <v>769</v>
      </c>
      <c r="H14" s="1073" t="s">
        <v>696</v>
      </c>
    </row>
    <row r="15" spans="1:8" s="890" customFormat="1">
      <c r="A15" s="1070" t="s">
        <v>490</v>
      </c>
      <c r="B15" s="1074" t="s">
        <v>792</v>
      </c>
      <c r="C15" s="1070" t="s">
        <v>689</v>
      </c>
      <c r="D15" s="1075" t="s">
        <v>791</v>
      </c>
      <c r="E15" s="1072" t="s">
        <v>371</v>
      </c>
      <c r="F15" s="1073" t="s">
        <v>659</v>
      </c>
      <c r="G15" s="1073" t="s">
        <v>847</v>
      </c>
      <c r="H15" s="1076" t="s">
        <v>848</v>
      </c>
    </row>
    <row r="16" spans="1:8" s="890" customFormat="1">
      <c r="A16" s="1070" t="s">
        <v>839</v>
      </c>
      <c r="B16" s="1074" t="s">
        <v>840</v>
      </c>
      <c r="C16" s="1070" t="s">
        <v>689</v>
      </c>
      <c r="D16" s="1075" t="s">
        <v>793</v>
      </c>
      <c r="E16" s="1072"/>
      <c r="F16" s="1073" t="s">
        <v>659</v>
      </c>
      <c r="G16" s="1073" t="s">
        <v>847</v>
      </c>
      <c r="H16" s="1076" t="s">
        <v>848</v>
      </c>
    </row>
    <row r="17" spans="1:8" s="890" customFormat="1">
      <c r="A17" s="1070" t="s">
        <v>844</v>
      </c>
      <c r="B17" s="1074" t="s">
        <v>810</v>
      </c>
      <c r="C17" s="1070" t="s">
        <v>839</v>
      </c>
      <c r="D17" s="1070" t="s">
        <v>845</v>
      </c>
      <c r="E17" s="1077" t="s">
        <v>849</v>
      </c>
      <c r="F17" s="1073" t="s">
        <v>659</v>
      </c>
      <c r="G17" s="1073" t="s">
        <v>847</v>
      </c>
      <c r="H17" s="1076" t="s">
        <v>848</v>
      </c>
    </row>
    <row r="18" spans="1:8" s="890" customFormat="1">
      <c r="A18" s="1070" t="s">
        <v>192</v>
      </c>
      <c r="B18" s="1078" t="s">
        <v>810</v>
      </c>
      <c r="C18" s="1070" t="s">
        <v>409</v>
      </c>
      <c r="D18" s="1070" t="s">
        <v>806</v>
      </c>
      <c r="E18" s="1072"/>
      <c r="F18" s="1073" t="s">
        <v>410</v>
      </c>
      <c r="G18" s="1073" t="s">
        <v>411</v>
      </c>
      <c r="H18" s="1076" t="s">
        <v>412</v>
      </c>
    </row>
    <row r="19" spans="1:8" s="890" customFormat="1">
      <c r="A19" s="1079" t="s">
        <v>824</v>
      </c>
      <c r="B19" s="1080" t="s">
        <v>823</v>
      </c>
      <c r="C19" s="1079" t="s">
        <v>192</v>
      </c>
      <c r="D19" s="1079" t="s">
        <v>825</v>
      </c>
      <c r="E19" s="1072"/>
      <c r="F19" s="1073"/>
      <c r="G19" s="1073"/>
      <c r="H19" s="1076"/>
    </row>
    <row r="20" spans="1:8" s="890" customFormat="1">
      <c r="A20" s="1070" t="s">
        <v>839</v>
      </c>
      <c r="B20" s="1078" t="s">
        <v>838</v>
      </c>
      <c r="C20" s="1070" t="s">
        <v>839</v>
      </c>
      <c r="D20" s="1070" t="s">
        <v>790</v>
      </c>
      <c r="E20" s="1072"/>
      <c r="F20" s="1073" t="s">
        <v>691</v>
      </c>
      <c r="G20" s="1073" t="s">
        <v>770</v>
      </c>
      <c r="H20" s="1076" t="s">
        <v>695</v>
      </c>
    </row>
    <row r="21" spans="1:8" s="890" customFormat="1">
      <c r="A21" s="1070" t="s">
        <v>839</v>
      </c>
      <c r="B21" s="1081" t="s">
        <v>841</v>
      </c>
      <c r="C21" s="1070" t="s">
        <v>839</v>
      </c>
      <c r="D21" s="1070" t="s">
        <v>789</v>
      </c>
      <c r="E21" s="1072"/>
      <c r="F21" s="1073" t="s">
        <v>691</v>
      </c>
      <c r="G21" s="1073" t="s">
        <v>770</v>
      </c>
      <c r="H21" s="1076" t="s">
        <v>695</v>
      </c>
    </row>
    <row r="22" spans="1:8" s="890" customFormat="1">
      <c r="A22" s="1070" t="s">
        <v>839</v>
      </c>
      <c r="B22" s="1078" t="s">
        <v>846</v>
      </c>
      <c r="C22" s="1070" t="s">
        <v>839</v>
      </c>
      <c r="D22" s="1070" t="s">
        <v>690</v>
      </c>
      <c r="E22" s="1072"/>
      <c r="F22" s="1073" t="s">
        <v>766</v>
      </c>
      <c r="G22" s="1073" t="s">
        <v>771</v>
      </c>
      <c r="H22" s="1076" t="s">
        <v>767</v>
      </c>
    </row>
    <row r="23" spans="1:8" s="890" customFormat="1">
      <c r="A23" s="1070" t="s">
        <v>839</v>
      </c>
      <c r="B23" s="1071" t="s">
        <v>842</v>
      </c>
      <c r="C23" s="1070" t="s">
        <v>839</v>
      </c>
      <c r="D23" s="1070" t="s">
        <v>636</v>
      </c>
      <c r="E23" s="1072"/>
      <c r="F23" s="1073" t="s">
        <v>694</v>
      </c>
      <c r="G23" s="1073" t="s">
        <v>772</v>
      </c>
      <c r="H23" s="1073" t="s">
        <v>693</v>
      </c>
    </row>
    <row r="24" spans="1:8" s="890" customFormat="1">
      <c r="A24" s="1070" t="s">
        <v>839</v>
      </c>
      <c r="B24" s="1071" t="s">
        <v>842</v>
      </c>
      <c r="C24" s="1070" t="s">
        <v>839</v>
      </c>
      <c r="D24" s="1075" t="s">
        <v>616</v>
      </c>
      <c r="E24" s="1072"/>
      <c r="F24" s="1073" t="s">
        <v>694</v>
      </c>
      <c r="G24" s="1073" t="s">
        <v>772</v>
      </c>
      <c r="H24" s="1076" t="s">
        <v>693</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601</v>
      </c>
      <c r="B1" s="894" t="s">
        <v>602</v>
      </c>
      <c r="C1" s="894" t="s">
        <v>604</v>
      </c>
      <c r="D1" s="894" t="s">
        <v>603</v>
      </c>
    </row>
    <row r="2" spans="1:4" s="884" customFormat="1">
      <c r="A2" s="1014" t="s">
        <v>804</v>
      </c>
      <c r="B2" s="919"/>
      <c r="C2" s="1049" t="s">
        <v>784</v>
      </c>
      <c r="D2" s="1050" t="s">
        <v>785</v>
      </c>
    </row>
    <row r="3" spans="1:4" s="884" customFormat="1">
      <c r="A3" s="1014" t="s">
        <v>804</v>
      </c>
      <c r="B3" s="919"/>
      <c r="C3" s="1049" t="s">
        <v>787</v>
      </c>
      <c r="D3" s="923" t="s">
        <v>786</v>
      </c>
    </row>
    <row r="4" spans="1:4" s="7" customFormat="1">
      <c r="A4" s="1014" t="s">
        <v>804</v>
      </c>
      <c r="B4" s="919"/>
      <c r="C4" s="1052" t="s">
        <v>832</v>
      </c>
      <c r="D4" s="1067" t="s">
        <v>829</v>
      </c>
    </row>
    <row r="5" spans="1:4" s="7" customFormat="1">
      <c r="A5" s="1014" t="s">
        <v>804</v>
      </c>
      <c r="B5" s="904"/>
      <c r="C5" s="1052" t="s">
        <v>831</v>
      </c>
      <c r="D5" s="1067" t="s">
        <v>830</v>
      </c>
    </row>
    <row r="6" spans="1:4" s="1065" customFormat="1">
      <c r="A6" s="1014" t="s">
        <v>804</v>
      </c>
      <c r="B6" s="1066"/>
      <c r="C6" s="1052" t="s">
        <v>834</v>
      </c>
      <c r="D6" s="1067" t="s">
        <v>835</v>
      </c>
    </row>
    <row r="7" spans="1:4" s="7" customFormat="1">
      <c r="A7" s="1014" t="s">
        <v>804</v>
      </c>
      <c r="B7" s="904"/>
      <c r="C7" s="1052" t="s">
        <v>852</v>
      </c>
      <c r="D7" s="1067" t="s">
        <v>836</v>
      </c>
    </row>
    <row r="8" spans="1:4" s="7" customFormat="1">
      <c r="A8" s="1014" t="s">
        <v>804</v>
      </c>
      <c r="B8" s="904"/>
      <c r="C8" s="1052" t="s">
        <v>853</v>
      </c>
      <c r="D8" s="1067" t="s">
        <v>837</v>
      </c>
    </row>
    <row r="9" spans="1:4" s="7" customFormat="1">
      <c r="A9" s="1014" t="s">
        <v>804</v>
      </c>
      <c r="B9" s="904"/>
      <c r="C9" s="1052" t="s">
        <v>854</v>
      </c>
      <c r="D9" s="1067" t="s">
        <v>833</v>
      </c>
    </row>
    <row r="10" spans="1:4" s="7" customFormat="1">
      <c r="A10" s="1014" t="s">
        <v>804</v>
      </c>
      <c r="B10" s="904"/>
      <c r="C10" s="1052" t="s">
        <v>850</v>
      </c>
      <c r="D10" s="1067" t="s">
        <v>851</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2021-06-29T14:21:31Z</dcterms:modified>
</cp:coreProperties>
</file>