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6" i="13"/>
  <c r="B35" i="13"/>
  <c r="B34" i="13"/>
  <c r="D6" i="17"/>
  <c r="D8" i="17" s="1"/>
  <c r="D12" i="17" s="1"/>
  <c r="E54" i="14" s="1"/>
  <c r="D16" i="16"/>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<sst xmlns="http://schemas.openxmlformats.org/spreadsheetml/2006/main" count="2429" uniqueCount="874">
  <si>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</si>
  <si>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</si>
  <si>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</si>
  <si>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</si>
  <si>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</si>
  <si>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</si>
  <si>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</si>
  <si>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</si>
  <si>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</si>
  <si>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</si>
  <si>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</si>
  <si>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</si>
  <si>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</si>
  <si>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</si>
  <si>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</si>
  <si>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</si>
  <si>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</si>
  <si>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</si>
  <si>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</si>
  <si>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</si>
  <si>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</si>
  <si>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</si>
  <si>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</si>
  <si>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</si>
  <si>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</si>
  <si>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</si>
  <si>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</si>
  <si>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</si>
  <si>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</si>
  <si>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</si>
  <si>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</si>
  <si>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</si>
  <si>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</si>
  <si>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</si>
  <si>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</si>
  <si>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</si>
  <si>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</si>
  <si>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</si>
  <si>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</si>
  <si>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</si>
  <si>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</si>
  <si>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</si>
  <si>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</si>
  <si>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</si>
  <si>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</si>
  <si>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</si>
  <si>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</si>
  <si>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</si>
  <si>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</si>
  <si>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</si>
  <si>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</si>
  <si>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</si>
  <si>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</si>
  <si>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</si>
  <si>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</si>
  <si>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</si>
  <si>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</si>
  <si>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</si>
  <si>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</si>
  <si>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</si>
  <si>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</si>
  <si>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</si>
  <si>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</si>
  <si>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</si>
  <si>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</si>
  <si>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</si>
  <si>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</si>
  <si>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</si>
  <si>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</si>
  <si>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</si>
  <si>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</si>
  <si>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</si>
  <si>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</si>
  <si>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</si>
  <si>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</si>
  <si>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</si>
  <si>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</si>
  <si>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</si>
  <si>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</si>
  <si>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</si>
  <si>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</si>
  <si>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</si>
  <si>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</si>
  <si>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</si>
  <si>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</si>
  <si>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</si>
  <si>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</si>
  <si>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</si>
  <si>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</si>
  <si>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</si>
  <si>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</si>
  <si>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</si>
  <si>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</si>
  <si>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</si>
  <si>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</si>
  <si>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</si>
  <si>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</si>
  <si>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</si>
  <si>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</si>
  <si>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</si>
  <si>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</si>
  <si>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</si>
  <si>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</si>
  <si>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</si>
  <si>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</si>
  <si>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</si>
  <si>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</si>
  <si>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</si>
  <si>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</si>
  <si>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</si>
  <si>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</si>
  <si>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</si>
  <si>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</si>
  <si>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</si>
  <si>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</si>
  <si>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</si>
  <si>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</si>
  <si>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</si>
  <si>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</si>
  <si>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</si>
  <si>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</si>
  <si>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</si>
  <si>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</si>
  <si>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</si>
  <si>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</si>
  <si>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</si>
  <si>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</si>
  <si>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</si>
  <si>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</si>
  <si>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</si>
  <si>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</si>
  <si>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</si>
  <si>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</si>
  <si>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</si>
  <si>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</si>
  <si>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</si>
  <si>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</si>
  <si>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</si>
  <si>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</si>
  <si>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</si>
  <si>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</si>
  <si>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</si>
  <si>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</si>
  <si>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</si>
  <si>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</si>
  <si>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</si>
  <si>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</si>
  <si>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</si>
  <si>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</si>
  <si>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</si>
  <si>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</si>
  <si>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</si>
  <si>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</si>
  <si>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</si>
  <si>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</si>
  <si>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</si>
  <si>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</si>
  <si>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</si>
  <si>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</si>
  <si>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</si>
  <si>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</si>
  <si>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</si>
  <si>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</si>
  <si>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</si>
  <si>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</si>
  <si>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</si>
  <si>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</si>
  <si>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</si>
  <si>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</si>
  <si>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</si>
  <si>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</si>
  <si>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</si>
  <si>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</si>
  <si>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</si>
  <si>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</si>
  <si>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</si>
  <si>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</si>
  <si>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</si>
  <si>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</si>
  <si>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</si>
  <si>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</si>
  <si>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</si>
  <si>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</si>
  <si>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</si>
  <si>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</si>
  <si>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</si>
  <si>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</si>
  <si>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</si>
  <si>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</si>
  <si>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</si>
  <si>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</si>
  <si>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</si>
  <si>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</si>
  <si>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</si>
  <si>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</si>
  <si>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</si>
  <si>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</si>
  <si>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</si>
  <si>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</si>
  <si>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</si>
  <si>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</si>
  <si>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</si>
  <si>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</si>
  <si>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</si>
  <si>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</si>
  <si>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</si>
  <si>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</si>
  <si>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</si>
  <si>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</si>
  <si>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</si>
  <si>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</si>
  <si>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</si>
  <si>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</si>
  <si>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</si>
  <si>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</si>
  <si>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</si>
  <si>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</si>
  <si>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</si>
  <si>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</si>
  <si>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</si>
  <si>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</si>
  <si>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</si>
  <si>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</si>
  <si>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</si>
  <si>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</si>
  <si>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</si>
  <si>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</si>
  <si>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</si>
  <si>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</si>
  <si>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</si>
  <si>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</si>
  <si>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</si>
  <si>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</si>
  <si>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</si>
  <si>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</si>
  <si>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</si>
  <si>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</si>
  <si>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</si>
  <si>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</si>
  <si>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</si>
  <si>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</si>
  <si>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</si>
  <si>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</si>
  <si>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</si>
  <si>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</si>
  <si>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</si>
  <si>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</si>
  <si>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</si>
  <si>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</si>
  <si>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</si>
  <si>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</si>
  <si>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</si>
  <si>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</si>
  <si>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</si>
  <si>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</si>
  <si>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</si>
  <si>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</si>
  <si>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</si>
  <si>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</si>
  <si>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</si>
  <si>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</si>
  <si>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</si>
  <si>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</si>
  <si>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</si>
  <si>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</si>
  <si>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</si>
  <si>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</si>
  <si>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</si>
  <si>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</si>
  <si>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</si>
  <si>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</si>
  <si>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</si>
  <si>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</si>
  <si>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</si>
  <si>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</si>
  <si>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</si>
  <si>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</si>
  <si>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</si>
  <si>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</si>
  <si>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</si>
  <si>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</si>
  <si>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</si>
  <si>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</si>
  <si>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</si>
  <si>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</si>
  <si>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</si>
  <si>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</si>
  <si>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</si>
  <si>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</si>
  <si>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</si>
  <si>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</si>
  <si>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</si>
  <si>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</si>
  <si>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</si>
  <si>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</si>
  <si>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</si>
  <si>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</si>
  <si>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</si>
  <si>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</si>
  <si>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</si>
  <si>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</si>
  <si>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</si>
  <si>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</si>
  <si>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</si>
  <si>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</si>
  <si>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</si>
  <si>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</si>
  <si>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</si>
  <si>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</si>
  <si>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</si>
  <si>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</si>
  <si>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</si>
  <si>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</si>
  <si>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</si>
  <si>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</si>
  <si>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</si>
  <si>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</si>
  <si>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</si>
  <si>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</si>
  <si>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</si>
  <si>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</si>
  <si>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</si>
  <si>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</si>
  <si>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</si>
  <si>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</si>
  <si>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</si>
  <si>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</si>
  <si>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</si>
  <si>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</si>
  <si>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</si>
  <si>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</si>
  <si>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</si>
  <si>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</si>
  <si>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</si>
  <si>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</si>
  <si>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</si>
  <si>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</si>
  <si>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</si>
  <si>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</si>
  <si>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</si>
  <si>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</si>
  <si>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</si>
  <si>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</si>
  <si>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</si>
  <si>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</si>
  <si>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</si>
  <si>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</si>
  <si>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</si>
  <si>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</si>
  <si>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</si>
  <si>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</si>
  <si>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</si>
  <si>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</si>
  <si>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</si>
  <si>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</si>
  <si>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</si>
  <si>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</si>
  <si>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</si>
  <si>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</si>
  <si>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</si>
  <si>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</si>
  <si>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</si>
  <si>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</si>
  <si>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</si>
  <si>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</si>
  <si>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</si>
  <si>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</si>
  <si>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</si>
  <si>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</si>
  <si>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</si>
  <si>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</si>
  <si>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</si>
  <si>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</si>
  <si>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</si>
  <si>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</si>
  <si>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</si>
  <si>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</si>
  <si>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</si>
  <si>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</si>
  <si>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</si>
  <si>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</si>
  <si>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</si>
  <si>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</si>
  <si>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</si>
  <si>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</si>
  <si>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</si>
  <si>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</si>
  <si>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</si>
  <si>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</si>
  <si>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</si>
  <si>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</si>
  <si>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</si>
  <si>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</si>
  <si>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</si>
  <si>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</si>
  <si>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</si>
  <si>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</si>
  <si>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</si>
  <si>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</si>
  <si>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</si>
  <si>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</si>
  <si>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</si>
  <si>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</si>
  <si>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</si>
  <si>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</si>
  <si>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</si>
  <si>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</si>
  <si>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</si>
  <si>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</si>
  <si>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</si>
  <si>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</si>
  <si>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</si>
  <si>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</si>
  <si>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</si>
  <si>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</si>
  <si>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</si>
  <si>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</si>
  <si>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</si>
  <si>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</si>
  <si>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</si>
  <si>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</si>
  <si>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</si>
  <si>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</si>
  <si>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</si>
  <si>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</si>
  <si>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</si>
  <si>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</si>
  <si>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</si>
  <si>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</si>
  <si>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</si>
  <si>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</si>
  <si>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</si>
  <si>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</si>
  <si>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</si>
  <si>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</si>
  <si>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</si>
  <si>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</si>
  <si>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</si>
  <si>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</si>
  <si>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</si>
  <si>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</si>
  <si>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</si>
  <si>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</si>
  <si>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</si>
  <si>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</si>
  <si>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</si>
  <si>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</si>
  <si>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</si>
  <si>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</si>
  <si>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</si>
  <si>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</si>
  <si>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</si>
  <si>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</si>
  <si>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</si>
  <si>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</si>
  <si>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</si>
  <si>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</si>
  <si>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</si>
  <si>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</si>
  <si>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</si>
  <si>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</si>
  <si>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</si>
  <si>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</si>
  <si>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</si>
  <si>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</si>
  <si>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</si>
  <si>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</si>
  <si>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</si>
  <si>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</si>
  <si>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</si>
  <si>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</si>
  <si>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</si>
  <si>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</si>
  <si>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</si>
  <si>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</si>
  <si>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</si>
  <si>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</si>
  <si>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</si>
  <si>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</si>
  <si>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</si>
  <si>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</si>
  <si>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</si>
  <si>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</si>
  <si>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</si>
  <si>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</si>
  <si>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</si>
  <si>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</si>
  <si>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</si>
  <si>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</si>
  <si>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</si>
  <si>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</si>
  <si>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</si>
  <si>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</si>
  <si>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</si>
  <si>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</si>
  <si>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</si>
  <si>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</si>
  <si>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</si>
  <si>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</si>
  <si>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</si>
  <si>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</si>
  <si>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</si>
  <si>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</si>
  <si>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</si>
  <si>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</si>
  <si>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</si>
  <si>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</si>
  <si>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</si>
  <si>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</si>
  <si>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</si>
  <si>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</si>
  <si>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</si>
  <si>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</si>
  <si>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</si>
  <si>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</si>
  <si>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</si>
  <si>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</si>
  <si>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</si>
  <si>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</si>
  <si>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</si>
  <si>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</si>
  <si>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</si>
  <si>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</si>
  <si>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</si>
  <si>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</si>
  <si>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</si>
  <si>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</si>
  <si>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</si>
  <si>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</si>
  <si>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</si>
  <si>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</si>
  <si>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</si>
  <si>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</si>
  <si>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</si>
  <si>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</si>
  <si>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</si>
  <si>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</si>
  <si>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</si>
  <si>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</si>
  <si>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</si>
  <si>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</si>
  <si>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</si>
  <si>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</si>
  <si>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</si>
  <si>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</si>
  <si>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</si>
  <si>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</si>
  <si>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</si>
  <si>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</si>
  <si>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</si>
  <si>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</si>
  <si>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</si>
  <si>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</si>
  <si>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</si>
  <si>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</si>
  <si>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</si>
  <si>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</si>
  <si>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</si>
  <si>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</si>
  <si>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</si>
  <si>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</si>
  <si>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</si>
  <si>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</si>
  <si>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</si>
  <si>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</si>
  <si>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</si>
  <si>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</si>
  <si>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</si>
  <si>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</si>
  <si>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</si>
  <si>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</si>
  <si>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</si>
  <si>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</si>
  <si>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</si>
  <si>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</si>
  <si>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</si>
  <si>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</si>
  <si>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</si>
  <si>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</si>
  <si>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</si>
  <si>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</si>
  <si>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</si>
  <si>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</si>
  <si>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</si>
  <si>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</si>
  <si>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</si>
  <si>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</si>
  <si>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</si>
  <si>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</si>
  <si>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</si>
  <si>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</si>
  <si>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</si>
  <si>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</si>
  <si>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</si>
  <si>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</si>
  <si>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</si>
  <si>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</si>
  <si>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</si>
  <si>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</si>
  <si>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</si>
  <si>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</si>
  <si>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</si>
  <si>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</si>
  <si>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</si>
  <si>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</si>
  <si>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</si>
  <si>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</si>
  <si>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</si>
  <si>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</si>
  <si>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</si>
  <si>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</si>
  <si>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</si>
  <si>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</si>
  <si>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</si>
  <si>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</si>
  <si>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</si>
  <si>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</si>
  <si>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</si>
  <si>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</si>
  <si>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</si>
  <si>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</si>
  <si>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</si>
  <si>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</si>
  <si>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</si>
  <si>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</si>
  <si>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</si>
  <si>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</si>
  <si>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</si>
  <si>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</si>
  <si>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</si>
  <si>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</si>
  <si>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</si>
  <si>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</si>
  <si>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</si>
  <si>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</si>
  <si>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</si>
  <si>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</si>
  <si>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</si>
  <si>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</si>
  <si>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</si>
  <si>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</si>
  <si>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</si>
  <si>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</si>
  <si>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</si>
  <si>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</si>
  <si>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</si>
  <si>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</si>
  <si>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</si>
  <si>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</si>
  <si>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</si>
  <si>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</si>
  <si>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</si>
  <si>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</si>
  <si>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</si>
  <si>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</si>
  <si>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</si>
  <si>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</si>
  <si>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</si>
  <si>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</si>
  <si>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</si>
  <si>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</si>
  <si>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</si>
  <si>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</si>
  <si>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</si>
  <si>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</si>
  <si>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</si>
  <si>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</si>
  <si>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</si>
  <si>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</si>
  <si>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</si>
  <si>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</si>
  <si>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</si>
  <si>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</si>
  <si>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</si>
  <si>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</si>
  <si>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</si>
  <si>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</si>
  <si>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</si>
  <si>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</si>
  <si>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</si>
  <si>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</si>
  <si>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</si>
  <si>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</si>
  <si>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</si>
  <si>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</si>
  <si>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</si>
  <si>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</si>
  <si>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</si>
  <si>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</si>
  <si>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</si>
  <si>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</si>
  <si>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</si>
  <si>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</si>
  <si>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</si>
  <si>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</si>
  <si>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</si>
  <si>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</si>
  <si>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</si>
  <si>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</si>
  <si>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</si>
  <si>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</si>
  <si>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</si>
  <si>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</si>
  <si>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</si>
  <si>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</si>
  <si>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</si>
  <si>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</si>
  <si>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</si>
  <si>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</si>
  <si>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</si>
  <si>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</si>
  <si>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</si>
  <si>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</si>
  <si>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</si>
  <si>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</si>
  <si>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</si>
  <si>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</si>
  <si>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</si>
  <si>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</si>
  <si>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</si>
  <si>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</si>
  <si>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</si>
  <si>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</si>
  <si>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</si>
  <si>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</si>
  <si>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</si>
  <si>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</si>
  <si>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</si>
  <si>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</si>
  <si>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</si>
  <si>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</si>
  <si>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</si>
  <si>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</si>
  <si>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</si>
  <si>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</si>
  <si>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</si>
  <si>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</si>
  <si>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</si>
  <si>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</si>
  <si>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</si>
  <si>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</si>
  <si>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</si>
  <si>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</si>
  <si>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</si>
  <si>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</si>
  <si>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</si>
  <si>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</si>
  <si>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</si>
  <si>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</si>
  <si>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</si>
  <si>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</si>
  <si>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</si>
  <si>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</si>
  <si>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</si>
  <si>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</si>
  <si>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</si>
  <si>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</si>
  <si>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</si>
  <si>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</si>
  <si>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</si>
  <si>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</si>
  <si>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</si>
  <si>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</si>
  <si>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</si>
  <si>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</si>
  <si>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</si>
  <si>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</si>
  <si>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</si>
  <si>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</si>
  <si>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</si>
  <si>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</si>
  <si>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</si>
  <si>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</si>
  <si>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</si>
  <si>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</si>
  <si>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</si>
  <si>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</si>
  <si>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</si>
  <si>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</si>
  <si>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</si>
  <si>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</si>
  <si>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</si>
  <si>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</si>
  <si>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</si>
  <si>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</si>
  <si>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</si>
  <si>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</si>
  <si>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</si>
  <si>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</si>
  <si>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</si>
  <si>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</si>
  <si>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</si>
  <si>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</si>
  <si>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</si>
  <si>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</si>
  <si>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</si>
  <si>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</si>
  <si>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</si>
  <si>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</si>
  <si>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</si>
  <si>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</si>
  <si>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</si>
  <si>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</si>
  <si>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</si>
  <si>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</si>
  <si>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</si>
  <si>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</si>
  <si>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</si>
  <si>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</si>
  <si>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</si>
  <si>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</si>
  <si>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</si>
  <si>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</si>
  <si>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</si>
  <si>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</si>
  <si>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</si>
  <si>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</si>
  <si>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</si>
  <si>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</si>
  <si>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</si>
  <si>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</si>
  <si>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</si>
  <si>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</si>
  <si>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</si>
  <si>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</si>
  <si>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</si>
  <si>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</si>
  <si>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</si>
  <si>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</si>
  <si>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</si>
  <si>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</si>
  <si>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</si>
  <si>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</si>
  <si>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</si>
  <si>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</si>
  <si>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</si>
  <si>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</si>
  <si>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</si>
  <si>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</si>
  <si>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</si>
  <si>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</si>
  <si>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</si>
  <si>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</si>
  <si>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</si>
  <si>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</si>
  <si>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</si>
  <si>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</si>
  <si>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</si>
  <si>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</si>
  <si>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</si>
  <si>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</si>
  <si>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</si>
  <si>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</si>
  <si>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</si>
  <si>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</si>
  <si>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</si>
  <si>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</si>
  <si>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</si>
  <si>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</si>
  <si>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</si>
  <si>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</si>
  <si>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</si>
  <si>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</si>
  <si>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</si>
  <si>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</si>
  <si>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</si>
  <si>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</si>
  <si>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</si>
  <si>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</si>
  <si>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</si>
  <si>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71004</t>
  </si>
  <si>
    <t>BERINGEN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</si>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</sst>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353952.19811914745</c:v>
                </c:pt>
                <c:pt idx="1">
                  <c:v>108684.93394306982</c:v>
                </c:pt>
                <c:pt idx="2">
                  <c:v>2198.1633459999998</c:v>
                </c:pt>
                <c:pt idx="3">
                  <c:v>1602.0796184125352</c:v>
                </c:pt>
                <c:pt idx="4">
                  <c:v>82200.060131986465</c:v>
                </c:pt>
                <c:pt idx="5">
                  <c:v>263002.12618642737</c:v>
                </c:pt>
                <c:pt idx="6">
                  <c:v>3331.9244120277826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353952.19811914745</c:v>
                </c:pt>
                <c:pt idx="1">
                  <c:v>108684.93394306982</c:v>
                </c:pt>
                <c:pt idx="2">
                  <c:v>2198.1633459999998</c:v>
                </c:pt>
                <c:pt idx="3">
                  <c:v>1602.0796184125352</c:v>
                </c:pt>
                <c:pt idx="4">
                  <c:v>82200.060131986465</c:v>
                </c:pt>
                <c:pt idx="5">
                  <c:v>263002.12618642737</c:v>
                </c:pt>
                <c:pt idx="6">
                  <c:v>3331.9244120277826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67567.420733847321</c:v>
                </c:pt>
                <c:pt idx="1">
                  <c:v>18431.2670501953</c:v>
                </c:pt>
                <c:pt idx="2">
                  <c:v>276.3677406872053</c:v>
                </c:pt>
                <c:pt idx="3">
                  <c:v>381.04834506337727</c:v>
                </c:pt>
                <c:pt idx="4">
                  <c:v>13978.141245052626</c:v>
                </c:pt>
                <c:pt idx="5">
                  <c:v>65109.301791353966</c:v>
                </c:pt>
                <c:pt idx="6">
                  <c:v>835.03121926312861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67567.420733847321</c:v>
                </c:pt>
                <c:pt idx="1">
                  <c:v>18431.2670501953</c:v>
                </c:pt>
                <c:pt idx="2">
                  <c:v>276.3677406872053</c:v>
                </c:pt>
                <c:pt idx="3">
                  <c:v>381.04834506337727</c:v>
                </c:pt>
                <c:pt idx="4">
                  <c:v>13978.141245052626</c:v>
                </c:pt>
                <c:pt idx="5">
                  <c:v>65109.301791353966</c:v>
                </c:pt>
                <c:pt idx="6">
                  <c:v>835.03121926312861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71004</v>
      </c>
      <c r="B6" s="386"/>
      <c r="C6" s="387"/>
    </row>
    <row r="7" spans="1:7" s="384" customFormat="1" ht="15.75" customHeight="1">
      <c r="A7" s="388" t="str">
        <f>txtMunicipality</f>
        <v>BERINGEN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47600.604256999992</v>
      </c>
      <c r="D10" s="683">
        <f ca="1">tertiair!C16</f>
        <v>0</v>
      </c>
      <c r="E10" s="683">
        <f ca="1">tertiair!D16</f>
        <v>48084.468214335</v>
      </c>
      <c r="F10" s="683">
        <f>tertiair!E16</f>
        <v>271.78676281919957</v>
      </c>
      <c r="G10" s="683">
        <f ca="1">tertiair!F16</f>
        <v>11041.878894347983</v>
      </c>
      <c r="H10" s="683">
        <f>tertiair!G16</f>
        <v>0</v>
      </c>
      <c r="I10" s="683">
        <f>tertiair!H16</f>
        <v>0</v>
      </c>
      <c r="J10" s="683">
        <f>tertiair!I16</f>
        <v>0</v>
      </c>
      <c r="K10" s="683">
        <f>tertiair!J16</f>
        <v>8.4335718523977823E-2</v>
      </c>
      <c r="L10" s="683">
        <f>tertiair!K16</f>
        <v>0</v>
      </c>
      <c r="M10" s="683">
        <f ca="1">tertiair!L16</f>
        <v>0</v>
      </c>
      <c r="N10" s="683">
        <f>tertiair!M16</f>
        <v>0</v>
      </c>
      <c r="O10" s="683">
        <f ca="1">tertiair!N16</f>
        <v>3239.1133828736529</v>
      </c>
      <c r="P10" s="683">
        <f>tertiair!O16</f>
        <v>14.691782297523464</v>
      </c>
      <c r="Q10" s="684">
        <f>tertiair!P16</f>
        <v>630.46965967794017</v>
      </c>
      <c r="R10" s="686">
        <f ca="1">SUM(C10:Q10)</f>
        <v>110883.09728906982</v>
      </c>
      <c r="S10" s="67"/>
    </row>
    <row r="11" spans="1:19" s="445" customFormat="1">
      <c r="A11" s="804" t="s">
        <v>220</v>
      </c>
      <c r="B11" s="809"/>
      <c r="C11" s="683">
        <f>huishoudens!B8</f>
        <v>70748.899197833671</v>
      </c>
      <c r="D11" s="683">
        <f>huishoudens!C8</f>
        <v>0</v>
      </c>
      <c r="E11" s="683">
        <f>huishoudens!D8</f>
        <v>141844.27235474999</v>
      </c>
      <c r="F11" s="683">
        <f>huishoudens!E8</f>
        <v>4904.9967642838355</v>
      </c>
      <c r="G11" s="683">
        <f>huishoudens!F8</f>
        <v>107451.82799280962</v>
      </c>
      <c r="H11" s="683">
        <f>huishoudens!G8</f>
        <v>0</v>
      </c>
      <c r="I11" s="683">
        <f>huishoudens!H8</f>
        <v>0</v>
      </c>
      <c r="J11" s="683">
        <f>huishoudens!I8</f>
        <v>0</v>
      </c>
      <c r="K11" s="683">
        <f>huishoudens!J8</f>
        <v>612.37972014128013</v>
      </c>
      <c r="L11" s="683">
        <f>huishoudens!K8</f>
        <v>0</v>
      </c>
      <c r="M11" s="683">
        <f>huishoudens!L8</f>
        <v>0</v>
      </c>
      <c r="N11" s="683">
        <f>huishoudens!M8</f>
        <v>0</v>
      </c>
      <c r="O11" s="683">
        <f>huishoudens!N8</f>
        <v>24518.01468047321</v>
      </c>
      <c r="P11" s="683">
        <f>huishoudens!O8</f>
        <v>1607.0061577034955</v>
      </c>
      <c r="Q11" s="684">
        <f>huishoudens!P8</f>
        <v>2264.8012511522797</v>
      </c>
      <c r="R11" s="686">
        <f>SUM(C11:Q11)</f>
        <v>353952.19811914745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36374.568499000001</v>
      </c>
      <c r="D13" s="683">
        <f>industrie!C18</f>
        <v>0</v>
      </c>
      <c r="E13" s="683">
        <f>industrie!D18</f>
        <v>37725.506020544999</v>
      </c>
      <c r="F13" s="683">
        <f>industrie!E18</f>
        <v>579.11392367053713</v>
      </c>
      <c r="G13" s="683">
        <f>industrie!F18</f>
        <v>6139.6374223900284</v>
      </c>
      <c r="H13" s="683">
        <f>industrie!G18</f>
        <v>0</v>
      </c>
      <c r="I13" s="683">
        <f>industrie!H18</f>
        <v>0</v>
      </c>
      <c r="J13" s="683">
        <f>industrie!I18</f>
        <v>0</v>
      </c>
      <c r="K13" s="683">
        <f>industrie!J18</f>
        <v>38.40080902815788</v>
      </c>
      <c r="L13" s="683">
        <f>industrie!K18</f>
        <v>0</v>
      </c>
      <c r="M13" s="683">
        <f>industrie!L18</f>
        <v>0</v>
      </c>
      <c r="N13" s="683">
        <f>industrie!M18</f>
        <v>0</v>
      </c>
      <c r="O13" s="683">
        <f>industrie!N18</f>
        <v>1342.8334573527422</v>
      </c>
      <c r="P13" s="683">
        <f>industrie!O18</f>
        <v>0</v>
      </c>
      <c r="Q13" s="684">
        <f>industrie!P18</f>
        <v>0</v>
      </c>
      <c r="R13" s="686">
        <f>SUM(C13:Q13)</f>
        <v>82200.060131986465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154724.07195383369</v>
      </c>
      <c r="D16" s="719">
        <f t="shared" ref="D16:R16" ca="1" si="0">SUM(D9:D15)</f>
        <v>0</v>
      </c>
      <c r="E16" s="719">
        <f t="shared" ca="1" si="0"/>
        <v>227654.24658963</v>
      </c>
      <c r="F16" s="719">
        <f t="shared" si="0"/>
        <v>5755.8974507735729</v>
      </c>
      <c r="G16" s="719">
        <f t="shared" ca="1" si="0"/>
        <v>124633.34430954764</v>
      </c>
      <c r="H16" s="719">
        <f t="shared" si="0"/>
        <v>0</v>
      </c>
      <c r="I16" s="719">
        <f t="shared" si="0"/>
        <v>0</v>
      </c>
      <c r="J16" s="719">
        <f t="shared" si="0"/>
        <v>0</v>
      </c>
      <c r="K16" s="719">
        <f t="shared" si="0"/>
        <v>650.86486488796209</v>
      </c>
      <c r="L16" s="719">
        <f t="shared" si="0"/>
        <v>0</v>
      </c>
      <c r="M16" s="719">
        <f t="shared" ca="1" si="0"/>
        <v>0</v>
      </c>
      <c r="N16" s="719">
        <f t="shared" si="0"/>
        <v>0</v>
      </c>
      <c r="O16" s="719">
        <f t="shared" ca="1" si="0"/>
        <v>29099.961520699606</v>
      </c>
      <c r="P16" s="719">
        <f t="shared" si="0"/>
        <v>1621.6979400010191</v>
      </c>
      <c r="Q16" s="719">
        <f t="shared" si="0"/>
        <v>2895.2709108302197</v>
      </c>
      <c r="R16" s="719">
        <f t="shared" ca="1" si="0"/>
        <v>547035.35554020375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49.584016125013562</v>
      </c>
      <c r="D19" s="683">
        <f>transport!C54</f>
        <v>0</v>
      </c>
      <c r="E19" s="683">
        <f>transport!D54</f>
        <v>0</v>
      </c>
      <c r="F19" s="683">
        <f>transport!E54</f>
        <v>0</v>
      </c>
      <c r="G19" s="683">
        <f>transport!F54</f>
        <v>0</v>
      </c>
      <c r="H19" s="683">
        <f>transport!G54</f>
        <v>3104.1093124052486</v>
      </c>
      <c r="I19" s="683">
        <f>transport!H54</f>
        <v>0</v>
      </c>
      <c r="J19" s="683">
        <f>transport!I54</f>
        <v>0</v>
      </c>
      <c r="K19" s="683">
        <f>transport!J54</f>
        <v>0</v>
      </c>
      <c r="L19" s="683">
        <f>transport!K54</f>
        <v>0</v>
      </c>
      <c r="M19" s="683">
        <f>transport!L54</f>
        <v>0</v>
      </c>
      <c r="N19" s="683">
        <f>transport!M54</f>
        <v>178.23108349752036</v>
      </c>
      <c r="O19" s="683">
        <f>transport!N54</f>
        <v>0</v>
      </c>
      <c r="P19" s="683">
        <f>transport!O54</f>
        <v>0</v>
      </c>
      <c r="Q19" s="684">
        <f>transport!P54</f>
        <v>0</v>
      </c>
      <c r="R19" s="686">
        <f>SUM(C19:Q19)</f>
        <v>3331.9244120277826</v>
      </c>
      <c r="S19" s="67"/>
    </row>
    <row r="20" spans="1:19" s="445" customFormat="1">
      <c r="A20" s="804" t="s">
        <v>302</v>
      </c>
      <c r="B20" s="809"/>
      <c r="C20" s="683">
        <f>transport!B14</f>
        <v>612.52284016077817</v>
      </c>
      <c r="D20" s="683">
        <f>transport!C14</f>
        <v>0</v>
      </c>
      <c r="E20" s="683">
        <f>transport!D14</f>
        <v>1088.9229998128399</v>
      </c>
      <c r="F20" s="683">
        <f>transport!E14</f>
        <v>451.57905179306329</v>
      </c>
      <c r="G20" s="683">
        <f>transport!F14</f>
        <v>0</v>
      </c>
      <c r="H20" s="683">
        <f>transport!G14</f>
        <v>192028.27730088998</v>
      </c>
      <c r="I20" s="683">
        <f>transport!H14</f>
        <v>53968.957465943597</v>
      </c>
      <c r="J20" s="683">
        <f>transport!I14</f>
        <v>0</v>
      </c>
      <c r="K20" s="683">
        <f>transport!J14</f>
        <v>0</v>
      </c>
      <c r="L20" s="683">
        <f>transport!K14</f>
        <v>0</v>
      </c>
      <c r="M20" s="683">
        <f>transport!L14</f>
        <v>0</v>
      </c>
      <c r="N20" s="683">
        <f>transport!M14</f>
        <v>14851.866527827087</v>
      </c>
      <c r="O20" s="683">
        <f>transport!N14</f>
        <v>0</v>
      </c>
      <c r="P20" s="683">
        <f>transport!O14</f>
        <v>0</v>
      </c>
      <c r="Q20" s="684">
        <f>transport!P14</f>
        <v>0</v>
      </c>
      <c r="R20" s="686">
        <f>SUM(C20:Q20)</f>
        <v>263002.12618642737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662.10685628579176</v>
      </c>
      <c r="D22" s="807">
        <f t="shared" ref="D22:R22" si="1">SUM(D18:D21)</f>
        <v>0</v>
      </c>
      <c r="E22" s="807">
        <f t="shared" si="1"/>
        <v>1088.9229998128399</v>
      </c>
      <c r="F22" s="807">
        <f t="shared" si="1"/>
        <v>451.57905179306329</v>
      </c>
      <c r="G22" s="807">
        <f t="shared" si="1"/>
        <v>0</v>
      </c>
      <c r="H22" s="807">
        <f t="shared" si="1"/>
        <v>195132.38661329524</v>
      </c>
      <c r="I22" s="807">
        <f t="shared" si="1"/>
        <v>53968.957465943597</v>
      </c>
      <c r="J22" s="807">
        <f t="shared" si="1"/>
        <v>0</v>
      </c>
      <c r="K22" s="807">
        <f t="shared" si="1"/>
        <v>0</v>
      </c>
      <c r="L22" s="807">
        <f t="shared" si="1"/>
        <v>0</v>
      </c>
      <c r="M22" s="807">
        <f t="shared" si="1"/>
        <v>0</v>
      </c>
      <c r="N22" s="807">
        <f t="shared" si="1"/>
        <v>15030.097611324607</v>
      </c>
      <c r="O22" s="807">
        <f t="shared" si="1"/>
        <v>0</v>
      </c>
      <c r="P22" s="807">
        <f t="shared" si="1"/>
        <v>0</v>
      </c>
      <c r="Q22" s="807">
        <f t="shared" si="1"/>
        <v>0</v>
      </c>
      <c r="R22" s="807">
        <f t="shared" si="1"/>
        <v>266334.05059845513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340.11819799999995</v>
      </c>
      <c r="D24" s="683">
        <f>+landbouw!C8</f>
        <v>0</v>
      </c>
      <c r="E24" s="683">
        <f>+landbouw!D8</f>
        <v>89.099959956000006</v>
      </c>
      <c r="F24" s="683">
        <f>+landbouw!E8</f>
        <v>9.7415607760888712</v>
      </c>
      <c r="G24" s="683">
        <f>+landbouw!F8</f>
        <v>1076.6385224540254</v>
      </c>
      <c r="H24" s="683">
        <f>+landbouw!G8</f>
        <v>0</v>
      </c>
      <c r="I24" s="683">
        <f>+landbouw!H8</f>
        <v>0</v>
      </c>
      <c r="J24" s="683">
        <f>+landbouw!I8</f>
        <v>0</v>
      </c>
      <c r="K24" s="683">
        <f>+landbouw!J8</f>
        <v>86.481377226421117</v>
      </c>
      <c r="L24" s="683">
        <f>+landbouw!K8</f>
        <v>0</v>
      </c>
      <c r="M24" s="683">
        <f>+landbouw!L8</f>
        <v>0</v>
      </c>
      <c r="N24" s="683">
        <f>+landbouw!M8</f>
        <v>0</v>
      </c>
      <c r="O24" s="683">
        <f>+landbouw!N8</f>
        <v>0</v>
      </c>
      <c r="P24" s="683">
        <f>+landbouw!O8</f>
        <v>0</v>
      </c>
      <c r="Q24" s="684">
        <f>+landbouw!P8</f>
        <v>0</v>
      </c>
      <c r="R24" s="686">
        <f>SUM(C24:Q24)</f>
        <v>1602.0796184125352</v>
      </c>
      <c r="S24" s="67"/>
    </row>
    <row r="25" spans="1:19" s="445" customFormat="1" ht="15" thickBot="1">
      <c r="A25" s="826" t="s">
        <v>696</v>
      </c>
      <c r="B25" s="939"/>
      <c r="C25" s="940">
        <f>IF(Onbekend_ele_kWh="---",0,Onbekend_ele_kWh)/1000+IF(REST_rest_ele_kWh="---",0,REST_rest_ele_kWh)/1000</f>
        <v>8942.0679940000009</v>
      </c>
      <c r="D25" s="940"/>
      <c r="E25" s="940">
        <f>IF(onbekend_gas_kWh="---",0,onbekend_gas_kWh)/1000+IF(REST_rest_gas_kWh="---",0,REST_rest_gas_kWh)/1000</f>
        <v>1068.319757</v>
      </c>
      <c r="F25" s="940"/>
      <c r="G25" s="940"/>
      <c r="H25" s="940"/>
      <c r="I25" s="940"/>
      <c r="J25" s="940"/>
      <c r="K25" s="940"/>
      <c r="L25" s="940"/>
      <c r="M25" s="940"/>
      <c r="N25" s="940"/>
      <c r="O25" s="940"/>
      <c r="P25" s="940"/>
      <c r="Q25" s="941"/>
      <c r="R25" s="686">
        <f>SUM(C25:Q25)</f>
        <v>10010.387751</v>
      </c>
      <c r="S25" s="67"/>
    </row>
    <row r="26" spans="1:19" s="445" customFormat="1" ht="15.75" thickBot="1">
      <c r="A26" s="691" t="s">
        <v>697</v>
      </c>
      <c r="B26" s="812"/>
      <c r="C26" s="807">
        <f>SUM(C24:C25)</f>
        <v>9282.186192000001</v>
      </c>
      <c r="D26" s="807">
        <f t="shared" ref="D26:R26" si="2">SUM(D24:D25)</f>
        <v>0</v>
      </c>
      <c r="E26" s="807">
        <f t="shared" si="2"/>
        <v>1157.419716956</v>
      </c>
      <c r="F26" s="807">
        <f t="shared" si="2"/>
        <v>9.7415607760888712</v>
      </c>
      <c r="G26" s="807">
        <f t="shared" si="2"/>
        <v>1076.6385224540254</v>
      </c>
      <c r="H26" s="807">
        <f t="shared" si="2"/>
        <v>0</v>
      </c>
      <c r="I26" s="807">
        <f t="shared" si="2"/>
        <v>0</v>
      </c>
      <c r="J26" s="807">
        <f t="shared" si="2"/>
        <v>0</v>
      </c>
      <c r="K26" s="807">
        <f t="shared" si="2"/>
        <v>86.481377226421117</v>
      </c>
      <c r="L26" s="807">
        <f t="shared" si="2"/>
        <v>0</v>
      </c>
      <c r="M26" s="807">
        <f t="shared" si="2"/>
        <v>0</v>
      </c>
      <c r="N26" s="807">
        <f t="shared" si="2"/>
        <v>0</v>
      </c>
      <c r="O26" s="807">
        <f t="shared" si="2"/>
        <v>0</v>
      </c>
      <c r="P26" s="807">
        <f t="shared" si="2"/>
        <v>0</v>
      </c>
      <c r="Q26" s="807">
        <f t="shared" si="2"/>
        <v>0</v>
      </c>
      <c r="R26" s="807">
        <f t="shared" si="2"/>
        <v>11612.467369412536</v>
      </c>
      <c r="S26" s="67"/>
    </row>
    <row r="27" spans="1:19" s="445" customFormat="1" ht="17.25" thickTop="1" thickBot="1">
      <c r="A27" s="692" t="s">
        <v>115</v>
      </c>
      <c r="B27" s="799"/>
      <c r="C27" s="693">
        <f ca="1">C22+C16+C26</f>
        <v>164668.36500211948</v>
      </c>
      <c r="D27" s="693">
        <f t="shared" ref="D27:R27" ca="1" si="3">D22+D16+D26</f>
        <v>0</v>
      </c>
      <c r="E27" s="693">
        <f t="shared" ca="1" si="3"/>
        <v>229900.58930639885</v>
      </c>
      <c r="F27" s="693">
        <f t="shared" si="3"/>
        <v>6217.2180633427251</v>
      </c>
      <c r="G27" s="693">
        <f t="shared" ca="1" si="3"/>
        <v>125709.98283200167</v>
      </c>
      <c r="H27" s="693">
        <f t="shared" si="3"/>
        <v>195132.38661329524</v>
      </c>
      <c r="I27" s="693">
        <f t="shared" si="3"/>
        <v>53968.957465943597</v>
      </c>
      <c r="J27" s="693">
        <f t="shared" si="3"/>
        <v>0</v>
      </c>
      <c r="K27" s="693">
        <f t="shared" si="3"/>
        <v>737.34624211438324</v>
      </c>
      <c r="L27" s="693">
        <f t="shared" si="3"/>
        <v>0</v>
      </c>
      <c r="M27" s="693">
        <f t="shared" ca="1" si="3"/>
        <v>0</v>
      </c>
      <c r="N27" s="693">
        <f t="shared" si="3"/>
        <v>15030.097611324607</v>
      </c>
      <c r="O27" s="693">
        <f t="shared" ca="1" si="3"/>
        <v>29099.961520699606</v>
      </c>
      <c r="P27" s="693">
        <f t="shared" si="3"/>
        <v>1621.6979400010191</v>
      </c>
      <c r="Q27" s="693">
        <f t="shared" si="3"/>
        <v>2895.2709108302197</v>
      </c>
      <c r="R27" s="693">
        <f t="shared" ca="1" si="3"/>
        <v>824981.87350807141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5984.6650967916075</v>
      </c>
      <c r="D40" s="683">
        <f ca="1">tertiair!C20</f>
        <v>0</v>
      </c>
      <c r="E40" s="683">
        <f ca="1">tertiair!D20</f>
        <v>9713.0625792956707</v>
      </c>
      <c r="F40" s="683">
        <f>tertiair!E20</f>
        <v>61.695595159958302</v>
      </c>
      <c r="G40" s="683">
        <f ca="1">tertiair!F20</f>
        <v>2948.1816647909118</v>
      </c>
      <c r="H40" s="683">
        <f>tertiair!G20</f>
        <v>0</v>
      </c>
      <c r="I40" s="683">
        <f>tertiair!H20</f>
        <v>0</v>
      </c>
      <c r="J40" s="683">
        <f>tertiair!I20</f>
        <v>0</v>
      </c>
      <c r="K40" s="683">
        <f>tertiair!J20</f>
        <v>2.9854844357488149E-2</v>
      </c>
      <c r="L40" s="683">
        <f>tertiair!K20</f>
        <v>0</v>
      </c>
      <c r="M40" s="683">
        <f ca="1">tertiair!L20</f>
        <v>0</v>
      </c>
      <c r="N40" s="683">
        <f>tertiair!M20</f>
        <v>0</v>
      </c>
      <c r="O40" s="683">
        <f ca="1">tertiair!N20</f>
        <v>0</v>
      </c>
      <c r="P40" s="683">
        <f>tertiair!O20</f>
        <v>0</v>
      </c>
      <c r="Q40" s="766">
        <f>tertiair!P20</f>
        <v>0</v>
      </c>
      <c r="R40" s="845">
        <f t="shared" ca="1" si="4"/>
        <v>18707.634790882505</v>
      </c>
    </row>
    <row r="41" spans="1:18">
      <c r="A41" s="817" t="s">
        <v>220</v>
      </c>
      <c r="B41" s="824"/>
      <c r="C41" s="683">
        <f ca="1">huishoudens!B12</f>
        <v>8895.0229576852034</v>
      </c>
      <c r="D41" s="683">
        <f ca="1">huishoudens!C12</f>
        <v>0</v>
      </c>
      <c r="E41" s="683">
        <f>huishoudens!D12</f>
        <v>28652.543015659499</v>
      </c>
      <c r="F41" s="683">
        <f>huishoudens!E12</f>
        <v>1113.4342654924308</v>
      </c>
      <c r="G41" s="683">
        <f>huishoudens!F12</f>
        <v>28689.638074080169</v>
      </c>
      <c r="H41" s="683">
        <f>huishoudens!G12</f>
        <v>0</v>
      </c>
      <c r="I41" s="683">
        <f>huishoudens!H12</f>
        <v>0</v>
      </c>
      <c r="J41" s="683">
        <f>huishoudens!I12</f>
        <v>0</v>
      </c>
      <c r="K41" s="683">
        <f>huishoudens!J12</f>
        <v>216.78242093001316</v>
      </c>
      <c r="L41" s="683">
        <f>huishoudens!K12</f>
        <v>0</v>
      </c>
      <c r="M41" s="683">
        <f>huishoudens!L12</f>
        <v>0</v>
      </c>
      <c r="N41" s="683">
        <f>huishoudens!M12</f>
        <v>0</v>
      </c>
      <c r="O41" s="683">
        <f>huishoudens!N12</f>
        <v>0</v>
      </c>
      <c r="P41" s="683">
        <f>huishoudens!O12</f>
        <v>0</v>
      </c>
      <c r="Q41" s="766">
        <f>huishoudens!P12</f>
        <v>0</v>
      </c>
      <c r="R41" s="845">
        <f t="shared" ca="1" si="4"/>
        <v>67567.420733847321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4573.2530900552183</v>
      </c>
      <c r="D43" s="683">
        <f ca="1">industrie!C22</f>
        <v>0</v>
      </c>
      <c r="E43" s="683">
        <f>industrie!D22</f>
        <v>7620.5522161500903</v>
      </c>
      <c r="F43" s="683">
        <f>industrie!E22</f>
        <v>131.45886067321194</v>
      </c>
      <c r="G43" s="683">
        <f>industrie!F22</f>
        <v>1639.2831917781377</v>
      </c>
      <c r="H43" s="683">
        <f>industrie!G22</f>
        <v>0</v>
      </c>
      <c r="I43" s="683">
        <f>industrie!H22</f>
        <v>0</v>
      </c>
      <c r="J43" s="683">
        <f>industrie!I22</f>
        <v>0</v>
      </c>
      <c r="K43" s="683">
        <f>industrie!J22</f>
        <v>13.593886395967889</v>
      </c>
      <c r="L43" s="683">
        <f>industrie!K22</f>
        <v>0</v>
      </c>
      <c r="M43" s="683">
        <f>industrie!L22</f>
        <v>0</v>
      </c>
      <c r="N43" s="683">
        <f>industrie!M22</f>
        <v>0</v>
      </c>
      <c r="O43" s="683">
        <f>industrie!N22</f>
        <v>0</v>
      </c>
      <c r="P43" s="683">
        <f>industrie!O22</f>
        <v>0</v>
      </c>
      <c r="Q43" s="766">
        <f>industrie!P22</f>
        <v>0</v>
      </c>
      <c r="R43" s="844">
        <f t="shared" ca="1" si="4"/>
        <v>13978.141245052626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19452.941144532029</v>
      </c>
      <c r="D46" s="719">
        <f t="shared" ref="D46:Q46" ca="1" si="5">SUM(D39:D45)</f>
        <v>0</v>
      </c>
      <c r="E46" s="719">
        <f t="shared" ca="1" si="5"/>
        <v>45986.157811105259</v>
      </c>
      <c r="F46" s="719">
        <f t="shared" si="5"/>
        <v>1306.588721325601</v>
      </c>
      <c r="G46" s="719">
        <f t="shared" ca="1" si="5"/>
        <v>33277.10293064922</v>
      </c>
      <c r="H46" s="719">
        <f t="shared" si="5"/>
        <v>0</v>
      </c>
      <c r="I46" s="719">
        <f t="shared" si="5"/>
        <v>0</v>
      </c>
      <c r="J46" s="719">
        <f t="shared" si="5"/>
        <v>0</v>
      </c>
      <c r="K46" s="719">
        <f t="shared" si="5"/>
        <v>230.40616217033855</v>
      </c>
      <c r="L46" s="719">
        <f t="shared" si="5"/>
        <v>0</v>
      </c>
      <c r="M46" s="719">
        <f t="shared" ca="1" si="5"/>
        <v>0</v>
      </c>
      <c r="N46" s="719">
        <f t="shared" si="5"/>
        <v>0</v>
      </c>
      <c r="O46" s="719">
        <f t="shared" ca="1" si="5"/>
        <v>0</v>
      </c>
      <c r="P46" s="719">
        <f t="shared" si="5"/>
        <v>0</v>
      </c>
      <c r="Q46" s="719">
        <f t="shared" si="5"/>
        <v>0</v>
      </c>
      <c r="R46" s="719">
        <f ca="1">SUM(R39:R45)</f>
        <v>100253.19676978246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6.2340328509271545</v>
      </c>
      <c r="D49" s="683">
        <f ca="1">transport!C58</f>
        <v>0</v>
      </c>
      <c r="E49" s="683">
        <f>transport!D58</f>
        <v>0</v>
      </c>
      <c r="F49" s="683">
        <f>transport!E58</f>
        <v>0</v>
      </c>
      <c r="G49" s="683">
        <f>transport!F58</f>
        <v>0</v>
      </c>
      <c r="H49" s="683">
        <f>transport!G58</f>
        <v>828.79718641220143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835.03121926312861</v>
      </c>
    </row>
    <row r="50" spans="1:18">
      <c r="A50" s="820" t="s">
        <v>302</v>
      </c>
      <c r="B50" s="830"/>
      <c r="C50" s="689">
        <f ca="1">transport!B18</f>
        <v>77.010452277164134</v>
      </c>
      <c r="D50" s="689">
        <f>transport!C18</f>
        <v>0</v>
      </c>
      <c r="E50" s="689">
        <f>transport!D18</f>
        <v>219.96244596219367</v>
      </c>
      <c r="F50" s="689">
        <f>transport!E18</f>
        <v>102.50844475702537</v>
      </c>
      <c r="G50" s="689">
        <f>transport!F18</f>
        <v>0</v>
      </c>
      <c r="H50" s="689">
        <f>transport!G18</f>
        <v>51271.550039337628</v>
      </c>
      <c r="I50" s="689">
        <f>transport!H18</f>
        <v>13438.270409019955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65109.301791353966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83.244485128091284</v>
      </c>
      <c r="D52" s="719">
        <f t="shared" ref="D52:Q52" ca="1" si="6">SUM(D48:D51)</f>
        <v>0</v>
      </c>
      <c r="E52" s="719">
        <f t="shared" si="6"/>
        <v>219.96244596219367</v>
      </c>
      <c r="F52" s="719">
        <f t="shared" si="6"/>
        <v>102.50844475702537</v>
      </c>
      <c r="G52" s="719">
        <f t="shared" si="6"/>
        <v>0</v>
      </c>
      <c r="H52" s="719">
        <f t="shared" si="6"/>
        <v>52100.347225749829</v>
      </c>
      <c r="I52" s="719">
        <f t="shared" si="6"/>
        <v>13438.270409019955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65944.333010617091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42.761925822715241</v>
      </c>
      <c r="D54" s="689">
        <f ca="1">+landbouw!C12</f>
        <v>0</v>
      </c>
      <c r="E54" s="689">
        <f>+landbouw!D12</f>
        <v>17.998191911112002</v>
      </c>
      <c r="F54" s="689">
        <f>+landbouw!E12</f>
        <v>2.2113342961721738</v>
      </c>
      <c r="G54" s="689">
        <f>+landbouw!F12</f>
        <v>287.46248549522483</v>
      </c>
      <c r="H54" s="689">
        <f>+landbouw!G12</f>
        <v>0</v>
      </c>
      <c r="I54" s="689">
        <f>+landbouw!H12</f>
        <v>0</v>
      </c>
      <c r="J54" s="689">
        <f>+landbouw!I12</f>
        <v>0</v>
      </c>
      <c r="K54" s="689">
        <f>+landbouw!J12</f>
        <v>30.614407538153074</v>
      </c>
      <c r="L54" s="689">
        <f>+landbouw!K12</f>
        <v>0</v>
      </c>
      <c r="M54" s="689">
        <f>+landbouw!L12</f>
        <v>0</v>
      </c>
      <c r="N54" s="689">
        <f>+landbouw!M12</f>
        <v>0</v>
      </c>
      <c r="O54" s="689">
        <f>+landbouw!N12</f>
        <v>0</v>
      </c>
      <c r="P54" s="689">
        <f>+landbouw!O12</f>
        <v>0</v>
      </c>
      <c r="Q54" s="690">
        <f>+landbouw!P12</f>
        <v>0</v>
      </c>
      <c r="R54" s="718">
        <f ca="1">SUM(C54:Q54)</f>
        <v>381.04834506337727</v>
      </c>
    </row>
    <row r="55" spans="1:18" ht="15" thickBot="1">
      <c r="A55" s="820" t="s">
        <v>696</v>
      </c>
      <c r="B55" s="830"/>
      <c r="C55" s="689">
        <f ca="1">C25*'EF ele_warmte'!B12</f>
        <v>1124.2563629632782</v>
      </c>
      <c r="D55" s="689"/>
      <c r="E55" s="689">
        <f>E25*EF_CO2_aardgas</f>
        <v>215.800590914</v>
      </c>
      <c r="F55" s="689"/>
      <c r="G55" s="689"/>
      <c r="H55" s="689"/>
      <c r="I55" s="689"/>
      <c r="J55" s="689"/>
      <c r="K55" s="689"/>
      <c r="L55" s="689"/>
      <c r="M55" s="689"/>
      <c r="N55" s="689"/>
      <c r="O55" s="689"/>
      <c r="P55" s="689"/>
      <c r="Q55" s="690"/>
      <c r="R55" s="718">
        <f ca="1">SUM(C55:Q55)</f>
        <v>1340.0569538772781</v>
      </c>
    </row>
    <row r="56" spans="1:18" ht="15.75" thickBot="1">
      <c r="A56" s="818" t="s">
        <v>697</v>
      </c>
      <c r="B56" s="831"/>
      <c r="C56" s="719">
        <f ca="1">SUM(C54:C55)</f>
        <v>1167.0182887859935</v>
      </c>
      <c r="D56" s="719">
        <f t="shared" ref="D56:Q56" ca="1" si="7">SUM(D54:D55)</f>
        <v>0</v>
      </c>
      <c r="E56" s="719">
        <f t="shared" si="7"/>
        <v>233.798782825112</v>
      </c>
      <c r="F56" s="719">
        <f t="shared" si="7"/>
        <v>2.2113342961721738</v>
      </c>
      <c r="G56" s="719">
        <f t="shared" si="7"/>
        <v>287.46248549522483</v>
      </c>
      <c r="H56" s="719">
        <f t="shared" si="7"/>
        <v>0</v>
      </c>
      <c r="I56" s="719">
        <f t="shared" si="7"/>
        <v>0</v>
      </c>
      <c r="J56" s="719">
        <f t="shared" si="7"/>
        <v>0</v>
      </c>
      <c r="K56" s="719">
        <f t="shared" si="7"/>
        <v>30.614407538153074</v>
      </c>
      <c r="L56" s="719">
        <f t="shared" si="7"/>
        <v>0</v>
      </c>
      <c r="M56" s="719">
        <f t="shared" si="7"/>
        <v>0</v>
      </c>
      <c r="N56" s="719">
        <f t="shared" si="7"/>
        <v>0</v>
      </c>
      <c r="O56" s="719">
        <f t="shared" si="7"/>
        <v>0</v>
      </c>
      <c r="P56" s="719">
        <f t="shared" si="7"/>
        <v>0</v>
      </c>
      <c r="Q56" s="720">
        <f t="shared" si="7"/>
        <v>0</v>
      </c>
      <c r="R56" s="721">
        <f ca="1">SUM(R54:R55)</f>
        <v>1721.1052989406553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20703.203918446114</v>
      </c>
      <c r="D61" s="727">
        <f t="shared" ref="D61:Q61" ca="1" si="8">D46+D52+D56</f>
        <v>0</v>
      </c>
      <c r="E61" s="727">
        <f t="shared" ca="1" si="8"/>
        <v>46439.919039892564</v>
      </c>
      <c r="F61" s="727">
        <f t="shared" si="8"/>
        <v>1411.3085003787987</v>
      </c>
      <c r="G61" s="727">
        <f t="shared" ca="1" si="8"/>
        <v>33564.565416144447</v>
      </c>
      <c r="H61" s="727">
        <f t="shared" si="8"/>
        <v>52100.347225749829</v>
      </c>
      <c r="I61" s="727">
        <f t="shared" si="8"/>
        <v>13438.270409019955</v>
      </c>
      <c r="J61" s="727">
        <f t="shared" si="8"/>
        <v>0</v>
      </c>
      <c r="K61" s="727">
        <f t="shared" si="8"/>
        <v>261.02056970849162</v>
      </c>
      <c r="L61" s="727">
        <f t="shared" si="8"/>
        <v>0</v>
      </c>
      <c r="M61" s="727">
        <f t="shared" ca="1" si="8"/>
        <v>0</v>
      </c>
      <c r="N61" s="727">
        <f t="shared" si="8"/>
        <v>0</v>
      </c>
      <c r="O61" s="727">
        <f t="shared" ca="1" si="8"/>
        <v>0</v>
      </c>
      <c r="P61" s="727">
        <f t="shared" si="8"/>
        <v>0</v>
      </c>
      <c r="Q61" s="727">
        <f t="shared" si="8"/>
        <v>0</v>
      </c>
      <c r="R61" s="727">
        <f ca="1">R46+R52+R56</f>
        <v>167918.63507934019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0.12572666230201313</v>
      </c>
      <c r="D63" s="773">
        <f t="shared" ca="1" si="9"/>
        <v>0</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47354.219595205213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23634.489667339069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70988.709262544289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70748.899197833671</v>
      </c>
      <c r="C4" s="449">
        <f>huishoudens!C8</f>
        <v>0</v>
      </c>
      <c r="D4" s="449">
        <f>huishoudens!D8</f>
        <v>141844.27235474999</v>
      </c>
      <c r="E4" s="449">
        <f>huishoudens!E8</f>
        <v>4904.9967642838355</v>
      </c>
      <c r="F4" s="449">
        <f>huishoudens!F8</f>
        <v>107451.82799280962</v>
      </c>
      <c r="G4" s="449">
        <f>huishoudens!G8</f>
        <v>0</v>
      </c>
      <c r="H4" s="449">
        <f>huishoudens!H8</f>
        <v>0</v>
      </c>
      <c r="I4" s="449">
        <f>huishoudens!I8</f>
        <v>0</v>
      </c>
      <c r="J4" s="449">
        <f>huishoudens!J8</f>
        <v>612.37972014128013</v>
      </c>
      <c r="K4" s="449">
        <f>huishoudens!K8</f>
        <v>0</v>
      </c>
      <c r="L4" s="449">
        <f>huishoudens!L8</f>
        <v>0</v>
      </c>
      <c r="M4" s="449">
        <f>huishoudens!M8</f>
        <v>0</v>
      </c>
      <c r="N4" s="449">
        <f>huishoudens!N8</f>
        <v>24518.01468047321</v>
      </c>
      <c r="O4" s="449">
        <f>huishoudens!O8</f>
        <v>1607.0061577034955</v>
      </c>
      <c r="P4" s="450">
        <f>huishoudens!P8</f>
        <v>2264.8012511522797</v>
      </c>
      <c r="Q4" s="451">
        <f>SUM(B4:P4)</f>
        <v>353952.19811914745</v>
      </c>
    </row>
    <row r="5" spans="1:17">
      <c r="A5" s="448" t="s">
        <v>155</v>
      </c>
      <c r="B5" s="449">
        <f ca="1">tertiair!B16</f>
        <v>45402.440910999991</v>
      </c>
      <c r="C5" s="449">
        <f ca="1">tertiair!C16</f>
        <v>0</v>
      </c>
      <c r="D5" s="449">
        <f ca="1">tertiair!D16</f>
        <v>48084.468214335</v>
      </c>
      <c r="E5" s="449">
        <f>tertiair!E16</f>
        <v>271.78676281919957</v>
      </c>
      <c r="F5" s="449">
        <f ca="1">tertiair!F16</f>
        <v>11041.878894347983</v>
      </c>
      <c r="G5" s="449">
        <f>tertiair!G16</f>
        <v>0</v>
      </c>
      <c r="H5" s="449">
        <f>tertiair!H16</f>
        <v>0</v>
      </c>
      <c r="I5" s="449">
        <f>tertiair!I16</f>
        <v>0</v>
      </c>
      <c r="J5" s="449">
        <f>tertiair!J16</f>
        <v>8.4335718523977823E-2</v>
      </c>
      <c r="K5" s="449">
        <f>tertiair!K16</f>
        <v>0</v>
      </c>
      <c r="L5" s="449">
        <f ca="1">tertiair!L16</f>
        <v>0</v>
      </c>
      <c r="M5" s="449">
        <f>tertiair!M16</f>
        <v>0</v>
      </c>
      <c r="N5" s="449">
        <f ca="1">tertiair!N16</f>
        <v>3239.1133828736529</v>
      </c>
      <c r="O5" s="449">
        <f>tertiair!O16</f>
        <v>14.691782297523464</v>
      </c>
      <c r="P5" s="450">
        <f>tertiair!P16</f>
        <v>630.46965967794017</v>
      </c>
      <c r="Q5" s="448">
        <f t="shared" ref="Q5:Q14" ca="1" si="0">SUM(B5:P5)</f>
        <v>108684.93394306982</v>
      </c>
    </row>
    <row r="6" spans="1:17">
      <c r="A6" s="448" t="s">
        <v>193</v>
      </c>
      <c r="B6" s="449">
        <f>'openbare verlichting'!B8</f>
        <v>2198.1633459999998</v>
      </c>
      <c r="C6" s="449"/>
      <c r="D6" s="449"/>
      <c r="E6" s="449"/>
      <c r="F6" s="449"/>
      <c r="G6" s="449"/>
      <c r="H6" s="449"/>
      <c r="I6" s="449"/>
      <c r="J6" s="449"/>
      <c r="K6" s="449"/>
      <c r="L6" s="449"/>
      <c r="M6" s="449"/>
      <c r="N6" s="449"/>
      <c r="O6" s="449"/>
      <c r="P6" s="450"/>
      <c r="Q6" s="448">
        <f t="shared" si="0"/>
        <v>2198.1633459999998</v>
      </c>
    </row>
    <row r="7" spans="1:17">
      <c r="A7" s="448" t="s">
        <v>111</v>
      </c>
      <c r="B7" s="449">
        <f>landbouw!B8</f>
        <v>340.11819799999995</v>
      </c>
      <c r="C7" s="449">
        <f>landbouw!C8</f>
        <v>0</v>
      </c>
      <c r="D7" s="449">
        <f>landbouw!D8</f>
        <v>89.099959956000006</v>
      </c>
      <c r="E7" s="449">
        <f>landbouw!E8</f>
        <v>9.7415607760888712</v>
      </c>
      <c r="F7" s="449">
        <f>landbouw!F8</f>
        <v>1076.6385224540254</v>
      </c>
      <c r="G7" s="449">
        <f>landbouw!G8</f>
        <v>0</v>
      </c>
      <c r="H7" s="449">
        <f>landbouw!H8</f>
        <v>0</v>
      </c>
      <c r="I7" s="449">
        <f>landbouw!I8</f>
        <v>0</v>
      </c>
      <c r="J7" s="449">
        <f>landbouw!J8</f>
        <v>86.481377226421117</v>
      </c>
      <c r="K7" s="449">
        <f>landbouw!K8</f>
        <v>0</v>
      </c>
      <c r="L7" s="449">
        <f>landbouw!L8</f>
        <v>0</v>
      </c>
      <c r="M7" s="449">
        <f>landbouw!M8</f>
        <v>0</v>
      </c>
      <c r="N7" s="449">
        <f>landbouw!N8</f>
        <v>0</v>
      </c>
      <c r="O7" s="449">
        <f>landbouw!O8</f>
        <v>0</v>
      </c>
      <c r="P7" s="450">
        <f>landbouw!P8</f>
        <v>0</v>
      </c>
      <c r="Q7" s="448">
        <f t="shared" si="0"/>
        <v>1602.0796184125352</v>
      </c>
    </row>
    <row r="8" spans="1:17">
      <c r="A8" s="448" t="s">
        <v>617</v>
      </c>
      <c r="B8" s="449">
        <f>industrie!B18</f>
        <v>36374.568499000001</v>
      </c>
      <c r="C8" s="449">
        <f>industrie!C18</f>
        <v>0</v>
      </c>
      <c r="D8" s="449">
        <f>industrie!D18</f>
        <v>37725.506020544999</v>
      </c>
      <c r="E8" s="449">
        <f>industrie!E18</f>
        <v>579.11392367053713</v>
      </c>
      <c r="F8" s="449">
        <f>industrie!F18</f>
        <v>6139.6374223900284</v>
      </c>
      <c r="G8" s="449">
        <f>industrie!G18</f>
        <v>0</v>
      </c>
      <c r="H8" s="449">
        <f>industrie!H18</f>
        <v>0</v>
      </c>
      <c r="I8" s="449">
        <f>industrie!I18</f>
        <v>0</v>
      </c>
      <c r="J8" s="449">
        <f>industrie!J18</f>
        <v>38.40080902815788</v>
      </c>
      <c r="K8" s="449">
        <f>industrie!K18</f>
        <v>0</v>
      </c>
      <c r="L8" s="449">
        <f>industrie!L18</f>
        <v>0</v>
      </c>
      <c r="M8" s="449">
        <f>industrie!M18</f>
        <v>0</v>
      </c>
      <c r="N8" s="449">
        <f>industrie!N18</f>
        <v>1342.8334573527422</v>
      </c>
      <c r="O8" s="449">
        <f>industrie!O18</f>
        <v>0</v>
      </c>
      <c r="P8" s="450">
        <f>industrie!P18</f>
        <v>0</v>
      </c>
      <c r="Q8" s="448">
        <f t="shared" si="0"/>
        <v>82200.060131986465</v>
      </c>
    </row>
    <row r="9" spans="1:17" s="454" customFormat="1">
      <c r="A9" s="452" t="s">
        <v>543</v>
      </c>
      <c r="B9" s="453">
        <f>transport!B14</f>
        <v>612.52284016077817</v>
      </c>
      <c r="C9" s="453">
        <f>transport!C14</f>
        <v>0</v>
      </c>
      <c r="D9" s="453">
        <f>transport!D14</f>
        <v>1088.9229998128399</v>
      </c>
      <c r="E9" s="453">
        <f>transport!E14</f>
        <v>451.57905179306329</v>
      </c>
      <c r="F9" s="453">
        <f>transport!F14</f>
        <v>0</v>
      </c>
      <c r="G9" s="453">
        <f>transport!G14</f>
        <v>192028.27730088998</v>
      </c>
      <c r="H9" s="453">
        <f>transport!H14</f>
        <v>53968.957465943597</v>
      </c>
      <c r="I9" s="453">
        <f>transport!I14</f>
        <v>0</v>
      </c>
      <c r="J9" s="453">
        <f>transport!J14</f>
        <v>0</v>
      </c>
      <c r="K9" s="453">
        <f>transport!K14</f>
        <v>0</v>
      </c>
      <c r="L9" s="453">
        <f>transport!L14</f>
        <v>0</v>
      </c>
      <c r="M9" s="453">
        <f>transport!M14</f>
        <v>14851.866527827087</v>
      </c>
      <c r="N9" s="453">
        <f>transport!N14</f>
        <v>0</v>
      </c>
      <c r="O9" s="453">
        <f>transport!O14</f>
        <v>0</v>
      </c>
      <c r="P9" s="453">
        <f>transport!P14</f>
        <v>0</v>
      </c>
      <c r="Q9" s="452">
        <f>SUM(B9:P9)</f>
        <v>263002.12618642737</v>
      </c>
    </row>
    <row r="10" spans="1:17">
      <c r="A10" s="448" t="s">
        <v>533</v>
      </c>
      <c r="B10" s="449">
        <f>transport!B54</f>
        <v>49.584016125013562</v>
      </c>
      <c r="C10" s="449">
        <f>transport!C54</f>
        <v>0</v>
      </c>
      <c r="D10" s="449">
        <f>transport!D54</f>
        <v>0</v>
      </c>
      <c r="E10" s="449">
        <f>transport!E54</f>
        <v>0</v>
      </c>
      <c r="F10" s="449">
        <f>transport!F54</f>
        <v>0</v>
      </c>
      <c r="G10" s="449">
        <f>transport!G54</f>
        <v>3104.1093124052486</v>
      </c>
      <c r="H10" s="449">
        <f>transport!H54</f>
        <v>0</v>
      </c>
      <c r="I10" s="449">
        <f>transport!I54</f>
        <v>0</v>
      </c>
      <c r="J10" s="449">
        <f>transport!J54</f>
        <v>0</v>
      </c>
      <c r="K10" s="449">
        <f>transport!K54</f>
        <v>0</v>
      </c>
      <c r="L10" s="449">
        <f>transport!L54</f>
        <v>0</v>
      </c>
      <c r="M10" s="449">
        <f>transport!M54</f>
        <v>178.23108349752036</v>
      </c>
      <c r="N10" s="449">
        <f>transport!N54</f>
        <v>0</v>
      </c>
      <c r="O10" s="449">
        <f>transport!O54</f>
        <v>0</v>
      </c>
      <c r="P10" s="450">
        <f>transport!P54</f>
        <v>0</v>
      </c>
      <c r="Q10" s="448">
        <f t="shared" si="0"/>
        <v>3331.9244120277826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8942.0679940000009</v>
      </c>
      <c r="C14" s="456"/>
      <c r="D14" s="456">
        <f>'SEAP template'!E25</f>
        <v>1068.319757</v>
      </c>
      <c r="E14" s="456"/>
      <c r="F14" s="456"/>
      <c r="G14" s="456"/>
      <c r="H14" s="456"/>
      <c r="I14" s="456"/>
      <c r="J14" s="456"/>
      <c r="K14" s="456"/>
      <c r="L14" s="456"/>
      <c r="M14" s="456"/>
      <c r="N14" s="456"/>
      <c r="O14" s="456"/>
      <c r="P14" s="457"/>
      <c r="Q14" s="448">
        <f t="shared" si="0"/>
        <v>10010.387751</v>
      </c>
    </row>
    <row r="15" spans="1:17" s="460" customFormat="1">
      <c r="A15" s="458" t="s">
        <v>537</v>
      </c>
      <c r="B15" s="459">
        <f ca="1">SUM(B4:B14)</f>
        <v>164668.36500211945</v>
      </c>
      <c r="C15" s="459">
        <f t="shared" ref="C15:Q15" ca="1" si="1">SUM(C4:C14)</f>
        <v>0</v>
      </c>
      <c r="D15" s="459">
        <f t="shared" ca="1" si="1"/>
        <v>229900.58930639882</v>
      </c>
      <c r="E15" s="459">
        <f t="shared" si="1"/>
        <v>6217.2180633427251</v>
      </c>
      <c r="F15" s="459">
        <f t="shared" ca="1" si="1"/>
        <v>125709.98283200167</v>
      </c>
      <c r="G15" s="459">
        <f t="shared" si="1"/>
        <v>195132.38661329524</v>
      </c>
      <c r="H15" s="459">
        <f t="shared" si="1"/>
        <v>53968.957465943597</v>
      </c>
      <c r="I15" s="459">
        <f t="shared" si="1"/>
        <v>0</v>
      </c>
      <c r="J15" s="459">
        <f t="shared" si="1"/>
        <v>737.34624211438313</v>
      </c>
      <c r="K15" s="459">
        <f t="shared" si="1"/>
        <v>0</v>
      </c>
      <c r="L15" s="459">
        <f t="shared" ca="1" si="1"/>
        <v>0</v>
      </c>
      <c r="M15" s="459">
        <f t="shared" si="1"/>
        <v>15030.097611324607</v>
      </c>
      <c r="N15" s="459">
        <f t="shared" ca="1" si="1"/>
        <v>29099.961520699606</v>
      </c>
      <c r="O15" s="459">
        <f t="shared" si="1"/>
        <v>1621.6979400010191</v>
      </c>
      <c r="P15" s="459">
        <f t="shared" si="1"/>
        <v>2895.2709108302197</v>
      </c>
      <c r="Q15" s="459">
        <f t="shared" ca="1" si="1"/>
        <v>824981.87350807141</v>
      </c>
    </row>
    <row r="17" spans="1:17">
      <c r="A17" s="461" t="s">
        <v>538</v>
      </c>
      <c r="B17" s="778">
        <f ca="1">huishoudens!B10</f>
        <v>0.12572666230201315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8895.0229576852034</v>
      </c>
      <c r="C22" s="449">
        <f t="shared" ref="C22:C32" ca="1" si="3">C4*$C$17</f>
        <v>0</v>
      </c>
      <c r="D22" s="449">
        <f t="shared" ref="D22:D32" si="4">D4*$D$17</f>
        <v>28652.543015659499</v>
      </c>
      <c r="E22" s="449">
        <f t="shared" ref="E22:E32" si="5">E4*$E$17</f>
        <v>1113.4342654924308</v>
      </c>
      <c r="F22" s="449">
        <f t="shared" ref="F22:F32" si="6">F4*$F$17</f>
        <v>28689.638074080169</v>
      </c>
      <c r="G22" s="449">
        <f t="shared" ref="G22:G32" si="7">G4*$G$17</f>
        <v>0</v>
      </c>
      <c r="H22" s="449">
        <f t="shared" ref="H22:H32" si="8">H4*$H$17</f>
        <v>0</v>
      </c>
      <c r="I22" s="449">
        <f t="shared" ref="I22:I32" si="9">I4*$I$17</f>
        <v>0</v>
      </c>
      <c r="J22" s="449">
        <f t="shared" ref="J22:J32" si="10">J4*$J$17</f>
        <v>216.78242093001316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67567.420733847321</v>
      </c>
    </row>
    <row r="23" spans="1:17">
      <c r="A23" s="448" t="s">
        <v>155</v>
      </c>
      <c r="B23" s="449">
        <f t="shared" ca="1" si="2"/>
        <v>5708.2973561044018</v>
      </c>
      <c r="C23" s="449">
        <f t="shared" ca="1" si="3"/>
        <v>0</v>
      </c>
      <c r="D23" s="449">
        <f t="shared" ca="1" si="4"/>
        <v>9713.0625792956707</v>
      </c>
      <c r="E23" s="449">
        <f t="shared" si="5"/>
        <v>61.695595159958302</v>
      </c>
      <c r="F23" s="449">
        <f t="shared" ca="1" si="6"/>
        <v>2948.1816647909118</v>
      </c>
      <c r="G23" s="449">
        <f t="shared" si="7"/>
        <v>0</v>
      </c>
      <c r="H23" s="449">
        <f t="shared" si="8"/>
        <v>0</v>
      </c>
      <c r="I23" s="449">
        <f t="shared" si="9"/>
        <v>0</v>
      </c>
      <c r="J23" s="449">
        <f t="shared" si="10"/>
        <v>2.9854844357488149E-2</v>
      </c>
      <c r="K23" s="449">
        <f t="shared" si="11"/>
        <v>0</v>
      </c>
      <c r="L23" s="449">
        <f t="shared" ca="1" si="12"/>
        <v>0</v>
      </c>
      <c r="M23" s="449">
        <f t="shared" si="13"/>
        <v>0</v>
      </c>
      <c r="N23" s="449">
        <f t="shared" ca="1" si="14"/>
        <v>0</v>
      </c>
      <c r="O23" s="449">
        <f t="shared" si="15"/>
        <v>0</v>
      </c>
      <c r="P23" s="450">
        <f t="shared" si="16"/>
        <v>0</v>
      </c>
      <c r="Q23" s="448">
        <f t="shared" ref="Q23:Q31" ca="1" si="17">SUM(B23:P23)</f>
        <v>18431.2670501953</v>
      </c>
    </row>
    <row r="24" spans="1:17">
      <c r="A24" s="448" t="s">
        <v>193</v>
      </c>
      <c r="B24" s="449">
        <f t="shared" ca="1" si="2"/>
        <v>276.3677406872053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276.3677406872053</v>
      </c>
    </row>
    <row r="25" spans="1:17">
      <c r="A25" s="448" t="s">
        <v>111</v>
      </c>
      <c r="B25" s="449">
        <f t="shared" ca="1" si="2"/>
        <v>42.761925822715241</v>
      </c>
      <c r="C25" s="449">
        <f t="shared" ca="1" si="3"/>
        <v>0</v>
      </c>
      <c r="D25" s="449">
        <f t="shared" si="4"/>
        <v>17.998191911112002</v>
      </c>
      <c r="E25" s="449">
        <f t="shared" si="5"/>
        <v>2.2113342961721738</v>
      </c>
      <c r="F25" s="449">
        <f t="shared" si="6"/>
        <v>287.46248549522483</v>
      </c>
      <c r="G25" s="449">
        <f t="shared" si="7"/>
        <v>0</v>
      </c>
      <c r="H25" s="449">
        <f t="shared" si="8"/>
        <v>0</v>
      </c>
      <c r="I25" s="449">
        <f t="shared" si="9"/>
        <v>0</v>
      </c>
      <c r="J25" s="449">
        <f t="shared" si="10"/>
        <v>30.614407538153074</v>
      </c>
      <c r="K25" s="449">
        <f t="shared" si="11"/>
        <v>0</v>
      </c>
      <c r="L25" s="449">
        <f t="shared" si="12"/>
        <v>0</v>
      </c>
      <c r="M25" s="449">
        <f t="shared" si="13"/>
        <v>0</v>
      </c>
      <c r="N25" s="449">
        <f t="shared" si="14"/>
        <v>0</v>
      </c>
      <c r="O25" s="449">
        <f t="shared" si="15"/>
        <v>0</v>
      </c>
      <c r="P25" s="450">
        <f t="shared" si="16"/>
        <v>0</v>
      </c>
      <c r="Q25" s="448">
        <f t="shared" ca="1" si="17"/>
        <v>381.04834506337727</v>
      </c>
    </row>
    <row r="26" spans="1:17">
      <c r="A26" s="448" t="s">
        <v>617</v>
      </c>
      <c r="B26" s="449">
        <f t="shared" ca="1" si="2"/>
        <v>4573.2530900552183</v>
      </c>
      <c r="C26" s="449">
        <f t="shared" ca="1" si="3"/>
        <v>0</v>
      </c>
      <c r="D26" s="449">
        <f t="shared" si="4"/>
        <v>7620.5522161500903</v>
      </c>
      <c r="E26" s="449">
        <f t="shared" si="5"/>
        <v>131.45886067321194</v>
      </c>
      <c r="F26" s="449">
        <f t="shared" si="6"/>
        <v>1639.2831917781377</v>
      </c>
      <c r="G26" s="449">
        <f t="shared" si="7"/>
        <v>0</v>
      </c>
      <c r="H26" s="449">
        <f t="shared" si="8"/>
        <v>0</v>
      </c>
      <c r="I26" s="449">
        <f t="shared" si="9"/>
        <v>0</v>
      </c>
      <c r="J26" s="449">
        <f t="shared" si="10"/>
        <v>13.593886395967889</v>
      </c>
      <c r="K26" s="449">
        <f t="shared" si="11"/>
        <v>0</v>
      </c>
      <c r="L26" s="449">
        <f t="shared" si="12"/>
        <v>0</v>
      </c>
      <c r="M26" s="449">
        <f t="shared" si="13"/>
        <v>0</v>
      </c>
      <c r="N26" s="449">
        <f t="shared" si="14"/>
        <v>0</v>
      </c>
      <c r="O26" s="449">
        <f t="shared" si="15"/>
        <v>0</v>
      </c>
      <c r="P26" s="450">
        <f t="shared" si="16"/>
        <v>0</v>
      </c>
      <c r="Q26" s="448">
        <f t="shared" ca="1" si="17"/>
        <v>13978.141245052626</v>
      </c>
    </row>
    <row r="27" spans="1:17" s="454" customFormat="1">
      <c r="A27" s="452" t="s">
        <v>543</v>
      </c>
      <c r="B27" s="772">
        <f t="shared" ca="1" si="2"/>
        <v>77.010452277164134</v>
      </c>
      <c r="C27" s="453">
        <f t="shared" ca="1" si="3"/>
        <v>0</v>
      </c>
      <c r="D27" s="453">
        <f t="shared" si="4"/>
        <v>219.96244596219367</v>
      </c>
      <c r="E27" s="453">
        <f t="shared" si="5"/>
        <v>102.50844475702537</v>
      </c>
      <c r="F27" s="453">
        <f t="shared" si="6"/>
        <v>0</v>
      </c>
      <c r="G27" s="453">
        <f t="shared" si="7"/>
        <v>51271.550039337628</v>
      </c>
      <c r="H27" s="453">
        <f t="shared" si="8"/>
        <v>13438.270409019955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65109.301791353966</v>
      </c>
    </row>
    <row r="28" spans="1:17" ht="16.5" customHeight="1">
      <c r="A28" s="448" t="s">
        <v>533</v>
      </c>
      <c r="B28" s="449">
        <f t="shared" ca="1" si="2"/>
        <v>6.2340328509271545</v>
      </c>
      <c r="C28" s="449">
        <f t="shared" ca="1" si="3"/>
        <v>0</v>
      </c>
      <c r="D28" s="449">
        <f t="shared" si="4"/>
        <v>0</v>
      </c>
      <c r="E28" s="449">
        <f t="shared" si="5"/>
        <v>0</v>
      </c>
      <c r="F28" s="449">
        <f t="shared" si="6"/>
        <v>0</v>
      </c>
      <c r="G28" s="449">
        <f t="shared" si="7"/>
        <v>828.79718641220143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835.03121926312861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1124.2563629632782</v>
      </c>
      <c r="C32" s="449">
        <f t="shared" ca="1" si="3"/>
        <v>0</v>
      </c>
      <c r="D32" s="449">
        <f t="shared" si="4"/>
        <v>215.800590914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1340.0569538772781</v>
      </c>
    </row>
    <row r="33" spans="1:17" s="460" customFormat="1">
      <c r="A33" s="458" t="s">
        <v>537</v>
      </c>
      <c r="B33" s="459">
        <f ca="1">SUM(B22:B32)</f>
        <v>20703.203918446114</v>
      </c>
      <c r="C33" s="459">
        <f t="shared" ref="C33:Q33" ca="1" si="19">SUM(C22:C32)</f>
        <v>0</v>
      </c>
      <c r="D33" s="459">
        <f t="shared" ca="1" si="19"/>
        <v>46439.919039892557</v>
      </c>
      <c r="E33" s="459">
        <f t="shared" si="19"/>
        <v>1411.3085003787987</v>
      </c>
      <c r="F33" s="459">
        <f t="shared" ca="1" si="19"/>
        <v>33564.56541614444</v>
      </c>
      <c r="G33" s="459">
        <f t="shared" si="19"/>
        <v>52100.347225749829</v>
      </c>
      <c r="H33" s="459">
        <f t="shared" si="19"/>
        <v>13438.270409019955</v>
      </c>
      <c r="I33" s="459">
        <f t="shared" si="19"/>
        <v>0</v>
      </c>
      <c r="J33" s="459">
        <f t="shared" si="19"/>
        <v>261.02056970849162</v>
      </c>
      <c r="K33" s="459">
        <f t="shared" si="19"/>
        <v>0</v>
      </c>
      <c r="L33" s="459">
        <f t="shared" ca="1" si="19"/>
        <v>0</v>
      </c>
      <c r="M33" s="459">
        <f t="shared" si="19"/>
        <v>0</v>
      </c>
      <c r="N33" s="459">
        <f t="shared" ca="1" si="19"/>
        <v>0</v>
      </c>
      <c r="O33" s="459">
        <f t="shared" si="19"/>
        <v>0</v>
      </c>
      <c r="P33" s="459">
        <f t="shared" si="19"/>
        <v>0</v>
      </c>
      <c r="Q33" s="459">
        <f t="shared" ca="1" si="19"/>
        <v>167918.63507934017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47354.219595205213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23634.489667339069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70988.709262544289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0.12572666230201315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0.12572666230201315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0.12572666230201315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0.12572666230201315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18225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1766.63</v>
      </c>
      <c r="C14" s="326"/>
      <c r="D14" s="326"/>
      <c r="E14" s="326"/>
      <c r="F14" s="326"/>
    </row>
    <row r="15" spans="1:6">
      <c r="A15" s="1312" t="s">
        <v>183</v>
      </c>
      <c r="B15" s="1313">
        <v>1</v>
      </c>
      <c r="C15" s="326"/>
      <c r="D15" s="326"/>
      <c r="E15" s="326"/>
      <c r="F15" s="326"/>
    </row>
    <row r="16" spans="1:6">
      <c r="A16" s="1312" t="s">
        <v>6</v>
      </c>
      <c r="B16" s="1313">
        <v>135</v>
      </c>
      <c r="C16" s="326"/>
      <c r="D16" s="326"/>
      <c r="E16" s="326"/>
      <c r="F16" s="326"/>
    </row>
    <row r="17" spans="1:6">
      <c r="A17" s="1312" t="s">
        <v>7</v>
      </c>
      <c r="B17" s="1313">
        <v>93</v>
      </c>
      <c r="C17" s="326"/>
      <c r="D17" s="326"/>
      <c r="E17" s="326"/>
      <c r="F17" s="326"/>
    </row>
    <row r="18" spans="1:6">
      <c r="A18" s="1312" t="s">
        <v>8</v>
      </c>
      <c r="B18" s="1313">
        <v>180</v>
      </c>
      <c r="C18" s="326"/>
      <c r="D18" s="326"/>
      <c r="E18" s="326"/>
      <c r="F18" s="326"/>
    </row>
    <row r="19" spans="1:6">
      <c r="A19" s="1312" t="s">
        <v>9</v>
      </c>
      <c r="B19" s="1313">
        <v>204</v>
      </c>
      <c r="C19" s="326"/>
      <c r="D19" s="326"/>
      <c r="E19" s="326"/>
      <c r="F19" s="326"/>
    </row>
    <row r="20" spans="1:6">
      <c r="A20" s="1312" t="s">
        <v>10</v>
      </c>
      <c r="B20" s="1313">
        <v>170</v>
      </c>
      <c r="C20" s="326"/>
      <c r="D20" s="326"/>
      <c r="E20" s="326"/>
      <c r="F20" s="326"/>
    </row>
    <row r="21" spans="1:6">
      <c r="A21" s="1312" t="s">
        <v>11</v>
      </c>
      <c r="B21" s="1313">
        <v>0</v>
      </c>
      <c r="C21" s="326"/>
      <c r="D21" s="326"/>
      <c r="E21" s="326"/>
      <c r="F21" s="326"/>
    </row>
    <row r="22" spans="1:6">
      <c r="A22" s="1312" t="s">
        <v>12</v>
      </c>
      <c r="B22" s="1313">
        <v>2650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570</v>
      </c>
      <c r="C26" s="326"/>
      <c r="D26" s="326"/>
      <c r="E26" s="326"/>
      <c r="F26" s="326"/>
    </row>
    <row r="27" spans="1:6">
      <c r="A27" s="1312" t="s">
        <v>17</v>
      </c>
      <c r="B27" s="1313">
        <v>38</v>
      </c>
      <c r="C27" s="326"/>
      <c r="D27" s="326"/>
      <c r="E27" s="326"/>
      <c r="F27" s="326"/>
    </row>
    <row r="28" spans="1:6" s="43" customFormat="1">
      <c r="A28" s="1314" t="s">
        <v>18</v>
      </c>
      <c r="B28" s="1315">
        <v>6221</v>
      </c>
      <c r="C28" s="332"/>
      <c r="D28" s="332"/>
      <c r="E28" s="332"/>
      <c r="F28" s="332"/>
    </row>
    <row r="29" spans="1:6">
      <c r="A29" s="1314" t="s">
        <v>684</v>
      </c>
      <c r="B29" s="1315">
        <v>228</v>
      </c>
      <c r="C29" s="332"/>
      <c r="D29" s="332"/>
      <c r="E29" s="332"/>
      <c r="F29" s="332"/>
    </row>
    <row r="30" spans="1:6">
      <c r="A30" s="1307" t="s">
        <v>685</v>
      </c>
      <c r="B30" s="1316">
        <v>55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25</v>
      </c>
      <c r="F36" s="1313">
        <v>129294.54300000001</v>
      </c>
    </row>
    <row r="37" spans="1:6">
      <c r="A37" s="1312" t="s">
        <v>24</v>
      </c>
      <c r="B37" s="1312" t="s">
        <v>27</v>
      </c>
      <c r="C37" s="1313">
        <v>0</v>
      </c>
      <c r="D37" s="1313">
        <v>0</v>
      </c>
      <c r="E37" s="1313">
        <v>0</v>
      </c>
      <c r="F37" s="1313">
        <v>0</v>
      </c>
    </row>
    <row r="38" spans="1:6">
      <c r="A38" s="1312" t="s">
        <v>24</v>
      </c>
      <c r="B38" s="1312" t="s">
        <v>28</v>
      </c>
      <c r="C38" s="1313">
        <v>1</v>
      </c>
      <c r="D38" s="1313">
        <v>9591.89</v>
      </c>
      <c r="E38" s="1313">
        <v>0</v>
      </c>
      <c r="F38" s="1313">
        <v>0</v>
      </c>
    </row>
    <row r="39" spans="1:6">
      <c r="A39" s="1312" t="s">
        <v>29</v>
      </c>
      <c r="B39" s="1312" t="s">
        <v>30</v>
      </c>
      <c r="C39" s="1313">
        <v>10824</v>
      </c>
      <c r="D39" s="1313">
        <v>157081143.25</v>
      </c>
      <c r="E39" s="1313">
        <v>18585</v>
      </c>
      <c r="F39" s="1313">
        <v>54504635.203000002</v>
      </c>
    </row>
    <row r="40" spans="1:6">
      <c r="A40" s="1312" t="s">
        <v>29</v>
      </c>
      <c r="B40" s="1312" t="s">
        <v>28</v>
      </c>
      <c r="C40" s="1313">
        <v>0</v>
      </c>
      <c r="D40" s="1313">
        <v>0</v>
      </c>
      <c r="E40" s="1313">
        <v>0</v>
      </c>
      <c r="F40" s="1313">
        <v>0</v>
      </c>
    </row>
    <row r="41" spans="1:6">
      <c r="A41" s="1312" t="s">
        <v>31</v>
      </c>
      <c r="B41" s="1312" t="s">
        <v>32</v>
      </c>
      <c r="C41" s="1313">
        <v>158</v>
      </c>
      <c r="D41" s="1313">
        <v>4778637.5039999997</v>
      </c>
      <c r="E41" s="1313">
        <v>318</v>
      </c>
      <c r="F41" s="1313">
        <v>8402267.7860000003</v>
      </c>
    </row>
    <row r="42" spans="1:6">
      <c r="A42" s="1312" t="s">
        <v>31</v>
      </c>
      <c r="B42" s="1312" t="s">
        <v>33</v>
      </c>
      <c r="C42" s="1313">
        <v>0</v>
      </c>
      <c r="D42" s="1313">
        <v>0</v>
      </c>
      <c r="E42" s="1313">
        <v>3</v>
      </c>
      <c r="F42" s="1313">
        <v>2325238.9270000001</v>
      </c>
    </row>
    <row r="43" spans="1:6">
      <c r="A43" s="1312" t="s">
        <v>31</v>
      </c>
      <c r="B43" s="1312" t="s">
        <v>34</v>
      </c>
      <c r="C43" s="1313">
        <v>0</v>
      </c>
      <c r="D43" s="1313">
        <v>0</v>
      </c>
      <c r="E43" s="1313">
        <v>0</v>
      </c>
      <c r="F43" s="1313">
        <v>0</v>
      </c>
    </row>
    <row r="44" spans="1:6">
      <c r="A44" s="1312" t="s">
        <v>31</v>
      </c>
      <c r="B44" s="1312" t="s">
        <v>35</v>
      </c>
      <c r="C44" s="1313">
        <v>31</v>
      </c>
      <c r="D44" s="1313">
        <v>13116368.545</v>
      </c>
      <c r="E44" s="1313">
        <v>39</v>
      </c>
      <c r="F44" s="1313">
        <v>5520058.7170000002</v>
      </c>
    </row>
    <row r="45" spans="1:6">
      <c r="A45" s="1312" t="s">
        <v>31</v>
      </c>
      <c r="B45" s="1312" t="s">
        <v>36</v>
      </c>
      <c r="C45" s="1313">
        <v>0</v>
      </c>
      <c r="D45" s="1313">
        <v>0</v>
      </c>
      <c r="E45" s="1313">
        <v>5</v>
      </c>
      <c r="F45" s="1313">
        <v>893810.52599999995</v>
      </c>
    </row>
    <row r="46" spans="1:6">
      <c r="A46" s="1312" t="s">
        <v>31</v>
      </c>
      <c r="B46" s="1312" t="s">
        <v>37</v>
      </c>
      <c r="C46" s="1313">
        <v>0</v>
      </c>
      <c r="D46" s="1313">
        <v>0</v>
      </c>
      <c r="E46" s="1313">
        <v>0</v>
      </c>
      <c r="F46" s="1313">
        <v>0</v>
      </c>
    </row>
    <row r="47" spans="1:6">
      <c r="A47" s="1312" t="s">
        <v>31</v>
      </c>
      <c r="B47" s="1312" t="s">
        <v>38</v>
      </c>
      <c r="C47" s="1313">
        <v>6</v>
      </c>
      <c r="D47" s="1313">
        <v>14574815.301000001</v>
      </c>
      <c r="E47" s="1313">
        <v>11</v>
      </c>
      <c r="F47" s="1313">
        <v>9177092.2510000002</v>
      </c>
    </row>
    <row r="48" spans="1:6">
      <c r="A48" s="1312" t="s">
        <v>31</v>
      </c>
      <c r="B48" s="1312" t="s">
        <v>28</v>
      </c>
      <c r="C48" s="1313">
        <v>5</v>
      </c>
      <c r="D48" s="1313">
        <v>90160.361000000004</v>
      </c>
      <c r="E48" s="1313">
        <v>2</v>
      </c>
      <c r="F48" s="1313">
        <v>14276.029</v>
      </c>
    </row>
    <row r="49" spans="1:6">
      <c r="A49" s="1312" t="s">
        <v>31</v>
      </c>
      <c r="B49" s="1312" t="s">
        <v>39</v>
      </c>
      <c r="C49" s="1313">
        <v>0</v>
      </c>
      <c r="D49" s="1313">
        <v>0</v>
      </c>
      <c r="E49" s="1313">
        <v>5</v>
      </c>
      <c r="F49" s="1313">
        <v>162786.62</v>
      </c>
    </row>
    <row r="50" spans="1:6">
      <c r="A50" s="1312" t="s">
        <v>31</v>
      </c>
      <c r="B50" s="1312" t="s">
        <v>40</v>
      </c>
      <c r="C50" s="1313">
        <v>13</v>
      </c>
      <c r="D50" s="1313">
        <v>9217987.3039999995</v>
      </c>
      <c r="E50" s="1313">
        <v>24</v>
      </c>
      <c r="F50" s="1313">
        <v>9879037.6429999992</v>
      </c>
    </row>
    <row r="51" spans="1:6">
      <c r="A51" s="1312" t="s">
        <v>41</v>
      </c>
      <c r="B51" s="1312" t="s">
        <v>42</v>
      </c>
      <c r="C51" s="1313">
        <v>6</v>
      </c>
      <c r="D51" s="1313">
        <v>98671.051999999996</v>
      </c>
      <c r="E51" s="1313">
        <v>33</v>
      </c>
      <c r="F51" s="1313">
        <v>340118.19799999997</v>
      </c>
    </row>
    <row r="52" spans="1:6">
      <c r="A52" s="1312" t="s">
        <v>41</v>
      </c>
      <c r="B52" s="1312" t="s">
        <v>28</v>
      </c>
      <c r="C52" s="1313">
        <v>0</v>
      </c>
      <c r="D52" s="1313">
        <v>0</v>
      </c>
      <c r="E52" s="1313">
        <v>0</v>
      </c>
      <c r="F52" s="1313">
        <v>0</v>
      </c>
    </row>
    <row r="53" spans="1:6">
      <c r="A53" s="1312" t="s">
        <v>43</v>
      </c>
      <c r="B53" s="1312" t="s">
        <v>44</v>
      </c>
      <c r="C53" s="1313">
        <v>61</v>
      </c>
      <c r="D53" s="1313">
        <v>1068319.757</v>
      </c>
      <c r="E53" s="1313">
        <v>139</v>
      </c>
      <c r="F53" s="1313">
        <v>8942067.9940000009</v>
      </c>
    </row>
    <row r="54" spans="1:6">
      <c r="A54" s="1312" t="s">
        <v>45</v>
      </c>
      <c r="B54" s="1312" t="s">
        <v>46</v>
      </c>
      <c r="C54" s="1313">
        <v>0</v>
      </c>
      <c r="D54" s="1313">
        <v>0</v>
      </c>
      <c r="E54" s="1313">
        <v>3</v>
      </c>
      <c r="F54" s="1313">
        <v>2198163.3459999999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172</v>
      </c>
      <c r="D57" s="1313">
        <v>14175855.003</v>
      </c>
      <c r="E57" s="1313">
        <v>347</v>
      </c>
      <c r="F57" s="1313">
        <v>8338370.9060000004</v>
      </c>
    </row>
    <row r="58" spans="1:6">
      <c r="A58" s="1312" t="s">
        <v>48</v>
      </c>
      <c r="B58" s="1312" t="s">
        <v>50</v>
      </c>
      <c r="C58" s="1313">
        <v>88</v>
      </c>
      <c r="D58" s="1313">
        <v>6086796.2070000004</v>
      </c>
      <c r="E58" s="1313">
        <v>127</v>
      </c>
      <c r="F58" s="1313">
        <v>3621726.4780000001</v>
      </c>
    </row>
    <row r="59" spans="1:6">
      <c r="A59" s="1312" t="s">
        <v>48</v>
      </c>
      <c r="B59" s="1312" t="s">
        <v>51</v>
      </c>
      <c r="C59" s="1313">
        <v>218</v>
      </c>
      <c r="D59" s="1313">
        <v>13930152.498</v>
      </c>
      <c r="E59" s="1313">
        <v>426</v>
      </c>
      <c r="F59" s="1313">
        <v>20247968.631000001</v>
      </c>
    </row>
    <row r="60" spans="1:6">
      <c r="A60" s="1312" t="s">
        <v>48</v>
      </c>
      <c r="B60" s="1312" t="s">
        <v>52</v>
      </c>
      <c r="C60" s="1313">
        <v>115</v>
      </c>
      <c r="D60" s="1313">
        <v>5837706.608</v>
      </c>
      <c r="E60" s="1313">
        <v>168</v>
      </c>
      <c r="F60" s="1313">
        <v>4011294.0019999999</v>
      </c>
    </row>
    <row r="61" spans="1:6">
      <c r="A61" s="1312" t="s">
        <v>48</v>
      </c>
      <c r="B61" s="1312" t="s">
        <v>53</v>
      </c>
      <c r="C61" s="1313">
        <v>255</v>
      </c>
      <c r="D61" s="1313">
        <v>9428326.7249999996</v>
      </c>
      <c r="E61" s="1313">
        <v>596</v>
      </c>
      <c r="F61" s="1313">
        <v>7678049.8169999998</v>
      </c>
    </row>
    <row r="62" spans="1:6">
      <c r="A62" s="1312" t="s">
        <v>48</v>
      </c>
      <c r="B62" s="1312" t="s">
        <v>54</v>
      </c>
      <c r="C62" s="1313">
        <v>21</v>
      </c>
      <c r="D62" s="1313">
        <v>3790850.9040000001</v>
      </c>
      <c r="E62" s="1313">
        <v>39</v>
      </c>
      <c r="F62" s="1313">
        <v>1505031.077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2734.8049999999998</v>
      </c>
    </row>
    <row r="66" spans="1:6">
      <c r="A66" s="1312" t="s">
        <v>55</v>
      </c>
      <c r="B66" s="1312" t="s">
        <v>57</v>
      </c>
      <c r="C66" s="1313">
        <v>0</v>
      </c>
      <c r="D66" s="1313">
        <v>0</v>
      </c>
      <c r="E66" s="1313">
        <v>16</v>
      </c>
      <c r="F66" s="1313">
        <v>383533.23499999999</v>
      </c>
    </row>
    <row r="67" spans="1:6">
      <c r="A67" s="1314" t="s">
        <v>55</v>
      </c>
      <c r="B67" s="1314" t="s">
        <v>58</v>
      </c>
      <c r="C67" s="1313">
        <v>0</v>
      </c>
      <c r="D67" s="1313">
        <v>0</v>
      </c>
      <c r="E67" s="1313">
        <v>0</v>
      </c>
      <c r="F67" s="1313">
        <v>0</v>
      </c>
    </row>
    <row r="68" spans="1:6">
      <c r="A68" s="1307" t="s">
        <v>55</v>
      </c>
      <c r="B68" s="1307" t="s">
        <v>59</v>
      </c>
      <c r="C68" s="1316">
        <v>9</v>
      </c>
      <c r="D68" s="1316">
        <v>8635791.1359999999</v>
      </c>
      <c r="E68" s="1316">
        <v>17</v>
      </c>
      <c r="F68" s="1316">
        <v>5313847.1840000004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92415541</v>
      </c>
      <c r="E73" s="447"/>
      <c r="F73" s="326"/>
    </row>
    <row r="74" spans="1:6">
      <c r="A74" s="1312" t="s">
        <v>63</v>
      </c>
      <c r="B74" s="1312" t="s">
        <v>638</v>
      </c>
      <c r="C74" s="1326" t="s">
        <v>640</v>
      </c>
      <c r="D74" s="1327">
        <v>4369383.0508744903</v>
      </c>
      <c r="E74" s="447"/>
      <c r="F74" s="326"/>
    </row>
    <row r="75" spans="1:6">
      <c r="A75" s="1312" t="s">
        <v>64</v>
      </c>
      <c r="B75" s="1312" t="s">
        <v>637</v>
      </c>
      <c r="C75" s="1326" t="s">
        <v>641</v>
      </c>
      <c r="D75" s="1327">
        <v>84595855</v>
      </c>
      <c r="E75" s="447"/>
      <c r="F75" s="326"/>
    </row>
    <row r="76" spans="1:6">
      <c r="A76" s="1312" t="s">
        <v>64</v>
      </c>
      <c r="B76" s="1312" t="s">
        <v>638</v>
      </c>
      <c r="C76" s="1326" t="s">
        <v>642</v>
      </c>
      <c r="D76" s="1327">
        <v>2176725.0508744903</v>
      </c>
      <c r="E76" s="447"/>
      <c r="F76" s="326"/>
    </row>
    <row r="77" spans="1:6">
      <c r="A77" s="1312" t="s">
        <v>65</v>
      </c>
      <c r="B77" s="1312" t="s">
        <v>637</v>
      </c>
      <c r="C77" s="1326" t="s">
        <v>643</v>
      </c>
      <c r="D77" s="1327">
        <v>97847541</v>
      </c>
      <c r="E77" s="447"/>
      <c r="F77" s="326"/>
    </row>
    <row r="78" spans="1:6">
      <c r="A78" s="1307" t="s">
        <v>65</v>
      </c>
      <c r="B78" s="1307" t="s">
        <v>638</v>
      </c>
      <c r="C78" s="1307" t="s">
        <v>644</v>
      </c>
      <c r="D78" s="1328">
        <v>18207777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924849.89825101895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47354.219595205213</v>
      </c>
      <c r="C90" s="326"/>
      <c r="D90" s="326"/>
      <c r="E90" s="326"/>
      <c r="F90" s="326"/>
    </row>
    <row r="91" spans="1:6">
      <c r="A91" s="1312" t="s">
        <v>67</v>
      </c>
      <c r="B91" s="1313">
        <v>16244.26399483368</v>
      </c>
      <c r="C91" s="326"/>
      <c r="D91" s="326"/>
      <c r="E91" s="326"/>
      <c r="F91" s="326"/>
    </row>
    <row r="92" spans="1:6">
      <c r="A92" s="1307" t="s">
        <v>68</v>
      </c>
      <c r="B92" s="1308">
        <v>7390.2256725053867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2269</v>
      </c>
      <c r="C97" s="326"/>
      <c r="D97" s="326"/>
      <c r="E97" s="326"/>
      <c r="F97" s="326"/>
    </row>
    <row r="98" spans="1:6">
      <c r="A98" s="1312" t="s">
        <v>71</v>
      </c>
      <c r="B98" s="1313">
        <v>9</v>
      </c>
      <c r="C98" s="326"/>
      <c r="D98" s="326"/>
      <c r="E98" s="326"/>
      <c r="F98" s="326"/>
    </row>
    <row r="99" spans="1:6">
      <c r="A99" s="1312" t="s">
        <v>72</v>
      </c>
      <c r="B99" s="1313">
        <v>57</v>
      </c>
      <c r="C99" s="326"/>
      <c r="D99" s="326"/>
      <c r="E99" s="326"/>
      <c r="F99" s="326"/>
    </row>
    <row r="100" spans="1:6">
      <c r="A100" s="1312" t="s">
        <v>73</v>
      </c>
      <c r="B100" s="1313">
        <v>465</v>
      </c>
      <c r="C100" s="326"/>
      <c r="D100" s="326"/>
      <c r="E100" s="326"/>
      <c r="F100" s="326"/>
    </row>
    <row r="101" spans="1:6">
      <c r="A101" s="1312" t="s">
        <v>74</v>
      </c>
      <c r="B101" s="1313">
        <v>121</v>
      </c>
      <c r="C101" s="326"/>
      <c r="D101" s="326"/>
      <c r="E101" s="326"/>
      <c r="F101" s="326"/>
    </row>
    <row r="102" spans="1:6">
      <c r="A102" s="1312" t="s">
        <v>75</v>
      </c>
      <c r="B102" s="1313">
        <v>138</v>
      </c>
      <c r="C102" s="326"/>
      <c r="D102" s="326"/>
      <c r="E102" s="326"/>
      <c r="F102" s="326"/>
    </row>
    <row r="103" spans="1:6">
      <c r="A103" s="1312" t="s">
        <v>76</v>
      </c>
      <c r="B103" s="1313">
        <v>299</v>
      </c>
      <c r="C103" s="326"/>
      <c r="D103" s="326"/>
      <c r="E103" s="326"/>
      <c r="F103" s="326"/>
    </row>
    <row r="104" spans="1:6">
      <c r="A104" s="1312" t="s">
        <v>77</v>
      </c>
      <c r="B104" s="1313">
        <v>10765</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9</v>
      </c>
      <c r="C121" s="1313">
        <v>0</v>
      </c>
      <c r="D121" s="326"/>
      <c r="E121" s="326"/>
      <c r="F121" s="326"/>
    </row>
    <row r="122" spans="1:6">
      <c r="A122" s="1312" t="s">
        <v>86</v>
      </c>
      <c r="B122" s="1313">
        <v>1</v>
      </c>
      <c r="C122" s="1313">
        <v>0</v>
      </c>
      <c r="D122" s="326"/>
      <c r="E122" s="326"/>
      <c r="F122" s="326"/>
    </row>
    <row r="123" spans="1:6">
      <c r="A123" s="1312" t="s">
        <v>87</v>
      </c>
      <c r="B123" s="1313">
        <v>122</v>
      </c>
      <c r="C123" s="1313">
        <v>152</v>
      </c>
      <c r="D123" s="326"/>
      <c r="E123" s="326"/>
      <c r="F123" s="326"/>
    </row>
    <row r="124" spans="1:6" s="43" customFormat="1">
      <c r="A124" s="1314" t="s">
        <v>88</v>
      </c>
      <c r="B124" s="1335">
        <v>4</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653</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89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164668.36500211948</v>
      </c>
      <c r="C3" s="43" t="s">
        <v>169</v>
      </c>
      <c r="D3" s="43"/>
      <c r="E3" s="154"/>
      <c r="F3" s="43"/>
      <c r="G3" s="43"/>
      <c r="H3" s="43"/>
      <c r="I3" s="43"/>
      <c r="J3" s="43"/>
      <c r="K3" s="96"/>
    </row>
    <row r="4" spans="1:11">
      <c r="A4" s="354" t="s">
        <v>170</v>
      </c>
      <c r="B4" s="49">
        <f>IF(ISERROR('SEAP template'!B78+'SEAP template'!C78),0,'SEAP template'!B78+'SEAP template'!C78)</f>
        <v>70988.709262544289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0.12572666230201315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2198.1633459999998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2198.1633459999998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0.12572666230201315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276.3677406872053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54504.635202999998</v>
      </c>
      <c r="C5" s="17">
        <f>IF(ISERROR('Eigen informatie GS &amp; warmtenet'!B59),0,'Eigen informatie GS &amp; warmtenet'!B59)</f>
        <v>0</v>
      </c>
      <c r="D5" s="30">
        <f>(SUM(HH_hh_gas_kWh,HH_rest_gas_kWh)/1000)*0.903</f>
        <v>141844.27235474999</v>
      </c>
      <c r="E5" s="17">
        <f>B32*B41</f>
        <v>4904.9967642838355</v>
      </c>
      <c r="F5" s="17">
        <f>B36*B45</f>
        <v>107451.82799280962</v>
      </c>
      <c r="G5" s="18"/>
      <c r="H5" s="17"/>
      <c r="I5" s="17"/>
      <c r="J5" s="17">
        <f>B35*B44+C35*C44</f>
        <v>612.37972014128013</v>
      </c>
      <c r="K5" s="17"/>
      <c r="L5" s="17"/>
      <c r="M5" s="17"/>
      <c r="N5" s="17">
        <f>B34*B43+C34*C43</f>
        <v>24518.01468047321</v>
      </c>
      <c r="O5" s="17">
        <f>B52*B53*B54</f>
        <v>1607.0061577034955</v>
      </c>
      <c r="P5" s="17">
        <f>B60*B61*B62/1000-B60*B61*B62/1000/B63</f>
        <v>2264.8012511522797</v>
      </c>
    </row>
    <row r="6" spans="1:16">
      <c r="A6" s="16" t="s">
        <v>603</v>
      </c>
      <c r="B6" s="780">
        <f>kWh_PV_kleiner_dan_10kW</f>
        <v>16244.26399483368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70748.899197833671</v>
      </c>
      <c r="C8" s="21">
        <f>C5</f>
        <v>0</v>
      </c>
      <c r="D8" s="21">
        <f>D5</f>
        <v>141844.27235474999</v>
      </c>
      <c r="E8" s="21">
        <f>E5</f>
        <v>4904.9967642838355</v>
      </c>
      <c r="F8" s="21">
        <f>F5</f>
        <v>107451.82799280962</v>
      </c>
      <c r="G8" s="21"/>
      <c r="H8" s="21"/>
      <c r="I8" s="21"/>
      <c r="J8" s="21">
        <f>J5</f>
        <v>612.37972014128013</v>
      </c>
      <c r="K8" s="21"/>
      <c r="L8" s="21">
        <f>L5</f>
        <v>0</v>
      </c>
      <c r="M8" s="21">
        <f>M5</f>
        <v>0</v>
      </c>
      <c r="N8" s="21">
        <f>N5</f>
        <v>24518.01468047321</v>
      </c>
      <c r="O8" s="21">
        <f>O5</f>
        <v>1607.0061577034955</v>
      </c>
      <c r="P8" s="21">
        <f>P5</f>
        <v>2264.8012511522797</v>
      </c>
    </row>
    <row r="9" spans="1:16">
      <c r="B9" s="19"/>
      <c r="C9" s="19"/>
      <c r="D9" s="254"/>
      <c r="E9" s="19"/>
      <c r="F9" s="19"/>
      <c r="G9" s="19"/>
      <c r="H9" s="19"/>
      <c r="I9" s="19"/>
      <c r="J9" s="19"/>
      <c r="K9" s="19"/>
      <c r="L9" s="19"/>
      <c r="M9" s="19"/>
      <c r="N9" s="19"/>
      <c r="O9" s="19"/>
      <c r="P9" s="19"/>
    </row>
    <row r="10" spans="1:16">
      <c r="A10" s="24" t="s">
        <v>213</v>
      </c>
      <c r="B10" s="25">
        <f ca="1">'EF ele_warmte'!B12</f>
        <v>0.12572666230201315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8895.0229576852034</v>
      </c>
      <c r="C12" s="23">
        <f ca="1">C10*C8</f>
        <v>0</v>
      </c>
      <c r="D12" s="23">
        <f>D8*D10</f>
        <v>28652.543015659499</v>
      </c>
      <c r="E12" s="23">
        <f>E10*E8</f>
        <v>1113.4342654924308</v>
      </c>
      <c r="F12" s="23">
        <f>F10*F8</f>
        <v>28689.638074080169</v>
      </c>
      <c r="G12" s="23"/>
      <c r="H12" s="23"/>
      <c r="I12" s="23"/>
      <c r="J12" s="23">
        <f>J10*J8</f>
        <v>216.78242093001316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18225</v>
      </c>
      <c r="C26" s="36"/>
      <c r="D26" s="225"/>
    </row>
    <row r="27" spans="1:5" s="15" customFormat="1">
      <c r="A27" s="227" t="s">
        <v>866</v>
      </c>
      <c r="B27" s="37">
        <f>SUM(HH_hh_gas_aantal,HH_rest_gas_aantal)</f>
        <v>10824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10282.799999999999</v>
      </c>
      <c r="C31" s="34" t="s">
        <v>110</v>
      </c>
      <c r="D31" s="171"/>
    </row>
    <row r="32" spans="1:5">
      <c r="A32" s="168" t="s">
        <v>72</v>
      </c>
      <c r="B32" s="33">
        <f>IF((B21*($B$26-($B$27-0.05*$B$27)-$B$60))&lt;0,0,(B21*($B$26-($B$27-0.05*$B$27)-$B$60)))</f>
        <v>122.67083534777221</v>
      </c>
      <c r="C32" s="34" t="s">
        <v>110</v>
      </c>
      <c r="D32" s="171"/>
    </row>
    <row r="33" spans="1:6">
      <c r="A33" s="168" t="s">
        <v>73</v>
      </c>
      <c r="B33" s="33">
        <f>IF((B22*($B$26-($B$27-0.05*$B$27)-$B$60))&lt;0,0,B22*($B$26-($B$27-0.05*$B$27)-$B$60))</f>
        <v>1991.9314137917977</v>
      </c>
      <c r="C33" s="34" t="s">
        <v>110</v>
      </c>
      <c r="D33" s="171"/>
    </row>
    <row r="34" spans="1:6">
      <c r="A34" s="168" t="s">
        <v>74</v>
      </c>
      <c r="B34" s="33">
        <f>IF((B24*($B$26-($B$27-0.05*$B$27)-$B$60))&lt;0,0,B24*($B$26-($B$27-0.05*$B$27)-$B$60))</f>
        <v>381.87990897451419</v>
      </c>
      <c r="C34" s="33">
        <f>B26*C24</f>
        <v>3734.4107529742678</v>
      </c>
      <c r="D34" s="230"/>
    </row>
    <row r="35" spans="1:6">
      <c r="A35" s="168" t="s">
        <v>76</v>
      </c>
      <c r="B35" s="33">
        <f>IF((B19*($B$26-($B$27-0.05*$B$27)-$B$60))&lt;0,0,B19*($B$26-($B$27-0.05*$B$27)-$B$60))</f>
        <v>53.324719670400199</v>
      </c>
      <c r="C35" s="33">
        <f>B35/2</f>
        <v>26.6623598352001</v>
      </c>
      <c r="D35" s="230"/>
    </row>
    <row r="36" spans="1:6">
      <c r="A36" s="168" t="s">
        <v>77</v>
      </c>
      <c r="B36" s="33">
        <f>IF((B18*($B$26-($B$27-0.05*$B$27)-$B$60))&lt;0,0,B18*($B$26-($B$27-0.05*$B$27)-$B$60))</f>
        <v>5177.3931222155152</v>
      </c>
      <c r="C36" s="34" t="s">
        <v>110</v>
      </c>
      <c r="D36" s="171"/>
    </row>
    <row r="37" spans="1:6">
      <c r="A37" s="168" t="s">
        <v>78</v>
      </c>
      <c r="B37" s="33">
        <f>B60</f>
        <v>215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810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45402.440910999991</v>
      </c>
      <c r="C5" s="17">
        <f>IF(ISERROR('Eigen informatie GS &amp; warmtenet'!B60),0,'Eigen informatie GS &amp; warmtenet'!B60)</f>
        <v>0</v>
      </c>
      <c r="D5" s="30">
        <f>SUM(D6:D12)</f>
        <v>48084.468214335</v>
      </c>
      <c r="E5" s="17">
        <f>SUM(E6:E12)</f>
        <v>271.78676281919957</v>
      </c>
      <c r="F5" s="17">
        <f>SUM(F6:F12)</f>
        <v>11041.878894347983</v>
      </c>
      <c r="G5" s="18"/>
      <c r="H5" s="17"/>
      <c r="I5" s="17"/>
      <c r="J5" s="17">
        <f>SUM(J6:J12)</f>
        <v>8.4335718523977823E-2</v>
      </c>
      <c r="K5" s="17"/>
      <c r="L5" s="17"/>
      <c r="M5" s="17"/>
      <c r="N5" s="17">
        <f>SUM(N6:N12)</f>
        <v>3239.1133828736529</v>
      </c>
      <c r="O5" s="17">
        <f>B38*B39*B40</f>
        <v>14.691782297523464</v>
      </c>
      <c r="P5" s="17">
        <f>B46*B47*B48/1000-B46*B47*B48/1000/B49</f>
        <v>630.46965967794017</v>
      </c>
      <c r="R5" s="32"/>
    </row>
    <row r="6" spans="1:18">
      <c r="A6" s="32" t="s">
        <v>53</v>
      </c>
      <c r="B6" s="37">
        <f>B26</f>
        <v>7678.0498170000001</v>
      </c>
      <c r="C6" s="33"/>
      <c r="D6" s="37">
        <f>IF(ISERROR(TER_kantoor_gas_kWh/1000),0,TER_kantoor_gas_kWh/1000)*0.903</f>
        <v>8513.7790326750001</v>
      </c>
      <c r="E6" s="33">
        <f>$C$26*'E Balans VL '!I12/100/3.6*1000000</f>
        <v>1.8294529633472569</v>
      </c>
      <c r="F6" s="33">
        <f>$C$26*('E Balans VL '!L12+'E Balans VL '!N12)/100/3.6*1000000</f>
        <v>666.91384192609951</v>
      </c>
      <c r="G6" s="34"/>
      <c r="H6" s="33"/>
      <c r="I6" s="33"/>
      <c r="J6" s="33">
        <f>$C$26*('E Balans VL '!D12+'E Balans VL '!E12)/100/3.6*1000000</f>
        <v>0</v>
      </c>
      <c r="K6" s="33"/>
      <c r="L6" s="33"/>
      <c r="M6" s="33"/>
      <c r="N6" s="33">
        <f>$C$26*'E Balans VL '!Y12/100/3.6*1000000</f>
        <v>10.262787741118222</v>
      </c>
      <c r="O6" s="33"/>
      <c r="P6" s="33"/>
      <c r="R6" s="32"/>
    </row>
    <row r="7" spans="1:18">
      <c r="A7" s="32" t="s">
        <v>52</v>
      </c>
      <c r="B7" s="37">
        <f t="shared" ref="B7:B12" si="0">B27</f>
        <v>4011.2940019999996</v>
      </c>
      <c r="C7" s="33"/>
      <c r="D7" s="37">
        <f>IF(ISERROR(TER_horeca_gas_kWh/1000),0,TER_horeca_gas_kWh/1000)*0.903</f>
        <v>5271.4490670240002</v>
      </c>
      <c r="E7" s="33">
        <f>$C$27*'E Balans VL '!I9/100/3.6*1000000</f>
        <v>0</v>
      </c>
      <c r="F7" s="33">
        <f>$C$27*('E Balans VL '!L9+'E Balans VL '!N9)/100/3.6*1000000</f>
        <v>326.8478671113885</v>
      </c>
      <c r="G7" s="34"/>
      <c r="H7" s="33"/>
      <c r="I7" s="33"/>
      <c r="J7" s="33">
        <f>$C$27*('E Balans VL '!D9+'E Balans VL '!E9)/100/3.6*1000000</f>
        <v>0</v>
      </c>
      <c r="K7" s="33"/>
      <c r="L7" s="33"/>
      <c r="M7" s="33"/>
      <c r="N7" s="33">
        <f>$C$27*'E Balans VL '!Y9/100/3.6*1000000</f>
        <v>1.1110537588865121</v>
      </c>
      <c r="O7" s="33"/>
      <c r="P7" s="33"/>
      <c r="R7" s="32"/>
    </row>
    <row r="8" spans="1:18">
      <c r="A8" s="6" t="s">
        <v>51</v>
      </c>
      <c r="B8" s="37">
        <f t="shared" si="0"/>
        <v>20247.968631</v>
      </c>
      <c r="C8" s="33"/>
      <c r="D8" s="37">
        <f>IF(ISERROR(TER_handel_gas_kWh/1000),0,TER_handel_gas_kWh/1000)*0.903</f>
        <v>12578.927705693999</v>
      </c>
      <c r="E8" s="33">
        <f>$C$28*'E Balans VL '!I13/100/3.6*1000000</f>
        <v>161.85445764115158</v>
      </c>
      <c r="F8" s="33">
        <f>$C$28*('E Balans VL '!L13+'E Balans VL '!N13)/100/3.6*1000000</f>
        <v>2011.5098147730523</v>
      </c>
      <c r="G8" s="34"/>
      <c r="H8" s="33"/>
      <c r="I8" s="33"/>
      <c r="J8" s="33">
        <f>$C$28*('E Balans VL '!D13+'E Balans VL '!E13)/100/3.6*1000000</f>
        <v>0</v>
      </c>
      <c r="K8" s="33"/>
      <c r="L8" s="33"/>
      <c r="M8" s="33"/>
      <c r="N8" s="33">
        <f>$C$28*'E Balans VL '!Y13/100/3.6*1000000</f>
        <v>7.5638215229963599</v>
      </c>
      <c r="O8" s="33"/>
      <c r="P8" s="33"/>
      <c r="R8" s="32"/>
    </row>
    <row r="9" spans="1:18">
      <c r="A9" s="32" t="s">
        <v>50</v>
      </c>
      <c r="B9" s="37">
        <f t="shared" si="0"/>
        <v>3621.726478</v>
      </c>
      <c r="C9" s="33"/>
      <c r="D9" s="37">
        <f>IF(ISERROR(TER_gezond_gas_kWh/1000),0,TER_gezond_gas_kWh/1000)*0.903</f>
        <v>5496.3769749210005</v>
      </c>
      <c r="E9" s="33">
        <f>$C$29*'E Balans VL '!I10/100/3.6*1000000</f>
        <v>0</v>
      </c>
      <c r="F9" s="33">
        <f>$C$29*('E Balans VL '!L10+'E Balans VL '!N10)/100/3.6*1000000</f>
        <v>330.17938702574799</v>
      </c>
      <c r="G9" s="34"/>
      <c r="H9" s="33"/>
      <c r="I9" s="33"/>
      <c r="J9" s="33">
        <f>$C$29*('E Balans VL '!D10+'E Balans VL '!E10)/100/3.6*1000000</f>
        <v>0</v>
      </c>
      <c r="K9" s="33"/>
      <c r="L9" s="33"/>
      <c r="M9" s="33"/>
      <c r="N9" s="33">
        <f>$C$29*'E Balans VL '!Y10/100/3.6*1000000</f>
        <v>26.471574907621058</v>
      </c>
      <c r="O9" s="33"/>
      <c r="P9" s="33"/>
      <c r="R9" s="32"/>
    </row>
    <row r="10" spans="1:18">
      <c r="A10" s="32" t="s">
        <v>49</v>
      </c>
      <c r="B10" s="37">
        <f t="shared" si="0"/>
        <v>8338.3709060000001</v>
      </c>
      <c r="C10" s="33"/>
      <c r="D10" s="37">
        <f>IF(ISERROR(TER_ander_gas_kWh/1000),0,TER_ander_gas_kWh/1000)*0.903</f>
        <v>12800.797067709002</v>
      </c>
      <c r="E10" s="33">
        <f>$C$30*'E Balans VL '!I14/100/3.6*1000000</f>
        <v>108.1028522147007</v>
      </c>
      <c r="F10" s="33">
        <f>$C$30*('E Balans VL '!L14+'E Balans VL '!N14)/100/3.6*1000000</f>
        <v>7647.4568503060864</v>
      </c>
      <c r="G10" s="34"/>
      <c r="H10" s="33"/>
      <c r="I10" s="33"/>
      <c r="J10" s="33">
        <f>$C$30*('E Balans VL '!D14+'E Balans VL '!E14)/100/3.6*1000000</f>
        <v>8.4335718523977823E-2</v>
      </c>
      <c r="K10" s="33"/>
      <c r="L10" s="33"/>
      <c r="M10" s="33"/>
      <c r="N10" s="33">
        <f>$C$30*'E Balans VL '!Y14/100/3.6*1000000</f>
        <v>3188.9644302292759</v>
      </c>
      <c r="O10" s="33"/>
      <c r="P10" s="33"/>
      <c r="R10" s="32"/>
    </row>
    <row r="11" spans="1:18">
      <c r="A11" s="32" t="s">
        <v>54</v>
      </c>
      <c r="B11" s="37">
        <f t="shared" si="0"/>
        <v>1505.0310770000001</v>
      </c>
      <c r="C11" s="33"/>
      <c r="D11" s="37">
        <f>IF(ISERROR(TER_onderwijs_gas_kWh/1000),0,TER_onderwijs_gas_kWh/1000)*0.903</f>
        <v>3423.138366312</v>
      </c>
      <c r="E11" s="33">
        <f>$C$31*'E Balans VL '!I11/100/3.6*1000000</f>
        <v>0</v>
      </c>
      <c r="F11" s="33">
        <f>$C$31*('E Balans VL '!L11+'E Balans VL '!N11)/100/3.6*1000000</f>
        <v>58.971133205609469</v>
      </c>
      <c r="G11" s="34"/>
      <c r="H11" s="33"/>
      <c r="I11" s="33"/>
      <c r="J11" s="33">
        <f>$C$31*('E Balans VL '!D11+'E Balans VL '!E11)/100/3.6*1000000</f>
        <v>0</v>
      </c>
      <c r="K11" s="33"/>
      <c r="L11" s="33"/>
      <c r="M11" s="33"/>
      <c r="N11" s="33">
        <f>$C$31*'E Balans VL '!Y11/100/3.6*1000000</f>
        <v>4.7397147137550091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45402.440910999991</v>
      </c>
      <c r="C16" s="21">
        <f t="shared" ca="1" si="1"/>
        <v>0</v>
      </c>
      <c r="D16" s="21">
        <f t="shared" ca="1" si="1"/>
        <v>48084.468214335</v>
      </c>
      <c r="E16" s="21">
        <f t="shared" si="1"/>
        <v>271.78676281919957</v>
      </c>
      <c r="F16" s="21">
        <f t="shared" ca="1" si="1"/>
        <v>11041.878894347983</v>
      </c>
      <c r="G16" s="21">
        <f t="shared" si="1"/>
        <v>0</v>
      </c>
      <c r="H16" s="21">
        <f t="shared" si="1"/>
        <v>0</v>
      </c>
      <c r="I16" s="21">
        <f t="shared" si="1"/>
        <v>0</v>
      </c>
      <c r="J16" s="21">
        <f t="shared" si="1"/>
        <v>8.4335718523977823E-2</v>
      </c>
      <c r="K16" s="21">
        <f t="shared" si="1"/>
        <v>0</v>
      </c>
      <c r="L16" s="21">
        <f t="shared" ca="1" si="1"/>
        <v>0</v>
      </c>
      <c r="M16" s="21">
        <f t="shared" si="1"/>
        <v>0</v>
      </c>
      <c r="N16" s="21">
        <f t="shared" ca="1" si="1"/>
        <v>3239.1133828736529</v>
      </c>
      <c r="O16" s="21">
        <f>O5</f>
        <v>14.691782297523464</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0.12572666230201315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5708.2973561044018</v>
      </c>
      <c r="C20" s="23">
        <f t="shared" ref="C20:P20" ca="1" si="2">C16*C18</f>
        <v>0</v>
      </c>
      <c r="D20" s="23">
        <f t="shared" ca="1" si="2"/>
        <v>9713.0625792956707</v>
      </c>
      <c r="E20" s="23">
        <f t="shared" si="2"/>
        <v>61.695595159958302</v>
      </c>
      <c r="F20" s="23">
        <f t="shared" ca="1" si="2"/>
        <v>2948.1816647909118</v>
      </c>
      <c r="G20" s="23">
        <f t="shared" si="2"/>
        <v>0</v>
      </c>
      <c r="H20" s="23">
        <f t="shared" si="2"/>
        <v>0</v>
      </c>
      <c r="I20" s="23">
        <f t="shared" si="2"/>
        <v>0</v>
      </c>
      <c r="J20" s="23">
        <f t="shared" si="2"/>
        <v>2.9854844357488149E-2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7678.0498170000001</v>
      </c>
      <c r="C26" s="39">
        <f>IF(ISERROR(B26*3.6/1000000/'E Balans VL '!Z12*100),0,B26*3.6/1000000/'E Balans VL '!Z12*100)</f>
        <v>0.22028252670603546</v>
      </c>
      <c r="D26" s="233" t="s">
        <v>841</v>
      </c>
      <c r="F26" s="6"/>
    </row>
    <row r="27" spans="1:18" ht="30">
      <c r="A27" s="228" t="s">
        <v>52</v>
      </c>
      <c r="B27" s="33">
        <f>IF(ISERROR(TER_horeca_ele_kWh/1000),0,TER_horeca_ele_kWh/1000)</f>
        <v>4011.2940019999996</v>
      </c>
      <c r="C27" s="39">
        <f>IF(ISERROR(B27*3.6/1000000/'E Balans VL '!Z9*100),0,B27*3.6/1000000/'E Balans VL '!Z9*100)</f>
        <v>0.29386881872723841</v>
      </c>
      <c r="D27" s="233" t="s">
        <v>841</v>
      </c>
      <c r="F27" s="6"/>
    </row>
    <row r="28" spans="1:18" ht="30">
      <c r="A28" s="168" t="s">
        <v>51</v>
      </c>
      <c r="B28" s="33">
        <f>IF(ISERROR(TER_handel_ele_kWh/1000),0,TER_handel_ele_kWh/1000)</f>
        <v>20247.968631</v>
      </c>
      <c r="C28" s="39">
        <f>IF(ISERROR(B28*3.6/1000000/'E Balans VL '!Z13*100),0,B28*3.6/1000000/'E Balans VL '!Z13*100)</f>
        <v>0.62567930887410717</v>
      </c>
      <c r="D28" s="233" t="s">
        <v>841</v>
      </c>
      <c r="F28" s="6"/>
    </row>
    <row r="29" spans="1:18" ht="30">
      <c r="A29" s="228" t="s">
        <v>50</v>
      </c>
      <c r="B29" s="33">
        <f>IF(ISERROR(TER_gezond_ele_kWh/1000),0,TER_gezond_ele_kWh/1000)</f>
        <v>3621.726478</v>
      </c>
      <c r="C29" s="39">
        <f>IF(ISERROR(B29*3.6/1000000/'E Balans VL '!Z10*100),0,B29*3.6/1000000/'E Balans VL '!Z10*100)</f>
        <v>0.35495146467713096</v>
      </c>
      <c r="D29" s="233" t="s">
        <v>841</v>
      </c>
      <c r="F29" s="6"/>
    </row>
    <row r="30" spans="1:18" ht="30">
      <c r="A30" s="228" t="s">
        <v>49</v>
      </c>
      <c r="B30" s="33">
        <f>IF(ISERROR(TER_ander_ele_kWh/1000),0,TER_ander_ele_kWh/1000)</f>
        <v>8338.3709060000001</v>
      </c>
      <c r="C30" s="39">
        <f>IF(ISERROR(B30*3.6/1000000/'E Balans VL '!Z14*100),0,B30*3.6/1000000/'E Balans VL '!Z14*100)</f>
        <v>0.34540226016646208</v>
      </c>
      <c r="D30" s="233" t="s">
        <v>841</v>
      </c>
      <c r="F30" s="6"/>
    </row>
    <row r="31" spans="1:18" ht="30">
      <c r="A31" s="228" t="s">
        <v>54</v>
      </c>
      <c r="B31" s="33">
        <f>IF(ISERROR(TER_onderwijs_ele_kWh/1000),0,TER_onderwijs_ele_kWh/1000)</f>
        <v>1505.0310770000001</v>
      </c>
      <c r="C31" s="39">
        <f>IF(ISERROR(B31*3.6/1000000/'E Balans VL '!Z11*100),0,B31*3.6/1000000/'E Balans VL '!Z11*100)</f>
        <v>0.46245029307404933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36374.568499000001</v>
      </c>
      <c r="C5" s="17">
        <f>IF(ISERROR('Eigen informatie GS &amp; warmtenet'!B61),0,'Eigen informatie GS &amp; warmtenet'!B61)</f>
        <v>0</v>
      </c>
      <c r="D5" s="30">
        <f>SUM(D6:D15)</f>
        <v>37725.506020544999</v>
      </c>
      <c r="E5" s="17">
        <f>SUM(E6:E15)</f>
        <v>579.11392367053713</v>
      </c>
      <c r="F5" s="17">
        <f>SUM(F6:F15)</f>
        <v>6139.6374223900284</v>
      </c>
      <c r="G5" s="18"/>
      <c r="H5" s="17"/>
      <c r="I5" s="17"/>
      <c r="J5" s="17">
        <f>SUM(J6:J15)</f>
        <v>38.40080902815788</v>
      </c>
      <c r="K5" s="17"/>
      <c r="L5" s="17"/>
      <c r="M5" s="17"/>
      <c r="N5" s="17">
        <f>SUM(N6:N15)</f>
        <v>1342.8334573527422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5520.0587169999999</v>
      </c>
      <c r="C8" s="33"/>
      <c r="D8" s="37">
        <f>IF( ISERROR(IND_metaal_Gas_kWH/1000),0,IND_metaal_Gas_kWH/1000)*0.903</f>
        <v>11844.080796135</v>
      </c>
      <c r="E8" s="33">
        <f>C30*'E Balans VL '!I18/100/3.6*1000000</f>
        <v>30.090700960769912</v>
      </c>
      <c r="F8" s="33">
        <f>C30*'E Balans VL '!L18/100/3.6*1000000+C30*'E Balans VL '!N18/100/3.6*1000000</f>
        <v>355.49220301179741</v>
      </c>
      <c r="G8" s="34"/>
      <c r="H8" s="33"/>
      <c r="I8" s="33"/>
      <c r="J8" s="40">
        <f>C30*'E Balans VL '!D18/100/3.6*1000000+C30*'E Balans VL '!E18/100/3.6*1000000</f>
        <v>4.5216014171974335</v>
      </c>
      <c r="K8" s="33"/>
      <c r="L8" s="33"/>
      <c r="M8" s="33"/>
      <c r="N8" s="33">
        <f>C30*'E Balans VL '!Y18/100/3.6*1000000</f>
        <v>119.25722094311092</v>
      </c>
      <c r="O8" s="33"/>
      <c r="P8" s="33"/>
      <c r="R8" s="32"/>
    </row>
    <row r="9" spans="1:18">
      <c r="A9" s="6" t="s">
        <v>32</v>
      </c>
      <c r="B9" s="37">
        <f t="shared" si="0"/>
        <v>8402.2677860000003</v>
      </c>
      <c r="C9" s="33"/>
      <c r="D9" s="37">
        <f>IF( ISERROR(IND_andere_gas_kWh/1000),0,IND_andere_gas_kWh/1000)*0.903</f>
        <v>4315.1096661119991</v>
      </c>
      <c r="E9" s="33">
        <f>C31*'E Balans VL '!I19/100/3.6*1000000</f>
        <v>27.123951324080569</v>
      </c>
      <c r="F9" s="33">
        <f>C31*'E Balans VL '!L19/100/3.6*1000000+C31*'E Balans VL '!N19/100/3.6*1000000</f>
        <v>5432.9723087457769</v>
      </c>
      <c r="G9" s="34"/>
      <c r="H9" s="33"/>
      <c r="I9" s="33"/>
      <c r="J9" s="40">
        <f>C31*'E Balans VL '!D19/100/3.6*1000000+C31*'E Balans VL '!E19/100/3.6*1000000</f>
        <v>0</v>
      </c>
      <c r="K9" s="33"/>
      <c r="L9" s="33"/>
      <c r="M9" s="33"/>
      <c r="N9" s="33">
        <f>C31*'E Balans VL '!Y19/100/3.6*1000000</f>
        <v>339.52593576179828</v>
      </c>
      <c r="O9" s="33"/>
      <c r="P9" s="33"/>
      <c r="R9" s="32"/>
    </row>
    <row r="10" spans="1:18">
      <c r="A10" s="6" t="s">
        <v>40</v>
      </c>
      <c r="B10" s="37">
        <f t="shared" si="0"/>
        <v>9879.0376429999997</v>
      </c>
      <c r="C10" s="33"/>
      <c r="D10" s="37">
        <f>IF( ISERROR(IND_voed_gas_kWh/1000),0,IND_voed_gas_kWh/1000)*0.903</f>
        <v>8323.8425355119998</v>
      </c>
      <c r="E10" s="33">
        <f>C32*'E Balans VL '!I20/100/3.6*1000000</f>
        <v>20.708883990646086</v>
      </c>
      <c r="F10" s="33">
        <f>C32*'E Balans VL '!L20/100/3.6*1000000+C32*'E Balans VL '!N20/100/3.6*1000000</f>
        <v>192.47779402615666</v>
      </c>
      <c r="G10" s="34"/>
      <c r="H10" s="33"/>
      <c r="I10" s="33"/>
      <c r="J10" s="40">
        <f>C32*'E Balans VL '!D20/100/3.6*1000000+C32*'E Balans VL '!E20/100/3.6*1000000</f>
        <v>0</v>
      </c>
      <c r="K10" s="33"/>
      <c r="L10" s="33"/>
      <c r="M10" s="33"/>
      <c r="N10" s="33">
        <f>C32*'E Balans VL '!Y20/100/3.6*1000000</f>
        <v>392.9607287321611</v>
      </c>
      <c r="O10" s="33"/>
      <c r="P10" s="33"/>
      <c r="R10" s="32"/>
    </row>
    <row r="11" spans="1:18">
      <c r="A11" s="6" t="s">
        <v>39</v>
      </c>
      <c r="B11" s="37">
        <f t="shared" si="0"/>
        <v>162.78662</v>
      </c>
      <c r="C11" s="33"/>
      <c r="D11" s="37">
        <f>IF( ISERROR(IND_textiel_gas_kWh/1000),0,IND_textiel_gas_kWh/1000)*0.903</f>
        <v>0</v>
      </c>
      <c r="E11" s="33">
        <f>C33*'E Balans VL '!I21/100/3.6*1000000</f>
        <v>0.13987764912292494</v>
      </c>
      <c r="F11" s="33">
        <f>C33*'E Balans VL '!L21/100/3.6*1000000+C33*'E Balans VL '!N21/100/3.6*1000000</f>
        <v>3.4129904416265431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893.81052599999998</v>
      </c>
      <c r="C12" s="33"/>
      <c r="D12" s="37">
        <f>IF( ISERROR(IND_min_gas_kWh/1000),0,IND_min_gas_kWh/1000)*0.903</f>
        <v>0</v>
      </c>
      <c r="E12" s="33">
        <f>C34*'E Balans VL '!I22/100/3.6*1000000</f>
        <v>14.627261891093935</v>
      </c>
      <c r="F12" s="33">
        <f>C34*'E Balans VL '!L22/100/3.6*1000000+C34*'E Balans VL '!N22/100/3.6*1000000</f>
        <v>136.4261692037407</v>
      </c>
      <c r="G12" s="34"/>
      <c r="H12" s="33"/>
      <c r="I12" s="33"/>
      <c r="J12" s="40">
        <f>C34*'E Balans VL '!D22/100/3.6*1000000+C34*'E Balans VL '!E22/100/3.6*1000000</f>
        <v>31.986409068040423</v>
      </c>
      <c r="K12" s="33"/>
      <c r="L12" s="33"/>
      <c r="M12" s="33"/>
      <c r="N12" s="33">
        <f>C34*'E Balans VL '!Y22/100/3.6*1000000</f>
        <v>489.82713836058315</v>
      </c>
      <c r="O12" s="33"/>
      <c r="P12" s="33"/>
      <c r="R12" s="32"/>
    </row>
    <row r="13" spans="1:18">
      <c r="A13" s="6" t="s">
        <v>38</v>
      </c>
      <c r="B13" s="37">
        <f t="shared" si="0"/>
        <v>9177.092251</v>
      </c>
      <c r="C13" s="33"/>
      <c r="D13" s="37">
        <f>IF( ISERROR(IND_papier_gas_kWh/1000),0,IND_papier_gas_kWh/1000)*0.903</f>
        <v>13161.058216803001</v>
      </c>
      <c r="E13" s="33">
        <f>C35*'E Balans VL '!I23/100/3.6*1000000</f>
        <v>0</v>
      </c>
      <c r="F13" s="33">
        <f>C35*'E Balans VL '!L23/100/3.6*1000000+C35*'E Balans VL '!N23/100/3.6*1000000</f>
        <v>1.2293004393204563</v>
      </c>
      <c r="G13" s="34"/>
      <c r="H13" s="33"/>
      <c r="I13" s="33"/>
      <c r="J13" s="40">
        <f>C35*'E Balans VL '!D23/100/3.6*1000000+C35*'E Balans VL '!E23/100/3.6*1000000</f>
        <v>1.8152865892426127</v>
      </c>
      <c r="K13" s="33"/>
      <c r="L13" s="33"/>
      <c r="M13" s="33"/>
      <c r="N13" s="33">
        <f>C35*'E Balans VL '!Y23/100/3.6*1000000</f>
        <v>0</v>
      </c>
      <c r="O13" s="33"/>
      <c r="P13" s="33"/>
      <c r="R13" s="32"/>
    </row>
    <row r="14" spans="1:18">
      <c r="A14" s="6" t="s">
        <v>33</v>
      </c>
      <c r="B14" s="37">
        <f t="shared" si="0"/>
        <v>2325.2389270000003</v>
      </c>
      <c r="C14" s="33"/>
      <c r="D14" s="37">
        <f>IF( ISERROR(IND_chemie_gas_kWh/1000),0,IND_chemie_gas_kWh/1000)*0.903</f>
        <v>0</v>
      </c>
      <c r="E14" s="33">
        <f>C36*'E Balans VL '!I24/100/3.6*1000000</f>
        <v>485.58278250027695</v>
      </c>
      <c r="F14" s="33">
        <f>C36*'E Balans VL '!L24/100/3.6*1000000+C36*'E Balans VL '!N24/100/3.6*1000000</f>
        <v>15.448797901368122</v>
      </c>
      <c r="G14" s="34"/>
      <c r="H14" s="33"/>
      <c r="I14" s="33"/>
      <c r="J14" s="40">
        <f>C36*'E Balans VL '!D24/100/3.6*1000000+C36*'E Balans VL '!E24/100/3.6*1000000</f>
        <v>0</v>
      </c>
      <c r="K14" s="33"/>
      <c r="L14" s="33"/>
      <c r="M14" s="33"/>
      <c r="N14" s="33">
        <f>C36*'E Balans VL '!Y24/100/3.6*1000000</f>
        <v>0.81139978059970919</v>
      </c>
      <c r="O14" s="33"/>
      <c r="P14" s="33"/>
      <c r="R14" s="32"/>
    </row>
    <row r="15" spans="1:18">
      <c r="A15" s="6" t="s">
        <v>265</v>
      </c>
      <c r="B15" s="37">
        <f t="shared" si="0"/>
        <v>14.276029000000001</v>
      </c>
      <c r="C15" s="33"/>
      <c r="D15" s="37">
        <f>IF( ISERROR(IND_rest_gas_kWh/1000),0,IND_rest_gas_kWh/1000)*0.903</f>
        <v>81.414805983000008</v>
      </c>
      <c r="E15" s="33">
        <f>C37*'E Balans VL '!I15/100/3.6*1000000</f>
        <v>0.84046535454673355</v>
      </c>
      <c r="F15" s="33">
        <f>C37*'E Balans VL '!L15/100/3.6*1000000+C37*'E Balans VL '!N15/100/3.6*1000000</f>
        <v>2.1778586202409351</v>
      </c>
      <c r="G15" s="34"/>
      <c r="H15" s="33"/>
      <c r="I15" s="33"/>
      <c r="J15" s="40">
        <f>C37*'E Balans VL '!D15/100/3.6*1000000+C37*'E Balans VL '!E15/100/3.6*1000000</f>
        <v>7.7511953677416784E-2</v>
      </c>
      <c r="K15" s="33"/>
      <c r="L15" s="33"/>
      <c r="M15" s="33"/>
      <c r="N15" s="33">
        <f>C37*'E Balans VL '!Y15/100/3.6*1000000</f>
        <v>0.45103377448906357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36374.568499000001</v>
      </c>
      <c r="C18" s="21">
        <f>C5+C16</f>
        <v>0</v>
      </c>
      <c r="D18" s="21">
        <f>MAX((D5+D16),0)</f>
        <v>37725.506020544999</v>
      </c>
      <c r="E18" s="21">
        <f>MAX((E5+E16),0)</f>
        <v>579.11392367053713</v>
      </c>
      <c r="F18" s="21">
        <f>MAX((F5+F16),0)</f>
        <v>6139.6374223900284</v>
      </c>
      <c r="G18" s="21"/>
      <c r="H18" s="21"/>
      <c r="I18" s="21"/>
      <c r="J18" s="21">
        <f>MAX((J5+J16),0)</f>
        <v>38.40080902815788</v>
      </c>
      <c r="K18" s="21"/>
      <c r="L18" s="21">
        <f>MAX((L5+L16),0)</f>
        <v>0</v>
      </c>
      <c r="M18" s="21"/>
      <c r="N18" s="21">
        <f>MAX((N5+N16),0)</f>
        <v>1342.8334573527422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0.12572666230201315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4573.2530900552183</v>
      </c>
      <c r="C22" s="23">
        <f ca="1">C18*C20</f>
        <v>0</v>
      </c>
      <c r="D22" s="23">
        <f>D18*D20</f>
        <v>7620.5522161500903</v>
      </c>
      <c r="E22" s="23">
        <f>E18*E20</f>
        <v>131.45886067321194</v>
      </c>
      <c r="F22" s="23">
        <f>F18*F20</f>
        <v>1639.2831917781377</v>
      </c>
      <c r="G22" s="23"/>
      <c r="H22" s="23"/>
      <c r="I22" s="23"/>
      <c r="J22" s="23">
        <f>J18*J20</f>
        <v>13.593886395967889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5520.0587169999999</v>
      </c>
      <c r="C30" s="39">
        <f>IF(ISERROR(B30*3.6/1000000/'E Balans VL '!Z18*100),0,B30*3.6/1000000/'E Balans VL '!Z18*100)</f>
        <v>0.33240279971228942</v>
      </c>
      <c r="D30" s="233" t="s">
        <v>841</v>
      </c>
    </row>
    <row r="31" spans="1:18" ht="30">
      <c r="A31" s="6" t="s">
        <v>32</v>
      </c>
      <c r="B31" s="37">
        <f>IF( ISERROR(IND_ander_ele_kWh/1000),0,IND_ander_ele_kWh/1000)</f>
        <v>8402.2677860000003</v>
      </c>
      <c r="C31" s="39">
        <f>IF(ISERROR(B31*3.6/1000000/'E Balans VL '!Z19*100),0,B31*3.6/1000000/'E Balans VL '!Z19*100)</f>
        <v>0.34232578429776084</v>
      </c>
      <c r="D31" s="233" t="s">
        <v>841</v>
      </c>
    </row>
    <row r="32" spans="1:18" ht="30">
      <c r="A32" s="168" t="s">
        <v>40</v>
      </c>
      <c r="B32" s="37">
        <f>IF( ISERROR(IND_voed_ele_kWh/1000),0,IND_voed_ele_kWh/1000)</f>
        <v>9879.0376429999997</v>
      </c>
      <c r="C32" s="39">
        <f>IF(ISERROR(B32*3.6/1000000/'E Balans VL '!Z20*100),0,B32*3.6/1000000/'E Balans VL '!Z20*100)</f>
        <v>0.28564273447730038</v>
      </c>
      <c r="D32" s="233" t="s">
        <v>841</v>
      </c>
    </row>
    <row r="33" spans="1:5" ht="30">
      <c r="A33" s="168" t="s">
        <v>39</v>
      </c>
      <c r="B33" s="37">
        <f>IF( ISERROR(IND_textiel_ele_kWh/1000),0,IND_textiel_ele_kWh/1000)</f>
        <v>162.78662</v>
      </c>
      <c r="C33" s="39">
        <f>IF(ISERROR(B33*3.6/1000000/'E Balans VL '!Z21*100),0,B33*3.6/1000000/'E Balans VL '!Z21*100)</f>
        <v>2.6770841937401899E-2</v>
      </c>
      <c r="D33" s="233" t="s">
        <v>841</v>
      </c>
    </row>
    <row r="34" spans="1:5" ht="30">
      <c r="A34" s="168" t="s">
        <v>36</v>
      </c>
      <c r="B34" s="37">
        <f>IF( ISERROR(IND_min_ele_kWh/1000),0,IND_min_ele_kWh/1000)</f>
        <v>893.81052599999998</v>
      </c>
      <c r="C34" s="39">
        <f>IF(ISERROR(B34*3.6/1000000/'E Balans VL '!Z22*100),0,B34*3.6/1000000/'E Balans VL '!Z22*100)</f>
        <v>0.38164878909235517</v>
      </c>
      <c r="D34" s="233" t="s">
        <v>841</v>
      </c>
    </row>
    <row r="35" spans="1:5" ht="30">
      <c r="A35" s="168" t="s">
        <v>38</v>
      </c>
      <c r="B35" s="37">
        <f>IF( ISERROR(IND_papier_ele_kWh/1000),0,IND_papier_ele_kWh/1000)</f>
        <v>9177.092251</v>
      </c>
      <c r="C35" s="39">
        <f>IF(ISERROR(B35*3.6/1000000/'E Balans VL '!Z22*100),0,B35*3.6/1000000/'E Balans VL '!Z22*100)</f>
        <v>3.9185331153540095</v>
      </c>
      <c r="D35" s="233" t="s">
        <v>841</v>
      </c>
    </row>
    <row r="36" spans="1:5" ht="30">
      <c r="A36" s="168" t="s">
        <v>33</v>
      </c>
      <c r="B36" s="37">
        <f>IF( ISERROR(IND_chemie_ele_kWh/1000),0,IND_chemie_ele_kWh/1000)</f>
        <v>2325.2389270000003</v>
      </c>
      <c r="C36" s="39">
        <f>IF(ISERROR(B36*3.6/1000000/'E Balans VL '!Z24*100),0,B36*3.6/1000000/'E Balans VL '!Z24*100)</f>
        <v>7.0556502660844678E-2</v>
      </c>
      <c r="D36" s="233" t="s">
        <v>841</v>
      </c>
    </row>
    <row r="37" spans="1:5" ht="30">
      <c r="A37" s="168" t="s">
        <v>265</v>
      </c>
      <c r="B37" s="37">
        <f>IF( ISERROR(IND_rest_ele_kWh/1000),0,IND_rest_ele_kWh/1000)</f>
        <v>14.276029000000001</v>
      </c>
      <c r="C37" s="39">
        <f>IF(ISERROR(B37*3.6/1000000/'E Balans VL '!Z15*100),0,B37*3.6/1000000/'E Balans VL '!Z15*100)</f>
        <v>1.1721701106231594E-4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340.11819799999995</v>
      </c>
      <c r="C5" s="17">
        <f>'Eigen informatie GS &amp; warmtenet'!B62</f>
        <v>0</v>
      </c>
      <c r="D5" s="30">
        <f>IF(ISERROR(SUM(LB_lb_gas_kWh,LB_rest_gas_kWh)/1000),0,SUM(LB_lb_gas_kWh,LB_rest_gas_kWh)/1000)*0.903</f>
        <v>89.099959956000006</v>
      </c>
      <c r="E5" s="17">
        <f>B17*'E Balans VL '!I25/3.6*1000000/100</f>
        <v>9.7415607760888712</v>
      </c>
      <c r="F5" s="17">
        <f>B17*('E Balans VL '!L25/3.6*1000000+'E Balans VL '!N25/3.6*1000000)/100</f>
        <v>1076.6385224540254</v>
      </c>
      <c r="G5" s="18"/>
      <c r="H5" s="17"/>
      <c r="I5" s="17"/>
      <c r="J5" s="17">
        <f>('E Balans VL '!D25+'E Balans VL '!E25)/3.6*1000000*landbouw!B17/100</f>
        <v>86.481377226421117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340.11819799999995</v>
      </c>
      <c r="C8" s="21">
        <f>C5+C6</f>
        <v>0</v>
      </c>
      <c r="D8" s="21">
        <f>MAX((D5+D6),0)</f>
        <v>89.099959956000006</v>
      </c>
      <c r="E8" s="21">
        <f>MAX((E5+E6),0)</f>
        <v>9.7415607760888712</v>
      </c>
      <c r="F8" s="21">
        <f>MAX((F5+F6),0)</f>
        <v>1076.6385224540254</v>
      </c>
      <c r="G8" s="21"/>
      <c r="H8" s="21"/>
      <c r="I8" s="21"/>
      <c r="J8" s="21">
        <f>MAX((J5+J6),0)</f>
        <v>86.481377226421117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0.12572666230201315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42.761925822715241</v>
      </c>
      <c r="C12" s="23">
        <f ca="1">C8*C10</f>
        <v>0</v>
      </c>
      <c r="D12" s="23">
        <f>D8*D10</f>
        <v>17.998191911112002</v>
      </c>
      <c r="E12" s="23">
        <f>E8*E10</f>
        <v>2.2113342961721738</v>
      </c>
      <c r="F12" s="23">
        <f>F8*F10</f>
        <v>287.46248549522483</v>
      </c>
      <c r="G12" s="23"/>
      <c r="H12" s="23"/>
      <c r="I12" s="23"/>
      <c r="J12" s="23">
        <f>J8*J10</f>
        <v>30.614407538153074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4.7098654671702586E-2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60.551480785960656</v>
      </c>
      <c r="C26" s="243">
        <f>B26*'GWP N2O_CH4'!B5</f>
        <v>1271.5810965051737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19.953935897997564</v>
      </c>
      <c r="C27" s="243">
        <f>B27*'GWP N2O_CH4'!B5</f>
        <v>419.03265385794884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0.82072697992235399</v>
      </c>
      <c r="C28" s="243">
        <f>B28*'GWP N2O_CH4'!B4</f>
        <v>254.42536377592972</v>
      </c>
      <c r="D28" s="50"/>
    </row>
    <row r="29" spans="1:4">
      <c r="A29" s="41" t="s">
        <v>272</v>
      </c>
      <c r="B29" s="243">
        <f>B34*'ha_N2O bodem landbouw'!B4</f>
        <v>11.521435234501089</v>
      </c>
      <c r="C29" s="243">
        <f>B29*'GWP N2O_CH4'!B4</f>
        <v>3571.6449226953378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2.6174638829528432E-3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2.2050822245788014E-3</v>
      </c>
      <c r="C5" s="434" t="s">
        <v>210</v>
      </c>
      <c r="D5" s="419">
        <f>SUM(D6:D11)</f>
        <v>3.920122799326224E-3</v>
      </c>
      <c r="E5" s="419">
        <f>SUM(E6:E11)</f>
        <v>1.6256845864550278E-3</v>
      </c>
      <c r="F5" s="432" t="s">
        <v>210</v>
      </c>
      <c r="G5" s="419">
        <f>SUM(G6:G11)</f>
        <v>0.69130179828320393</v>
      </c>
      <c r="H5" s="419">
        <f>SUM(H6:H11)</f>
        <v>0.19428824687739693</v>
      </c>
      <c r="I5" s="434" t="s">
        <v>210</v>
      </c>
      <c r="J5" s="434" t="s">
        <v>210</v>
      </c>
      <c r="K5" s="434" t="s">
        <v>210</v>
      </c>
      <c r="L5" s="434" t="s">
        <v>210</v>
      </c>
      <c r="M5" s="419">
        <f>SUM(M6:M11)</f>
        <v>5.346671950017752E-2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6.4803675672267167E-4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1.0804627855316607E-3</v>
      </c>
      <c r="E6" s="886">
        <f>vkm_GW_PW*SUMIFS(TableVerdeelsleutelVkm[LPG],TableVerdeelsleutelVkm[Voertuigtype],"Lichte voertuigen")*SUMIFS(TableECFTransport[EnergieConsumptieFactor (PJ per km)],TableECFTransport[Index],CONCATENATE($A6,"_LPG_LPG"))</f>
        <v>4.2835954968605027E-4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0.12873280526112721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5.2987786078292853E-2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1.1148022368517136E-2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1.0630633909242474E-6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4.2140502876501555E-2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3.109359149114155E-7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2.419636409501854E-3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7.4020818415619031E-4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1.6902307618786865E-3</v>
      </c>
      <c r="E8" s="422">
        <f>vkm_NGW_PW*SUMIFS(TableVerdeelsleutelVkm[LPG],TableVerdeelsleutelVkm[Voertuigtype],"Lichte voertuigen")*SUMIFS(TableECFTransport[EnergieConsumptieFactor (PJ per km)],TableECFTransport[Index],CONCATENATE($A8,"_LPG_LPG"))</f>
        <v>6.4162029907083079E-4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0.17662528823359161</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8.2117895337508698E-2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1.5963027168765132E-2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5.2959346588513597E-7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2.7034590130939954E-2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1.8696951023530335E-7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1.5522795592940318E-3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8.108147059747964E-4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1.1494292519158764E-3</v>
      </c>
      <c r="E10" s="422">
        <f>vkm_SW_PW*SUMIFS(TableVerdeelsleutelVkm[LPG],TableVerdeelsleutelVkm[Voertuigtype],"Lichte voertuigen")*SUMIFS(TableECFTransport[EnergieConsumptieFactor (PJ per km)],TableECFTransport[Index],CONCATENATE($A10,"_LPG_LPG"))</f>
        <v>5.5570473769814656E-4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0.15151122260715075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5.9180733917641094E-2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1.2894946080270395E-2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4.4299208683337111E-6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0.16525738917389282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1.3336385291311433E-6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9.4888079138289744E-3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612.52284016077817</v>
      </c>
      <c r="C14" s="21"/>
      <c r="D14" s="21">
        <f t="shared" ref="D14:M14" si="0">((D5)*10^9/3600)+D12</f>
        <v>1088.9229998128399</v>
      </c>
      <c r="E14" s="21">
        <f t="shared" si="0"/>
        <v>451.57905179306329</v>
      </c>
      <c r="F14" s="21"/>
      <c r="G14" s="21">
        <f t="shared" si="0"/>
        <v>192028.27730088998</v>
      </c>
      <c r="H14" s="21">
        <f t="shared" si="0"/>
        <v>53968.957465943597</v>
      </c>
      <c r="I14" s="21"/>
      <c r="J14" s="21"/>
      <c r="K14" s="21"/>
      <c r="L14" s="21"/>
      <c r="M14" s="21">
        <f t="shared" si="0"/>
        <v>14851.866527827087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0.12572666230201315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77.010452277164134</v>
      </c>
      <c r="C18" s="23"/>
      <c r="D18" s="23">
        <f t="shared" ref="D18:M18" si="1">D14*D16</f>
        <v>219.96244596219367</v>
      </c>
      <c r="E18" s="23">
        <f t="shared" si="1"/>
        <v>102.50844475702537</v>
      </c>
      <c r="F18" s="23"/>
      <c r="G18" s="23">
        <f t="shared" si="1"/>
        <v>51271.550039337628</v>
      </c>
      <c r="H18" s="23">
        <f t="shared" si="1"/>
        <v>13438.270409019955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1.7850245805004882E-4</v>
      </c>
      <c r="C50" s="315">
        <f t="shared" ref="C50:P50" si="2">SUM(C51:C52)</f>
        <v>0</v>
      </c>
      <c r="D50" s="315">
        <f t="shared" si="2"/>
        <v>0</v>
      </c>
      <c r="E50" s="315">
        <f t="shared" si="2"/>
        <v>0</v>
      </c>
      <c r="F50" s="315">
        <f t="shared" si="2"/>
        <v>0</v>
      </c>
      <c r="G50" s="315">
        <f t="shared" si="2"/>
        <v>1.1174793524658895E-2</v>
      </c>
      <c r="H50" s="315">
        <f t="shared" si="2"/>
        <v>0</v>
      </c>
      <c r="I50" s="315">
        <f t="shared" si="2"/>
        <v>0</v>
      </c>
      <c r="J50" s="315">
        <f t="shared" si="2"/>
        <v>0</v>
      </c>
      <c r="K50" s="315">
        <f t="shared" si="2"/>
        <v>0</v>
      </c>
      <c r="L50" s="315">
        <f t="shared" si="2"/>
        <v>0</v>
      </c>
      <c r="M50" s="315">
        <f t="shared" si="2"/>
        <v>6.4163190059107332E-4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1.7850245805004882E-4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1.1174793524658895E-2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6.4163190059107332E-4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49.584016125013562</v>
      </c>
      <c r="C54" s="21">
        <f t="shared" ref="C54:P54" si="3">(C50)*10^9/3600</f>
        <v>0</v>
      </c>
      <c r="D54" s="21">
        <f t="shared" si="3"/>
        <v>0</v>
      </c>
      <c r="E54" s="21">
        <f t="shared" si="3"/>
        <v>0</v>
      </c>
      <c r="F54" s="21">
        <f t="shared" si="3"/>
        <v>0</v>
      </c>
      <c r="G54" s="21">
        <f t="shared" si="3"/>
        <v>3104.1093124052486</v>
      </c>
      <c r="H54" s="21">
        <f t="shared" si="3"/>
        <v>0</v>
      </c>
      <c r="I54" s="21">
        <f t="shared" si="3"/>
        <v>0</v>
      </c>
      <c r="J54" s="21">
        <f t="shared" si="3"/>
        <v>0</v>
      </c>
      <c r="K54" s="21">
        <f t="shared" si="3"/>
        <v>0</v>
      </c>
      <c r="L54" s="21">
        <f t="shared" si="3"/>
        <v>0</v>
      </c>
      <c r="M54" s="21">
        <f t="shared" si="3"/>
        <v>178.23108349752036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0.12572666230201315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6.2340328509271545</v>
      </c>
      <c r="C58" s="23">
        <f t="shared" ref="C58:P58" ca="1" si="4">C54*C56</f>
        <v>0</v>
      </c>
      <c r="D58" s="23">
        <f t="shared" si="4"/>
        <v>0</v>
      </c>
      <c r="E58" s="23">
        <f t="shared" si="4"/>
        <v>0</v>
      </c>
      <c r="F58" s="23">
        <f t="shared" si="4"/>
        <v>0</v>
      </c>
      <c r="G58" s="23">
        <f t="shared" si="4"/>
        <v>828.79718641220143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47354.219595205213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23634.489667339069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70988.709262544289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2021-06-29T14:21:19Z</dcterms:modified>
</cp:coreProperties>
</file>