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49"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8" i="18" l="1"/>
  <c r="V58" i="18"/>
  <c r="U58" i="18"/>
  <c r="T58" i="18"/>
  <c r="S58" i="18"/>
  <c r="R58" i="18"/>
  <c r="Q58" i="18"/>
  <c r="P58" i="18"/>
  <c r="O58" i="18"/>
  <c r="N58" i="18"/>
  <c r="M58" i="18"/>
  <c r="W57" i="18"/>
  <c r="V57" i="18"/>
  <c r="U57" i="18"/>
  <c r="T57" i="18"/>
  <c r="S57" i="18"/>
  <c r="R57" i="18"/>
  <c r="Q57" i="18"/>
  <c r="P57" i="18"/>
  <c r="O57" i="18"/>
  <c r="N57" i="18"/>
  <c r="M57" i="18"/>
  <c r="W56" i="18"/>
  <c r="V56" i="18"/>
  <c r="U56" i="18"/>
  <c r="T56" i="18"/>
  <c r="S56" i="18"/>
  <c r="R56" i="18"/>
  <c r="Q56" i="18"/>
  <c r="P56" i="18"/>
  <c r="O56" i="18"/>
  <c r="N56" i="18"/>
  <c r="M56" i="18"/>
  <c r="W55" i="18"/>
  <c r="H9" i="18" s="1"/>
  <c r="M77" i="14" s="1"/>
  <c r="M9" i="59" s="1"/>
  <c r="V55" i="18"/>
  <c r="U55" i="18"/>
  <c r="T55" i="18"/>
  <c r="S55" i="18"/>
  <c r="E9" i="18" s="1"/>
  <c r="F77" i="14" s="1"/>
  <c r="F9" i="59" s="1"/>
  <c r="R55" i="18"/>
  <c r="Q55" i="18"/>
  <c r="P55" i="18"/>
  <c r="O55" i="18"/>
  <c r="N55" i="18"/>
  <c r="B9" i="18" s="1"/>
  <c r="M55" i="18"/>
  <c r="W51" i="18"/>
  <c r="V51" i="18"/>
  <c r="U51" i="18"/>
  <c r="T51" i="18"/>
  <c r="L6" i="17" s="1"/>
  <c r="L5" i="17" s="1"/>
  <c r="S51" i="18"/>
  <c r="R51" i="18"/>
  <c r="Q51" i="18"/>
  <c r="P51" i="18"/>
  <c r="O51" i="18"/>
  <c r="N51" i="18"/>
  <c r="M51" i="18"/>
  <c r="W50" i="18"/>
  <c r="V50" i="18"/>
  <c r="U50" i="18"/>
  <c r="T50" i="18"/>
  <c r="S50" i="18"/>
  <c r="R50" i="18"/>
  <c r="Q50" i="18"/>
  <c r="P50" i="18"/>
  <c r="O50" i="18"/>
  <c r="C13" i="15" s="1"/>
  <c r="N50" i="18"/>
  <c r="M50" i="18"/>
  <c r="W49" i="18"/>
  <c r="V49" i="18"/>
  <c r="U49" i="18"/>
  <c r="T49" i="18"/>
  <c r="S49" i="18"/>
  <c r="F16" i="16" s="1"/>
  <c r="R49" i="18"/>
  <c r="Q49" i="18"/>
  <c r="P49" i="18"/>
  <c r="D16" i="16" s="1"/>
  <c r="O49" i="18"/>
  <c r="N49" i="18"/>
  <c r="W48" i="18"/>
  <c r="V48" i="18"/>
  <c r="U48" i="18"/>
  <c r="T48" i="18"/>
  <c r="S48" i="18"/>
  <c r="R48" i="18"/>
  <c r="Q48" i="18"/>
  <c r="P48" i="18"/>
  <c r="O48" i="18"/>
  <c r="B17" i="18" s="1"/>
  <c r="N48" i="18"/>
  <c r="B8" i="18" s="1"/>
  <c r="M48"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64" i="18"/>
  <c r="B68" i="18" s="1"/>
  <c r="B16" i="16"/>
  <c r="K9" i="14"/>
  <c r="H77" i="14"/>
  <c r="J11" i="48"/>
  <c r="J29" i="48" s="1"/>
  <c r="M9" i="14"/>
  <c r="L11" i="48"/>
  <c r="O19" i="14"/>
  <c r="O22" i="14" s="1"/>
  <c r="N10" i="48"/>
  <c r="N28" i="48" s="1"/>
  <c r="J19" i="14"/>
  <c r="J22" i="14" s="1"/>
  <c r="I10" i="48"/>
  <c r="I28" i="48" s="1"/>
  <c r="J19" i="19"/>
  <c r="K39" i="14" s="1"/>
  <c r="N19" i="19"/>
  <c r="O39" i="14" s="1"/>
  <c r="C64" i="18"/>
  <c r="I67"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67" i="18"/>
  <c r="E8" i="18" s="1"/>
  <c r="F76" i="14" s="1"/>
  <c r="F7" i="48"/>
  <c r="F25" i="48" s="1"/>
  <c r="D67" i="18"/>
  <c r="O9" i="18"/>
  <c r="M29" i="48"/>
  <c r="F12" i="17"/>
  <c r="G54" i="14" s="1"/>
  <c r="G56" i="14" s="1"/>
  <c r="C68" i="18"/>
  <c r="C67" i="18"/>
  <c r="B10" i="18"/>
  <c r="E68" i="18"/>
  <c r="E17" i="18" s="1"/>
  <c r="F87" i="14" s="1"/>
  <c r="G68" i="18"/>
  <c r="D7" i="48"/>
  <c r="D25" i="48" s="1"/>
  <c r="H67" i="18"/>
  <c r="G67" i="18"/>
  <c r="D68" i="18"/>
  <c r="L28" i="48"/>
  <c r="H68" i="18"/>
  <c r="I68" i="18"/>
  <c r="H17" i="18" s="1"/>
  <c r="F68" i="18"/>
  <c r="F67" i="18"/>
  <c r="H10" i="18"/>
  <c r="M78" i="14"/>
  <c r="B67"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29" i="20"/>
  <c r="C56" i="22"/>
  <c r="C58" i="22" s="1"/>
  <c r="D49" i="14" s="1"/>
  <c r="D52" i="14" s="1"/>
  <c r="C10" i="13"/>
  <c r="C12" i="13" s="1"/>
  <c r="D41" i="14" s="1"/>
  <c r="D46" i="14" s="1"/>
  <c r="D61" i="14" s="1"/>
  <c r="D63" i="14" s="1"/>
  <c r="C22" i="59"/>
  <c r="C17" i="19"/>
  <c r="C19" i="19" s="1"/>
  <c r="D39" i="14" s="1"/>
  <c r="C20" i="16"/>
  <c r="C22" i="16" s="1"/>
  <c r="D43" i="14" s="1"/>
  <c r="C10" i="17"/>
  <c r="C12" i="17" s="1"/>
  <c r="D54" i="14" s="1"/>
  <c r="D56"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<sst xmlns="http://schemas.openxmlformats.org/spreadsheetml/2006/main" count="2603" uniqueCount="945">
  <si>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</si>
  <si>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</si>
  <si>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</si>
  <si>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</si>
  <si>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</si>
  <si>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</si>
  <si>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</si>
  <si>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</si>
  <si>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</si>
  <si>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</si>
  <si>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</si>
  <si>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</si>
  <si>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</si>
  <si>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</si>
  <si>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</si>
  <si>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</si>
  <si>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</si>
  <si>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</si>
  <si>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</si>
  <si>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</si>
  <si>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</si>
  <si>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</si>
  <si>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</si>
  <si>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</si>
  <si>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</si>
  <si>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</si>
  <si>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</si>
  <si>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</si>
  <si>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</si>
  <si>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</si>
  <si>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</si>
  <si>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</si>
  <si>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</si>
  <si>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</si>
  <si>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</si>
  <si>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</si>
  <si>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</si>
  <si>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</si>
  <si>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</si>
  <si>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</si>
  <si>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</si>
  <si>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</si>
  <si>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</si>
  <si>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</si>
  <si>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</si>
  <si>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</si>
  <si>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</si>
  <si>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</si>
  <si>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</si>
  <si>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</si>
  <si>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</si>
  <si>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</si>
  <si>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</si>
  <si>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</si>
  <si>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</si>
  <si>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</si>
  <si>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</si>
  <si>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</si>
  <si>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</si>
  <si>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</si>
  <si>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</si>
  <si>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</si>
  <si>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</si>
  <si>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</si>
  <si>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</si>
  <si>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</si>
  <si>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</si>
  <si>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</si>
  <si>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</si>
  <si>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</si>
  <si>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</si>
  <si>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</si>
  <si>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</si>
  <si>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</si>
  <si>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</si>
  <si>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</si>
  <si>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</si>
  <si>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</si>
  <si>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</si>
  <si>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</si>
  <si>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</si>
  <si>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</si>
  <si>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</si>
  <si>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</si>
  <si>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</si>
  <si>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</si>
  <si>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</si>
  <si>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</si>
  <si>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</si>
  <si>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</si>
  <si>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</si>
  <si>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</si>
  <si>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</si>
  <si>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</si>
  <si>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</si>
  <si>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</si>
  <si>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</si>
  <si>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</si>
  <si>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</si>
  <si>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</si>
  <si>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</si>
  <si>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</si>
  <si>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</si>
  <si>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</si>
  <si>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</si>
  <si>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</si>
  <si>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</si>
  <si>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</si>
  <si>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</si>
  <si>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</si>
  <si>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</si>
  <si>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</si>
  <si>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</si>
  <si>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</si>
  <si>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</si>
  <si>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</si>
  <si>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</si>
  <si>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</si>
  <si>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</si>
  <si>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</si>
  <si>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</si>
  <si>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</si>
  <si>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</si>
  <si>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</si>
  <si>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</si>
  <si>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</si>
  <si>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</si>
  <si>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</si>
  <si>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</si>
  <si>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</si>
  <si>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</si>
  <si>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</si>
  <si>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</si>
  <si>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</si>
  <si>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</si>
  <si>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</si>
  <si>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</si>
  <si>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</si>
  <si>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</si>
  <si>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</si>
  <si>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</si>
  <si>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</si>
  <si>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</si>
  <si>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</si>
  <si>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</si>
  <si>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</si>
  <si>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</si>
  <si>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</si>
  <si>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</si>
  <si>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</si>
  <si>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</si>
  <si>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</si>
  <si>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</si>
  <si>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</si>
  <si>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</si>
  <si>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</si>
  <si>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</si>
  <si>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</si>
  <si>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</si>
  <si>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</si>
  <si>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</si>
  <si>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</si>
  <si>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</si>
  <si>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</si>
  <si>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</si>
  <si>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</si>
  <si>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</si>
  <si>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</si>
  <si>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</si>
  <si>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</si>
  <si>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</si>
  <si>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</si>
  <si>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</si>
  <si>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</si>
  <si>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</si>
  <si>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</si>
  <si>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</si>
  <si>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</si>
  <si>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</si>
  <si>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</si>
  <si>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</si>
  <si>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</si>
  <si>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</si>
  <si>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</si>
  <si>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</si>
  <si>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</si>
  <si>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</si>
  <si>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</si>
  <si>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</si>
  <si>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</si>
  <si>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</si>
  <si>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</si>
  <si>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</si>
  <si>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</si>
  <si>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</si>
  <si>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</si>
  <si>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</si>
  <si>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</si>
  <si>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</si>
  <si>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</si>
  <si>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</si>
  <si>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</si>
  <si>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</si>
  <si>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</si>
  <si>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</si>
  <si>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</si>
  <si>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</si>
  <si>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</si>
  <si>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</si>
  <si>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</si>
  <si>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</si>
  <si>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</si>
  <si>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</si>
  <si>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</si>
  <si>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</si>
  <si>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</si>
  <si>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</si>
  <si>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</si>
  <si>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</si>
  <si>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</si>
  <si>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</si>
  <si>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</si>
  <si>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</si>
  <si>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</si>
  <si>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</si>
  <si>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</si>
  <si>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</si>
  <si>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</si>
  <si>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</si>
  <si>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</si>
  <si>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</si>
  <si>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</si>
  <si>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</si>
  <si>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</si>
  <si>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</si>
  <si>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</si>
  <si>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</si>
  <si>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</si>
  <si>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</si>
  <si>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</si>
  <si>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</si>
  <si>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</si>
  <si>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</si>
  <si>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</si>
  <si>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</si>
  <si>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</si>
  <si>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</si>
  <si>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</si>
  <si>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</si>
  <si>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</si>
  <si>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</si>
  <si>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</si>
  <si>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</si>
  <si>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</si>
  <si>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</si>
  <si>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</si>
  <si>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</si>
  <si>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</si>
  <si>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</si>
  <si>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</si>
  <si>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</si>
  <si>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</si>
  <si>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</si>
  <si>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</si>
  <si>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</si>
  <si>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</si>
  <si>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</si>
  <si>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</si>
  <si>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</si>
  <si>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</si>
  <si>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</si>
  <si>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</si>
  <si>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</si>
  <si>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</si>
  <si>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</si>
  <si>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</si>
  <si>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</si>
  <si>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</si>
  <si>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</si>
  <si>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</si>
  <si>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</si>
  <si>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</si>
  <si>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</si>
  <si>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</si>
  <si>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</si>
  <si>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</si>
  <si>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</si>
  <si>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</si>
  <si>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</si>
  <si>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</si>
  <si>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</si>
  <si>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</si>
  <si>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</si>
  <si>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</si>
  <si>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</si>
  <si>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</si>
  <si>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</si>
  <si>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</si>
  <si>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</si>
  <si>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</si>
  <si>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</si>
  <si>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</si>
  <si>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</si>
  <si>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</si>
  <si>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</si>
  <si>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</si>
  <si>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</si>
  <si>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</si>
  <si>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</si>
  <si>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</si>
  <si>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</si>
  <si>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</si>
  <si>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</si>
  <si>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</si>
  <si>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</si>
  <si>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</si>
  <si>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</si>
  <si>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</si>
  <si>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</si>
  <si>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</si>
  <si>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</si>
  <si>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</si>
  <si>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</si>
  <si>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</si>
  <si>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</si>
  <si>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</si>
  <si>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</si>
  <si>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</si>
  <si>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</si>
  <si>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</si>
  <si>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</si>
  <si>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</si>
  <si>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</si>
  <si>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</si>
  <si>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</si>
  <si>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</si>
  <si>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</si>
  <si>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</si>
  <si>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</si>
  <si>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</si>
  <si>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</si>
  <si>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</si>
  <si>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</si>
  <si>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</si>
  <si>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</si>
  <si>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</si>
  <si>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</si>
  <si>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</si>
  <si>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</si>
  <si>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</si>
  <si>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</si>
  <si>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</si>
  <si>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</si>
  <si>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</si>
  <si>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</si>
  <si>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</si>
  <si>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</si>
  <si>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</si>
  <si>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</si>
  <si>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</si>
  <si>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</si>
  <si>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</si>
  <si>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</si>
  <si>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</si>
  <si>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</si>
  <si>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</si>
  <si>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</si>
  <si>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</si>
  <si>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</si>
  <si>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</si>
  <si>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</si>
  <si>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</si>
  <si>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</si>
  <si>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</si>
  <si>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</si>
  <si>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</si>
  <si>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</si>
  <si>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</si>
  <si>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</si>
  <si>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</si>
  <si>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</si>
  <si>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</si>
  <si>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</si>
  <si>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</si>
  <si>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</si>
  <si>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</si>
  <si>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</si>
  <si>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</si>
  <si>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</si>
  <si>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</si>
  <si>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</si>
  <si>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</si>
  <si>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</si>
  <si>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</si>
  <si>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</si>
  <si>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</si>
  <si>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</si>
  <si>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</si>
  <si>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</si>
  <si>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</si>
  <si>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</si>
  <si>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</si>
  <si>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</si>
  <si>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</si>
  <si>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</si>
  <si>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</si>
  <si>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</si>
  <si>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</si>
  <si>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</si>
  <si>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</si>
  <si>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</si>
  <si>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</si>
  <si>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</si>
  <si>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</si>
  <si>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</si>
  <si>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</si>
  <si>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</si>
  <si>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</si>
  <si>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</si>
  <si>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</si>
  <si>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</si>
  <si>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</si>
  <si>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</si>
  <si>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</si>
  <si>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</si>
  <si>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</si>
  <si>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</si>
  <si>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</si>
  <si>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</si>
  <si>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</si>
  <si>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</si>
  <si>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</si>
  <si>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</si>
  <si>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</si>
  <si>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</si>
  <si>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</si>
  <si>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</si>
  <si>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</si>
  <si>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</si>
  <si>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</si>
  <si>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</si>
  <si>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</si>
  <si>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</si>
  <si>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</si>
  <si>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</si>
  <si>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</si>
  <si>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</si>
  <si>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</si>
  <si>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</si>
  <si>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</si>
  <si>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</si>
  <si>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</si>
  <si>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</si>
  <si>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</si>
  <si>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</si>
  <si>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</si>
  <si>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</si>
  <si>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</si>
  <si>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</si>
  <si>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</si>
  <si>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</si>
  <si>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</si>
  <si>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</si>
  <si>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</si>
  <si>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</si>
  <si>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</si>
  <si>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</si>
  <si>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</si>
  <si>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</si>
  <si>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</si>
  <si>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</si>
  <si>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</si>
  <si>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</si>
  <si>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</si>
  <si>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</si>
  <si>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</si>
  <si>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</si>
  <si>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</si>
  <si>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</si>
  <si>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</si>
  <si>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</si>
  <si>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</si>
  <si>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</si>
  <si>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</si>
  <si>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</si>
  <si>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</si>
  <si>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</si>
  <si>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</si>
  <si>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</si>
  <si>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</si>
  <si>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</si>
  <si>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</si>
  <si>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</si>
  <si>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</si>
  <si>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</si>
  <si>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</si>
  <si>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</si>
  <si>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</si>
  <si>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</si>
  <si>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</si>
  <si>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</si>
  <si>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</si>
  <si>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</si>
  <si>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</si>
  <si>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</si>
  <si>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</si>
  <si>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</si>
  <si>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</si>
  <si>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</si>
  <si>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</si>
  <si>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</si>
  <si>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</si>
  <si>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</si>
  <si>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</si>
  <si>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</si>
  <si>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</si>
  <si>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</si>
  <si>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</si>
  <si>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</si>
  <si>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</si>
  <si>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</si>
  <si>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</si>
  <si>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</si>
  <si>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</si>
  <si>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</si>
  <si>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</si>
  <si>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</si>
  <si>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</si>
  <si>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</si>
  <si>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</si>
  <si>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</si>
  <si>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</si>
  <si>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</si>
  <si>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</si>
  <si>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</si>
  <si>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</si>
  <si>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</si>
  <si>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</si>
  <si>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</si>
  <si>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</si>
  <si>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</si>
  <si>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</si>
  <si>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</si>
  <si>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</si>
  <si>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</si>
  <si>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</si>
  <si>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</si>
  <si>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</si>
  <si>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</si>
  <si>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</si>
  <si>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</si>
  <si>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</si>
  <si>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</si>
  <si>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</si>
  <si>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</si>
  <si>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</si>
  <si>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</si>
  <si>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</si>
  <si>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</si>
  <si>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</si>
  <si>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</si>
  <si>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</si>
  <si>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</si>
  <si>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</si>
  <si>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</si>
  <si>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</si>
  <si>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</si>
  <si>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</si>
  <si>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</si>
  <si>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</si>
  <si>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</si>
  <si>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</si>
  <si>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</si>
  <si>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</si>
  <si>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</si>
  <si>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</si>
  <si>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</si>
  <si>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</si>
  <si>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</si>
  <si>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</si>
  <si>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</si>
  <si>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</si>
  <si>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</si>
  <si>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</si>
  <si>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</si>
  <si>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</si>
  <si>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</si>
  <si>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</si>
  <si>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</si>
  <si>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</si>
  <si>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</si>
  <si>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</si>
  <si>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</si>
  <si>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</si>
  <si>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</si>
  <si>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</si>
  <si>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</si>
  <si>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</si>
  <si>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</si>
  <si>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</si>
  <si>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</si>
  <si>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</si>
  <si>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</si>
  <si>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</si>
  <si>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</si>
  <si>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</si>
  <si>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</si>
  <si>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</si>
  <si>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</si>
  <si>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</si>
  <si>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</si>
  <si>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</si>
  <si>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</si>
  <si>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</si>
  <si>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</si>
  <si>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</si>
  <si>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</si>
  <si>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</si>
  <si>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</si>
  <si>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</si>
  <si>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</si>
  <si>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</si>
  <si>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</si>
  <si>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</si>
  <si>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</si>
  <si>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</si>
  <si>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</si>
  <si>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</si>
  <si>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</si>
  <si>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</si>
  <si>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</si>
  <si>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</si>
  <si>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</si>
  <si>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</si>
  <si>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</si>
  <si>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</si>
  <si>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</si>
  <si>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</si>
  <si>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</si>
  <si>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</si>
  <si>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</si>
  <si>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</si>
  <si>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</si>
  <si>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</si>
  <si>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</si>
  <si>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</si>
  <si>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</si>
  <si>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</si>
  <si>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</si>
  <si>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</si>
  <si>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</si>
  <si>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</si>
  <si>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</si>
  <si>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</si>
  <si>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</si>
  <si>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</si>
  <si>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</si>
  <si>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</si>
  <si>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</si>
  <si>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</si>
  <si>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</si>
  <si>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</si>
  <si>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</si>
  <si>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</si>
  <si>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</si>
  <si>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</si>
  <si>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</si>
  <si>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</si>
  <si>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</si>
  <si>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</si>
  <si>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</si>
  <si>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</si>
  <si>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</si>
  <si>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</si>
  <si>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</si>
  <si>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</si>
  <si>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</si>
  <si>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</si>
  <si>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</si>
  <si>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</si>
  <si>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</si>
  <si>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</si>
  <si>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</si>
  <si>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</si>
  <si>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</si>
  <si>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</si>
  <si>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</si>
  <si>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</si>
  <si>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</si>
  <si>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</si>
  <si>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</si>
  <si>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</si>
  <si>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</si>
  <si>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</si>
  <si>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</si>
  <si>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</si>
  <si>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</si>
  <si>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</si>
  <si>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</si>
  <si>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</si>
  <si>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</si>
  <si>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</si>
  <si>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</si>
  <si>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</si>
  <si>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</si>
  <si>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</si>
  <si>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</si>
  <si>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</si>
  <si>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</si>
  <si>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</si>
  <si>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</si>
  <si>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</si>
  <si>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</si>
  <si>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</si>
  <si>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</si>
  <si>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</si>
  <si>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</si>
  <si>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</si>
  <si>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</si>
  <si>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</si>
  <si>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</si>
  <si>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</si>
  <si>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</si>
  <si>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</si>
  <si>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</si>
  <si>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</si>
  <si>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</si>
  <si>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</si>
  <si>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</si>
  <si>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</si>
  <si>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</si>
  <si>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</si>
  <si>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</si>
  <si>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</si>
  <si>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</si>
  <si>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</si>
  <si>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</si>
  <si>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</si>
  <si>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</si>
  <si>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</si>
  <si>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</si>
  <si>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</si>
  <si>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</si>
  <si>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</si>
  <si>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</si>
  <si>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</si>
  <si>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</si>
  <si>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</si>
  <si>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</si>
  <si>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</si>
  <si>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</si>
  <si>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</si>
  <si>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</si>
  <si>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</si>
  <si>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</si>
  <si>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</si>
  <si>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</si>
  <si>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</si>
  <si>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</si>
  <si>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</si>
  <si>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</si>
  <si>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</si>
  <si>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</si>
  <si>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</si>
  <si>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</si>
  <si>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</si>
  <si>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</si>
  <si>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</si>
  <si>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</si>
  <si>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</si>
  <si>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</si>
  <si>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</si>
  <si>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</si>
  <si>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</si>
  <si>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</si>
  <si>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</si>
  <si>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</si>
  <si>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</si>
  <si>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</si>
  <si>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</si>
  <si>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</si>
  <si>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</si>
  <si>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</si>
  <si>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</si>
  <si>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</si>
  <si>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</si>
  <si>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</si>
  <si>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</si>
  <si>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</si>
  <si>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</si>
  <si>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</si>
  <si>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</si>
  <si>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</si>
  <si>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</si>
  <si>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</si>
  <si>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</si>
  <si>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</si>
  <si>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</si>
  <si>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</si>
  <si>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</si>
  <si>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</si>
  <si>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</si>
  <si>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</si>
  <si>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</si>
  <si>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</si>
  <si>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</si>
  <si>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</si>
  <si>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</si>
  <si>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</si>
  <si>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</si>
  <si>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</si>
  <si>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</si>
  <si>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</si>
  <si>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</si>
  <si>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</si>
  <si>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</si>
  <si>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</si>
  <si>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</si>
  <si>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</si>
  <si>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</si>
  <si>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</si>
  <si>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</si>
  <si>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</si>
  <si>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</si>
  <si>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</si>
  <si>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</si>
  <si>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</si>
  <si>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</si>
  <si>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</si>
  <si>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</si>
  <si>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</si>
  <si>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</si>
  <si>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</si>
  <si>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</si>
  <si>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</si>
  <si>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</si>
  <si>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</si>
  <si>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</si>
  <si>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</si>
  <si>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</si>
  <si>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</si>
  <si>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</si>
  <si>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</si>
  <si>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</si>
  <si>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</si>
  <si>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</si>
  <si>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</si>
  <si>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</si>
  <si>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</si>
  <si>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</si>
  <si>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</si>
  <si>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</si>
  <si>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</si>
  <si>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</si>
  <si>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</si>
  <si>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</si>
  <si>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</si>
  <si>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</si>
  <si>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</si>
  <si>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</si>
  <si>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</si>
  <si>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</si>
  <si>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</si>
  <si>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</si>
  <si>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</si>
  <si>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</si>
  <si>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</si>
  <si>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</si>
  <si>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</si>
  <si>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</si>
  <si>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46003</t>
  </si>
  <si>
    <t>BEVEREN</t>
  </si>
  <si>
    <t>referentietaak LNE (2017); Jaarverslag De Lijn</t>
  </si>
  <si>
    <t>waterkracht</t>
  </si>
  <si>
    <t>Van De Ven</t>
  </si>
  <si>
    <t>Dweerse Kromstraat 53, 9120 Melsele</t>
  </si>
  <si>
    <t>WKK-0091 Van De Ven</t>
  </si>
  <si>
    <t>interne verbrandingsmotor</t>
  </si>
  <si>
    <t>WKK interne verbrandinsgmotor (gas)</t>
  </si>
  <si>
    <t>INTERGEM</t>
  </si>
  <si>
    <t>Pijl LV</t>
  </si>
  <si>
    <t>Priemstraat 30, 9120 Melsele</t>
  </si>
  <si>
    <t>WKK-0119 Pijl NV</t>
  </si>
  <si>
    <t>INTERGEM (via EANDIS)</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</si>
  <si>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</si>
  <si>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</si>
  <si>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</si>
  <si>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</si>
  <si>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</si>
  <si>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</si>
  <si>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</si>
  <si>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</si>
  <si>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</si>
  <si>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</si>
  <si>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</si>
  <si>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</si>
  <si>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</si>
  <si>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</si>
  <si>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</si>
  <si>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</si>
  <si>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</si>
  <si>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</si>
  <si>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</si>
  <si>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</si>
  <si>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</si>
  <si>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</si>
  <si>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</si>
  <si>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</si>
  <si>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</si>
  <si>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</si>
  <si>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</si>
  <si>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</si>
  <si>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</si>
  <si>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</si>
  <si>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</si>
  <si>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</si>
  <si>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</si>
  <si>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</si>
  <si>
    <t>Fertikal NV</t>
  </si>
  <si>
    <t>Molenweg Haven 1938 , 9130 Kallo (Kieldrecht)</t>
  </si>
  <si>
    <t>WKK-0428 Fertikal</t>
  </si>
  <si>
    <t>Gyproc</t>
  </si>
  <si>
    <t>WKK-0640 Gyproc</t>
  </si>
  <si>
    <t>Sint-Jansweg 9 / Haven 1602, 9130 Kallo, BE</t>
  </si>
  <si>
    <t>Op de Beeck II</t>
  </si>
  <si>
    <t>WKK-0684</t>
  </si>
  <si>
    <t>Interne verbrandingsmotor</t>
  </si>
  <si>
    <t>Molenweg z/n</t>
  </si>
  <si>
    <t>Boven Yvo</t>
  </si>
  <si>
    <t>WKK-0763</t>
  </si>
  <si>
    <t>Doornpark 59</t>
  </si>
  <si>
    <t>Op de Beeck B3</t>
  </si>
  <si>
    <t>Kallo</t>
  </si>
  <si>
    <t>WKK-0969</t>
  </si>
  <si>
    <t>Molenweg kaai 1936 z/n</t>
  </si>
  <si>
    <t>Ashland</t>
  </si>
  <si>
    <t>WKK-0712</t>
  </si>
  <si>
    <t>Geslecht 2</t>
  </si>
  <si>
    <t>Elia Transmission Belgium</t>
  </si>
  <si>
    <t>Vyt</t>
  </si>
  <si>
    <t>WKK-1038</t>
  </si>
  <si>
    <t>Gentstraat 47</t>
  </si>
  <si>
    <t>Fertikal II</t>
  </si>
  <si>
    <t>WKK-0903</t>
  </si>
  <si>
    <t>Molenweg Haven 1938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</si>
</sst>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391298.97326822457</c:v>
                </c:pt>
                <c:pt idx="1">
                  <c:v>323125.86306580401</c:v>
                </c:pt>
                <c:pt idx="2">
                  <c:v>2827.0077887356701</c:v>
                </c:pt>
                <c:pt idx="3">
                  <c:v>180242.42864632196</c:v>
                </c:pt>
                <c:pt idx="4">
                  <c:v>215531.30825194038</c:v>
                </c:pt>
                <c:pt idx="5">
                  <c:v>1062738.7163604714</c:v>
                </c:pt>
                <c:pt idx="6">
                  <c:v>3410.6563069720355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391298.97326822457</c:v>
                </c:pt>
                <c:pt idx="1">
                  <c:v>323125.86306580401</c:v>
                </c:pt>
                <c:pt idx="2">
                  <c:v>2827.0077887356701</c:v>
                </c:pt>
                <c:pt idx="3">
                  <c:v>180242.42864632196</c:v>
                </c:pt>
                <c:pt idx="4">
                  <c:v>215531.30825194038</c:v>
                </c:pt>
                <c:pt idx="5">
                  <c:v>1062738.7163604714</c:v>
                </c:pt>
                <c:pt idx="6">
                  <c:v>3410.6563069720355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64894.821681379384</c:v>
                </c:pt>
                <c:pt idx="1">
                  <c:v>39770.460845917311</c:v>
                </c:pt>
                <c:pt idx="2">
                  <c:v>163.23381970158491</c:v>
                </c:pt>
                <c:pt idx="3">
                  <c:v>32927.936755197814</c:v>
                </c:pt>
                <c:pt idx="4">
                  <c:v>22949.167502815853</c:v>
                </c:pt>
                <c:pt idx="5">
                  <c:v>264660.43863700674</c:v>
                </c:pt>
                <c:pt idx="6">
                  <c:v>851.31197102901717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64894.821681379384</c:v>
                </c:pt>
                <c:pt idx="1">
                  <c:v>39770.460845917311</c:v>
                </c:pt>
                <c:pt idx="2">
                  <c:v>163.23381970158491</c:v>
                </c:pt>
                <c:pt idx="3">
                  <c:v>32927.936755197814</c:v>
                </c:pt>
                <c:pt idx="4">
                  <c:v>22949.167502815853</c:v>
                </c:pt>
                <c:pt idx="5">
                  <c:v>264660.43863700674</c:v>
                </c:pt>
                <c:pt idx="6">
                  <c:v>851.31197102901717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46003</v>
      </c>
      <c r="B6" s="386"/>
      <c r="C6" s="387"/>
    </row>
    <row r="7" spans="1:7" s="384" customFormat="1" ht="15.75" customHeight="1">
      <c r="A7" s="388" t="str">
        <f>txtMunicipality</f>
        <v>BEVEREN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180081.02903158535</v>
      </c>
      <c r="D10" s="683">
        <f ca="1">tertiair!C16</f>
        <v>34563.471428571429</v>
      </c>
      <c r="E10" s="683">
        <f ca="1">tertiair!D16</f>
        <v>82688.041684208772</v>
      </c>
      <c r="F10" s="683">
        <f>tertiair!E16</f>
        <v>380.45099363986299</v>
      </c>
      <c r="G10" s="683">
        <f ca="1">tertiair!F16</f>
        <v>26199.159998975312</v>
      </c>
      <c r="H10" s="683">
        <f>tertiair!G16</f>
        <v>0</v>
      </c>
      <c r="I10" s="683">
        <f>tertiair!H16</f>
        <v>0</v>
      </c>
      <c r="J10" s="683">
        <f>tertiair!I16</f>
        <v>0</v>
      </c>
      <c r="K10" s="683">
        <f>tertiair!J16</f>
        <v>0.1551150195681617</v>
      </c>
      <c r="L10" s="683">
        <f>tertiair!K16</f>
        <v>0</v>
      </c>
      <c r="M10" s="683">
        <f ca="1">tertiair!L16</f>
        <v>0</v>
      </c>
      <c r="N10" s="683">
        <f>tertiair!M16</f>
        <v>0</v>
      </c>
      <c r="O10" s="683">
        <f ca="1">tertiair!N16</f>
        <v>0</v>
      </c>
      <c r="P10" s="683">
        <f>tertiair!O16</f>
        <v>44.075346892570387</v>
      </c>
      <c r="Q10" s="684">
        <f>tertiair!P16</f>
        <v>1996.487255646811</v>
      </c>
      <c r="R10" s="686">
        <f ca="1">SUM(C10:Q10)</f>
        <v>325952.87085453968</v>
      </c>
      <c r="S10" s="67"/>
    </row>
    <row r="11" spans="1:19" s="445" customFormat="1">
      <c r="A11" s="804" t="s">
        <v>220</v>
      </c>
      <c r="B11" s="809"/>
      <c r="C11" s="683">
        <f>huishoudens!B8</f>
        <v>90375.36968269723</v>
      </c>
      <c r="D11" s="683">
        <f>huishoudens!C8</f>
        <v>0</v>
      </c>
      <c r="E11" s="683">
        <f>huishoudens!D8</f>
        <v>190710.16197774746</v>
      </c>
      <c r="F11" s="683">
        <f>huishoudens!E8</f>
        <v>3456.2288580612435</v>
      </c>
      <c r="G11" s="683">
        <f>huishoudens!F8</f>
        <v>75714.241335367202</v>
      </c>
      <c r="H11" s="683">
        <f>huishoudens!G8</f>
        <v>0</v>
      </c>
      <c r="I11" s="683">
        <f>huishoudens!H8</f>
        <v>0</v>
      </c>
      <c r="J11" s="683">
        <f>huishoudens!I8</f>
        <v>0</v>
      </c>
      <c r="K11" s="683">
        <f>huishoudens!J8</f>
        <v>431.50374252138539</v>
      </c>
      <c r="L11" s="683">
        <f>huishoudens!K8</f>
        <v>0</v>
      </c>
      <c r="M11" s="683">
        <f>huishoudens!L8</f>
        <v>0</v>
      </c>
      <c r="N11" s="683">
        <f>huishoudens!M8</f>
        <v>0</v>
      </c>
      <c r="O11" s="683">
        <f>huishoudens!N8</f>
        <v>26070.590020417778</v>
      </c>
      <c r="P11" s="683">
        <f>huishoudens!O8</f>
        <v>1791.5142721064899</v>
      </c>
      <c r="Q11" s="684">
        <f>huishoudens!P8</f>
        <v>2749.3633793057911</v>
      </c>
      <c r="R11" s="686">
        <f>SUM(C11:Q11)</f>
        <v>391298.97326822457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131306.27956022616</v>
      </c>
      <c r="D13" s="683">
        <f>industrie!C18</f>
        <v>68959.285714285725</v>
      </c>
      <c r="E13" s="683">
        <f>industrie!D18</f>
        <v>0</v>
      </c>
      <c r="F13" s="683">
        <f>industrie!E18</f>
        <v>5522.439662998132</v>
      </c>
      <c r="G13" s="683">
        <f>industrie!F18</f>
        <v>9305.3702505553447</v>
      </c>
      <c r="H13" s="683">
        <f>industrie!G18</f>
        <v>0</v>
      </c>
      <c r="I13" s="683">
        <f>industrie!H18</f>
        <v>0</v>
      </c>
      <c r="J13" s="683">
        <f>industrie!I18</f>
        <v>0</v>
      </c>
      <c r="K13" s="683">
        <f>industrie!J18</f>
        <v>437.93306387503446</v>
      </c>
      <c r="L13" s="683">
        <f>industrie!K18</f>
        <v>0</v>
      </c>
      <c r="M13" s="683">
        <f>industrie!L18</f>
        <v>0</v>
      </c>
      <c r="N13" s="683">
        <f>industrie!M18</f>
        <v>0</v>
      </c>
      <c r="O13" s="683">
        <f>industrie!N18</f>
        <v>0</v>
      </c>
      <c r="P13" s="683">
        <f>industrie!O18</f>
        <v>0</v>
      </c>
      <c r="Q13" s="684">
        <f>industrie!P18</f>
        <v>0</v>
      </c>
      <c r="R13" s="686">
        <f>SUM(C13:Q13)</f>
        <v>215531.30825194038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401762.67827450868</v>
      </c>
      <c r="D16" s="719">
        <f t="shared" ref="D16:R16" ca="1" si="0">SUM(D9:D15)</f>
        <v>103522.75714285715</v>
      </c>
      <c r="E16" s="719">
        <f t="shared" ca="1" si="0"/>
        <v>273398.20366195624</v>
      </c>
      <c r="F16" s="719">
        <f t="shared" si="0"/>
        <v>9359.1195146992395</v>
      </c>
      <c r="G16" s="719">
        <f t="shared" ca="1" si="0"/>
        <v>111218.77158489786</v>
      </c>
      <c r="H16" s="719">
        <f t="shared" si="0"/>
        <v>0</v>
      </c>
      <c r="I16" s="719">
        <f t="shared" si="0"/>
        <v>0</v>
      </c>
      <c r="J16" s="719">
        <f t="shared" si="0"/>
        <v>0</v>
      </c>
      <c r="K16" s="719">
        <f t="shared" si="0"/>
        <v>869.59192141598805</v>
      </c>
      <c r="L16" s="719">
        <f t="shared" si="0"/>
        <v>0</v>
      </c>
      <c r="M16" s="719">
        <f t="shared" ca="1" si="0"/>
        <v>0</v>
      </c>
      <c r="N16" s="719">
        <f t="shared" si="0"/>
        <v>0</v>
      </c>
      <c r="O16" s="719">
        <f t="shared" ca="1" si="0"/>
        <v>26070.590020417778</v>
      </c>
      <c r="P16" s="719">
        <f t="shared" si="0"/>
        <v>1835.5896189990603</v>
      </c>
      <c r="Q16" s="719">
        <f t="shared" si="0"/>
        <v>4745.8506349526024</v>
      </c>
      <c r="R16" s="719">
        <f t="shared" ca="1" si="0"/>
        <v>932783.1523747046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50.755664417626789</v>
      </c>
      <c r="D19" s="683">
        <f>transport!C54</f>
        <v>0</v>
      </c>
      <c r="E19" s="683">
        <f>transport!D54</f>
        <v>0</v>
      </c>
      <c r="F19" s="683">
        <f>transport!E54</f>
        <v>0</v>
      </c>
      <c r="G19" s="683">
        <f>transport!F54</f>
        <v>0</v>
      </c>
      <c r="H19" s="683">
        <f>transport!G54</f>
        <v>3177.4580376637045</v>
      </c>
      <c r="I19" s="683">
        <f>transport!H54</f>
        <v>0</v>
      </c>
      <c r="J19" s="683">
        <f>transport!I54</f>
        <v>0</v>
      </c>
      <c r="K19" s="683">
        <f>transport!J54</f>
        <v>0</v>
      </c>
      <c r="L19" s="683">
        <f>transport!K54</f>
        <v>0</v>
      </c>
      <c r="M19" s="683">
        <f>transport!L54</f>
        <v>0</v>
      </c>
      <c r="N19" s="683">
        <f>transport!M54</f>
        <v>182.44260489070442</v>
      </c>
      <c r="O19" s="683">
        <f>transport!N54</f>
        <v>0</v>
      </c>
      <c r="P19" s="683">
        <f>transport!O54</f>
        <v>0</v>
      </c>
      <c r="Q19" s="684">
        <f>transport!P54</f>
        <v>0</v>
      </c>
      <c r="R19" s="686">
        <f>SUM(C19:Q19)</f>
        <v>3410.6563069720355</v>
      </c>
      <c r="S19" s="67"/>
    </row>
    <row r="20" spans="1:19" s="445" customFormat="1">
      <c r="A20" s="804" t="s">
        <v>302</v>
      </c>
      <c r="B20" s="809"/>
      <c r="C20" s="683">
        <f>transport!B14</f>
        <v>1741.1212913486074</v>
      </c>
      <c r="D20" s="683">
        <f>transport!C14</f>
        <v>0</v>
      </c>
      <c r="E20" s="683">
        <f>transport!D14</f>
        <v>2969.9239107415137</v>
      </c>
      <c r="F20" s="683">
        <f>transport!E14</f>
        <v>1251.2639897506167</v>
      </c>
      <c r="G20" s="683">
        <f>transport!F14</f>
        <v>0</v>
      </c>
      <c r="H20" s="683">
        <f>transport!G14</f>
        <v>849766.21547045535</v>
      </c>
      <c r="I20" s="683">
        <f>transport!H14</f>
        <v>147744.43267240378</v>
      </c>
      <c r="J20" s="683">
        <f>transport!I14</f>
        <v>0</v>
      </c>
      <c r="K20" s="683">
        <f>transport!J14</f>
        <v>0</v>
      </c>
      <c r="L20" s="683">
        <f>transport!K14</f>
        <v>0</v>
      </c>
      <c r="M20" s="683">
        <f>transport!L14</f>
        <v>0</v>
      </c>
      <c r="N20" s="683">
        <f>transport!M14</f>
        <v>59265.759025771535</v>
      </c>
      <c r="O20" s="683">
        <f>transport!N14</f>
        <v>0</v>
      </c>
      <c r="P20" s="683">
        <f>transport!O14</f>
        <v>0</v>
      </c>
      <c r="Q20" s="684">
        <f>transport!P14</f>
        <v>0</v>
      </c>
      <c r="R20" s="686">
        <f>SUM(C20:Q20)</f>
        <v>1062738.7163604714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1791.8769557662342</v>
      </c>
      <c r="D22" s="807">
        <f t="shared" ref="D22:R22" si="1">SUM(D18:D21)</f>
        <v>0</v>
      </c>
      <c r="E22" s="807">
        <f t="shared" si="1"/>
        <v>2969.9239107415137</v>
      </c>
      <c r="F22" s="807">
        <f t="shared" si="1"/>
        <v>1251.2639897506167</v>
      </c>
      <c r="G22" s="807">
        <f t="shared" si="1"/>
        <v>0</v>
      </c>
      <c r="H22" s="807">
        <f t="shared" si="1"/>
        <v>852943.67350811907</v>
      </c>
      <c r="I22" s="807">
        <f t="shared" si="1"/>
        <v>147744.43267240378</v>
      </c>
      <c r="J22" s="807">
        <f t="shared" si="1"/>
        <v>0</v>
      </c>
      <c r="K22" s="807">
        <f t="shared" si="1"/>
        <v>0</v>
      </c>
      <c r="L22" s="807">
        <f t="shared" si="1"/>
        <v>0</v>
      </c>
      <c r="M22" s="807">
        <f t="shared" si="1"/>
        <v>0</v>
      </c>
      <c r="N22" s="807">
        <f t="shared" si="1"/>
        <v>59448.201630662239</v>
      </c>
      <c r="O22" s="807">
        <f t="shared" si="1"/>
        <v>0</v>
      </c>
      <c r="P22" s="807">
        <f t="shared" si="1"/>
        <v>0</v>
      </c>
      <c r="Q22" s="807">
        <f t="shared" si="1"/>
        <v>0</v>
      </c>
      <c r="R22" s="807">
        <f t="shared" si="1"/>
        <v>1066149.3726674435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11328.503280860201</v>
      </c>
      <c r="D24" s="683">
        <f>+landbouw!C8</f>
        <v>129848.78571428571</v>
      </c>
      <c r="E24" s="683">
        <f>+landbouw!D8</f>
        <v>0</v>
      </c>
      <c r="F24" s="683">
        <f>+landbouw!E8</f>
        <v>324.46750530126536</v>
      </c>
      <c r="G24" s="683">
        <f>+landbouw!F8</f>
        <v>35860.189503652808</v>
      </c>
      <c r="H24" s="683">
        <f>+landbouw!G8</f>
        <v>0</v>
      </c>
      <c r="I24" s="683">
        <f>+landbouw!H8</f>
        <v>0</v>
      </c>
      <c r="J24" s="683">
        <f>+landbouw!I8</f>
        <v>0</v>
      </c>
      <c r="K24" s="683">
        <f>+landbouw!J8</f>
        <v>2880.4826422219853</v>
      </c>
      <c r="L24" s="683">
        <f>+landbouw!K8</f>
        <v>0</v>
      </c>
      <c r="M24" s="683">
        <f>+landbouw!L8</f>
        <v>0</v>
      </c>
      <c r="N24" s="683">
        <f>+landbouw!M8</f>
        <v>0</v>
      </c>
      <c r="O24" s="683">
        <f>+landbouw!N8</f>
        <v>0</v>
      </c>
      <c r="P24" s="683">
        <f>+landbouw!O8</f>
        <v>0</v>
      </c>
      <c r="Q24" s="684">
        <f>+landbouw!P8</f>
        <v>0</v>
      </c>
      <c r="R24" s="686">
        <f>SUM(C24:Q24)</f>
        <v>180242.42864632196</v>
      </c>
      <c r="S24" s="67"/>
    </row>
    <row r="25" spans="1:19" s="445" customFormat="1" ht="15" thickBot="1">
      <c r="A25" s="826" t="s">
        <v>696</v>
      </c>
      <c r="B25" s="939"/>
      <c r="C25" s="940">
        <f>IF(Onbekend_ele_kWh="---",0,Onbekend_ele_kWh)/1000+IF(REST_rest_ele_kWh="---",0,REST_rest_ele_kWh)/1000</f>
        <v>8115.9885083866102</v>
      </c>
      <c r="D25" s="940"/>
      <c r="E25" s="940">
        <f>IF(onbekend_gas_kWh="---",0,onbekend_gas_kWh)/1000+IF(REST_rest_gas_kWh="---",0,REST_rest_gas_kWh)/1000</f>
        <v>5594.7691350810201</v>
      </c>
      <c r="F25" s="940"/>
      <c r="G25" s="940"/>
      <c r="H25" s="940"/>
      <c r="I25" s="940"/>
      <c r="J25" s="940"/>
      <c r="K25" s="940"/>
      <c r="L25" s="940"/>
      <c r="M25" s="940"/>
      <c r="N25" s="940"/>
      <c r="O25" s="940"/>
      <c r="P25" s="940"/>
      <c r="Q25" s="941"/>
      <c r="R25" s="686">
        <f>SUM(C25:Q25)</f>
        <v>13710.75764346763</v>
      </c>
      <c r="S25" s="67"/>
    </row>
    <row r="26" spans="1:19" s="445" customFormat="1" ht="15.75" thickBot="1">
      <c r="A26" s="691" t="s">
        <v>697</v>
      </c>
      <c r="B26" s="812"/>
      <c r="C26" s="807">
        <f>SUM(C24:C25)</f>
        <v>19444.491789246811</v>
      </c>
      <c r="D26" s="807">
        <f t="shared" ref="D26:R26" si="2">SUM(D24:D25)</f>
        <v>129848.78571428571</v>
      </c>
      <c r="E26" s="807">
        <f t="shared" si="2"/>
        <v>5594.7691350810201</v>
      </c>
      <c r="F26" s="807">
        <f t="shared" si="2"/>
        <v>324.46750530126536</v>
      </c>
      <c r="G26" s="807">
        <f t="shared" si="2"/>
        <v>35860.189503652808</v>
      </c>
      <c r="H26" s="807">
        <f t="shared" si="2"/>
        <v>0</v>
      </c>
      <c r="I26" s="807">
        <f t="shared" si="2"/>
        <v>0</v>
      </c>
      <c r="J26" s="807">
        <f t="shared" si="2"/>
        <v>0</v>
      </c>
      <c r="K26" s="807">
        <f t="shared" si="2"/>
        <v>2880.4826422219853</v>
      </c>
      <c r="L26" s="807">
        <f t="shared" si="2"/>
        <v>0</v>
      </c>
      <c r="M26" s="807">
        <f t="shared" si="2"/>
        <v>0</v>
      </c>
      <c r="N26" s="807">
        <f t="shared" si="2"/>
        <v>0</v>
      </c>
      <c r="O26" s="807">
        <f t="shared" si="2"/>
        <v>0</v>
      </c>
      <c r="P26" s="807">
        <f t="shared" si="2"/>
        <v>0</v>
      </c>
      <c r="Q26" s="807">
        <f t="shared" si="2"/>
        <v>0</v>
      </c>
      <c r="R26" s="807">
        <f t="shared" si="2"/>
        <v>193953.18628978959</v>
      </c>
      <c r="S26" s="67"/>
    </row>
    <row r="27" spans="1:19" s="445" customFormat="1" ht="17.25" thickTop="1" thickBot="1">
      <c r="A27" s="692" t="s">
        <v>115</v>
      </c>
      <c r="B27" s="799"/>
      <c r="C27" s="693">
        <f ca="1">C22+C16+C26</f>
        <v>422999.04701952171</v>
      </c>
      <c r="D27" s="693">
        <f t="shared" ref="D27:R27" ca="1" si="3">D22+D16+D26</f>
        <v>233371.54285714286</v>
      </c>
      <c r="E27" s="693">
        <f t="shared" ca="1" si="3"/>
        <v>281962.8967077788</v>
      </c>
      <c r="F27" s="693">
        <f t="shared" si="3"/>
        <v>10934.851009751121</v>
      </c>
      <c r="G27" s="693">
        <f t="shared" ca="1" si="3"/>
        <v>147078.96108855066</v>
      </c>
      <c r="H27" s="693">
        <f t="shared" si="3"/>
        <v>852943.67350811907</v>
      </c>
      <c r="I27" s="693">
        <f t="shared" si="3"/>
        <v>147744.43267240378</v>
      </c>
      <c r="J27" s="693">
        <f t="shared" si="3"/>
        <v>0</v>
      </c>
      <c r="K27" s="693">
        <f t="shared" si="3"/>
        <v>3750.0745636379734</v>
      </c>
      <c r="L27" s="693">
        <f t="shared" si="3"/>
        <v>0</v>
      </c>
      <c r="M27" s="693">
        <f t="shared" ca="1" si="3"/>
        <v>0</v>
      </c>
      <c r="N27" s="693">
        <f t="shared" si="3"/>
        <v>59448.201630662239</v>
      </c>
      <c r="O27" s="693">
        <f t="shared" ca="1" si="3"/>
        <v>26070.590020417778</v>
      </c>
      <c r="P27" s="693">
        <f t="shared" si="3"/>
        <v>1835.5896189990603</v>
      </c>
      <c r="Q27" s="693">
        <f t="shared" si="3"/>
        <v>4745.8506349526024</v>
      </c>
      <c r="R27" s="693">
        <f t="shared" ca="1" si="3"/>
        <v>2192885.7113319375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10398.03085854398</v>
      </c>
      <c r="D40" s="683">
        <f ca="1">tertiair!C20</f>
        <v>5751.0863808651529</v>
      </c>
      <c r="E40" s="683">
        <f ca="1">tertiair!D20</f>
        <v>16702.984420210174</v>
      </c>
      <c r="F40" s="683">
        <f>tertiair!E20</f>
        <v>86.362375556248907</v>
      </c>
      <c r="G40" s="683">
        <f ca="1">tertiair!F20</f>
        <v>6995.1757197264087</v>
      </c>
      <c r="H40" s="683">
        <f>tertiair!G20</f>
        <v>0</v>
      </c>
      <c r="I40" s="683">
        <f>tertiair!H20</f>
        <v>0</v>
      </c>
      <c r="J40" s="683">
        <f>tertiair!I20</f>
        <v>0</v>
      </c>
      <c r="K40" s="683">
        <f>tertiair!J20</f>
        <v>5.491071692712924E-2</v>
      </c>
      <c r="L40" s="683">
        <f>tertiair!K20</f>
        <v>0</v>
      </c>
      <c r="M40" s="683">
        <f ca="1">tertiair!L20</f>
        <v>0</v>
      </c>
      <c r="N40" s="683">
        <f>tertiair!M20</f>
        <v>0</v>
      </c>
      <c r="O40" s="683">
        <f ca="1">tertiair!N20</f>
        <v>0</v>
      </c>
      <c r="P40" s="683">
        <f>tertiair!O20</f>
        <v>0</v>
      </c>
      <c r="Q40" s="766">
        <f>tertiair!P20</f>
        <v>0</v>
      </c>
      <c r="R40" s="845">
        <f t="shared" ca="1" si="4"/>
        <v>39933.694665618896</v>
      </c>
    </row>
    <row r="41" spans="1:18">
      <c r="A41" s="817" t="s">
        <v>220</v>
      </c>
      <c r="B41" s="824"/>
      <c r="C41" s="683">
        <f ca="1">huishoudens!B12</f>
        <v>5218.3502496988867</v>
      </c>
      <c r="D41" s="683">
        <f ca="1">huishoudens!C12</f>
        <v>0</v>
      </c>
      <c r="E41" s="683">
        <f>huishoudens!D12</f>
        <v>38523.452719504989</v>
      </c>
      <c r="F41" s="683">
        <f>huishoudens!E12</f>
        <v>784.56395077990226</v>
      </c>
      <c r="G41" s="683">
        <f>huishoudens!F12</f>
        <v>20215.702436543044</v>
      </c>
      <c r="H41" s="683">
        <f>huishoudens!G12</f>
        <v>0</v>
      </c>
      <c r="I41" s="683">
        <f>huishoudens!H12</f>
        <v>0</v>
      </c>
      <c r="J41" s="683">
        <f>huishoudens!I12</f>
        <v>0</v>
      </c>
      <c r="K41" s="683">
        <f>huishoudens!J12</f>
        <v>152.75232485257041</v>
      </c>
      <c r="L41" s="683">
        <f>huishoudens!K12</f>
        <v>0</v>
      </c>
      <c r="M41" s="683">
        <f>huishoudens!L12</f>
        <v>0</v>
      </c>
      <c r="N41" s="683">
        <f>huishoudens!M12</f>
        <v>0</v>
      </c>
      <c r="O41" s="683">
        <f>huishoudens!N12</f>
        <v>0</v>
      </c>
      <c r="P41" s="683">
        <f>huishoudens!O12</f>
        <v>0</v>
      </c>
      <c r="Q41" s="766">
        <f>huishoudens!P12</f>
        <v>0</v>
      </c>
      <c r="R41" s="845">
        <f t="shared" ca="1" si="4"/>
        <v>64894.821681379384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7581.7355894182638</v>
      </c>
      <c r="D43" s="683">
        <f ca="1">industrie!C22</f>
        <v>11474.275948386976</v>
      </c>
      <c r="E43" s="683">
        <f>industrie!D22</f>
        <v>0</v>
      </c>
      <c r="F43" s="683">
        <f>industrie!E22</f>
        <v>1253.5938035005761</v>
      </c>
      <c r="G43" s="683">
        <f>industrie!F22</f>
        <v>2484.533856898277</v>
      </c>
      <c r="H43" s="683">
        <f>industrie!G22</f>
        <v>0</v>
      </c>
      <c r="I43" s="683">
        <f>industrie!H22</f>
        <v>0</v>
      </c>
      <c r="J43" s="683">
        <f>industrie!I22</f>
        <v>0</v>
      </c>
      <c r="K43" s="683">
        <f>industrie!J22</f>
        <v>155.0283046117622</v>
      </c>
      <c r="L43" s="683">
        <f>industrie!K22</f>
        <v>0</v>
      </c>
      <c r="M43" s="683">
        <f>industrie!L22</f>
        <v>0</v>
      </c>
      <c r="N43" s="683">
        <f>industrie!M22</f>
        <v>0</v>
      </c>
      <c r="O43" s="683">
        <f>industrie!N22</f>
        <v>0</v>
      </c>
      <c r="P43" s="683">
        <f>industrie!O22</f>
        <v>0</v>
      </c>
      <c r="Q43" s="766">
        <f>industrie!P22</f>
        <v>0</v>
      </c>
      <c r="R43" s="844">
        <f t="shared" ca="1" si="4"/>
        <v>22949.167502815853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23198.116697661128</v>
      </c>
      <c r="D46" s="719">
        <f t="shared" ref="D46:Q46" ca="1" si="5">SUM(D39:D45)</f>
        <v>17225.36232925213</v>
      </c>
      <c r="E46" s="719">
        <f t="shared" ca="1" si="5"/>
        <v>55226.437139715163</v>
      </c>
      <c r="F46" s="719">
        <f t="shared" si="5"/>
        <v>2124.5201298367274</v>
      </c>
      <c r="G46" s="719">
        <f t="shared" ca="1" si="5"/>
        <v>29695.41201316773</v>
      </c>
      <c r="H46" s="719">
        <f t="shared" si="5"/>
        <v>0</v>
      </c>
      <c r="I46" s="719">
        <f t="shared" si="5"/>
        <v>0</v>
      </c>
      <c r="J46" s="719">
        <f t="shared" si="5"/>
        <v>0</v>
      </c>
      <c r="K46" s="719">
        <f t="shared" si="5"/>
        <v>307.83554018125972</v>
      </c>
      <c r="L46" s="719">
        <f t="shared" si="5"/>
        <v>0</v>
      </c>
      <c r="M46" s="719">
        <f t="shared" ca="1" si="5"/>
        <v>0</v>
      </c>
      <c r="N46" s="719">
        <f t="shared" si="5"/>
        <v>0</v>
      </c>
      <c r="O46" s="719">
        <f t="shared" ca="1" si="5"/>
        <v>0</v>
      </c>
      <c r="P46" s="719">
        <f t="shared" si="5"/>
        <v>0</v>
      </c>
      <c r="Q46" s="719">
        <f t="shared" si="5"/>
        <v>0</v>
      </c>
      <c r="R46" s="719">
        <f ca="1">SUM(R39:R45)</f>
        <v>127777.68384981413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2.9306749728080441</v>
      </c>
      <c r="D49" s="683">
        <f ca="1">transport!C58</f>
        <v>0</v>
      </c>
      <c r="E49" s="683">
        <f>transport!D58</f>
        <v>0</v>
      </c>
      <c r="F49" s="683">
        <f>transport!E58</f>
        <v>0</v>
      </c>
      <c r="G49" s="683">
        <f>transport!F58</f>
        <v>0</v>
      </c>
      <c r="H49" s="683">
        <f>transport!G58</f>
        <v>848.38129605620918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851.31197102901717</v>
      </c>
    </row>
    <row r="50" spans="1:18">
      <c r="A50" s="820" t="s">
        <v>302</v>
      </c>
      <c r="B50" s="830"/>
      <c r="C50" s="689">
        <f ca="1">transport!B18</f>
        <v>100.53381532340849</v>
      </c>
      <c r="D50" s="689">
        <f>transport!C18</f>
        <v>0</v>
      </c>
      <c r="E50" s="689">
        <f>transport!D18</f>
        <v>599.92462996978577</v>
      </c>
      <c r="F50" s="689">
        <f>transport!E18</f>
        <v>284.03692567338999</v>
      </c>
      <c r="G50" s="689">
        <f>transport!F18</f>
        <v>0</v>
      </c>
      <c r="H50" s="689">
        <f>transport!G18</f>
        <v>226887.57953061161</v>
      </c>
      <c r="I50" s="689">
        <f>transport!H18</f>
        <v>36788.363735428538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264660.43863700674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103.46449029621654</v>
      </c>
      <c r="D52" s="719">
        <f t="shared" ref="D52:Q52" ca="1" si="6">SUM(D48:D51)</f>
        <v>0</v>
      </c>
      <c r="E52" s="719">
        <f t="shared" si="6"/>
        <v>599.92462996978577</v>
      </c>
      <c r="F52" s="719">
        <f t="shared" si="6"/>
        <v>284.03692567338999</v>
      </c>
      <c r="G52" s="719">
        <f t="shared" si="6"/>
        <v>0</v>
      </c>
      <c r="H52" s="719">
        <f t="shared" si="6"/>
        <v>227735.96082666781</v>
      </c>
      <c r="I52" s="719">
        <f t="shared" si="6"/>
        <v>36788.363735428538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265511.75060803577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654.11735666415234</v>
      </c>
      <c r="D54" s="689">
        <f ca="1">+landbouw!C12</f>
        <v>21605.803822008387</v>
      </c>
      <c r="E54" s="689">
        <f>+landbouw!D12</f>
        <v>0</v>
      </c>
      <c r="F54" s="689">
        <f>+landbouw!E12</f>
        <v>73.654123703387242</v>
      </c>
      <c r="G54" s="689">
        <f>+landbouw!F12</f>
        <v>9574.6705974753004</v>
      </c>
      <c r="H54" s="689">
        <f>+landbouw!G12</f>
        <v>0</v>
      </c>
      <c r="I54" s="689">
        <f>+landbouw!H12</f>
        <v>0</v>
      </c>
      <c r="J54" s="689">
        <f>+landbouw!I12</f>
        <v>0</v>
      </c>
      <c r="K54" s="689">
        <f>+landbouw!J12</f>
        <v>1019.6908553465828</v>
      </c>
      <c r="L54" s="689">
        <f>+landbouw!K12</f>
        <v>0</v>
      </c>
      <c r="M54" s="689">
        <f>+landbouw!L12</f>
        <v>0</v>
      </c>
      <c r="N54" s="689">
        <f>+landbouw!M12</f>
        <v>0</v>
      </c>
      <c r="O54" s="689">
        <f>+landbouw!N12</f>
        <v>0</v>
      </c>
      <c r="P54" s="689">
        <f>+landbouw!O12</f>
        <v>0</v>
      </c>
      <c r="Q54" s="690">
        <f>+landbouw!P12</f>
        <v>0</v>
      </c>
      <c r="R54" s="718">
        <f ca="1">SUM(C54:Q54)</f>
        <v>32927.936755197814</v>
      </c>
    </row>
    <row r="55" spans="1:18" ht="15" thickBot="1">
      <c r="A55" s="820" t="s">
        <v>696</v>
      </c>
      <c r="B55" s="830"/>
      <c r="C55" s="689">
        <f ca="1">C25*'EF ele_warmte'!B12</f>
        <v>468.62403781017179</v>
      </c>
      <c r="D55" s="689"/>
      <c r="E55" s="689">
        <f>E25*EF_CO2_aardgas</f>
        <v>1130.1433652863661</v>
      </c>
      <c r="F55" s="689"/>
      <c r="G55" s="689"/>
      <c r="H55" s="689"/>
      <c r="I55" s="689"/>
      <c r="J55" s="689"/>
      <c r="K55" s="689"/>
      <c r="L55" s="689"/>
      <c r="M55" s="689"/>
      <c r="N55" s="689"/>
      <c r="O55" s="689"/>
      <c r="P55" s="689"/>
      <c r="Q55" s="690"/>
      <c r="R55" s="718">
        <f ca="1">SUM(C55:Q55)</f>
        <v>1598.7674030965379</v>
      </c>
    </row>
    <row r="56" spans="1:18" ht="15.75" thickBot="1">
      <c r="A56" s="818" t="s">
        <v>697</v>
      </c>
      <c r="B56" s="831"/>
      <c r="C56" s="719">
        <f ca="1">SUM(C54:C55)</f>
        <v>1122.7413944743241</v>
      </c>
      <c r="D56" s="719">
        <f t="shared" ref="D56:Q56" ca="1" si="7">SUM(D54:D55)</f>
        <v>21605.803822008387</v>
      </c>
      <c r="E56" s="719">
        <f t="shared" si="7"/>
        <v>1130.1433652863661</v>
      </c>
      <c r="F56" s="719">
        <f t="shared" si="7"/>
        <v>73.654123703387242</v>
      </c>
      <c r="G56" s="719">
        <f t="shared" si="7"/>
        <v>9574.6705974753004</v>
      </c>
      <c r="H56" s="719">
        <f t="shared" si="7"/>
        <v>0</v>
      </c>
      <c r="I56" s="719">
        <f t="shared" si="7"/>
        <v>0</v>
      </c>
      <c r="J56" s="719">
        <f t="shared" si="7"/>
        <v>0</v>
      </c>
      <c r="K56" s="719">
        <f t="shared" si="7"/>
        <v>1019.6908553465828</v>
      </c>
      <c r="L56" s="719">
        <f t="shared" si="7"/>
        <v>0</v>
      </c>
      <c r="M56" s="719">
        <f t="shared" si="7"/>
        <v>0</v>
      </c>
      <c r="N56" s="719">
        <f t="shared" si="7"/>
        <v>0</v>
      </c>
      <c r="O56" s="719">
        <f t="shared" si="7"/>
        <v>0</v>
      </c>
      <c r="P56" s="719">
        <f t="shared" si="7"/>
        <v>0</v>
      </c>
      <c r="Q56" s="720">
        <f t="shared" si="7"/>
        <v>0</v>
      </c>
      <c r="R56" s="721">
        <f ca="1">SUM(R54:R55)</f>
        <v>34526.704158294349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24424.322582431669</v>
      </c>
      <c r="D61" s="727">
        <f t="shared" ref="D61:Q61" ca="1" si="8">D46+D52+D56</f>
        <v>38831.166151260521</v>
      </c>
      <c r="E61" s="727">
        <f t="shared" ca="1" si="8"/>
        <v>56956.50513497131</v>
      </c>
      <c r="F61" s="727">
        <f t="shared" si="8"/>
        <v>2482.2111792135047</v>
      </c>
      <c r="G61" s="727">
        <f t="shared" ca="1" si="8"/>
        <v>39270.082610643032</v>
      </c>
      <c r="H61" s="727">
        <f t="shared" si="8"/>
        <v>227735.96082666781</v>
      </c>
      <c r="I61" s="727">
        <f t="shared" si="8"/>
        <v>36788.363735428538</v>
      </c>
      <c r="J61" s="727">
        <f t="shared" si="8"/>
        <v>0</v>
      </c>
      <c r="K61" s="727">
        <f t="shared" si="8"/>
        <v>1327.5263955278424</v>
      </c>
      <c r="L61" s="727">
        <f t="shared" si="8"/>
        <v>0</v>
      </c>
      <c r="M61" s="727">
        <f t="shared" ca="1" si="8"/>
        <v>0</v>
      </c>
      <c r="N61" s="727">
        <f t="shared" si="8"/>
        <v>0</v>
      </c>
      <c r="O61" s="727">
        <f t="shared" ca="1" si="8"/>
        <v>0</v>
      </c>
      <c r="P61" s="727">
        <f t="shared" si="8"/>
        <v>0</v>
      </c>
      <c r="Q61" s="727">
        <f t="shared" si="8"/>
        <v>0</v>
      </c>
      <c r="R61" s="727">
        <f ca="1">R46+R52+R56</f>
        <v>427816.13861614425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5.7740845409763937E-2</v>
      </c>
      <c r="D63" s="773">
        <f t="shared" ca="1" si="9"/>
        <v>0.16639203596057472</v>
      </c>
      <c r="E63" s="965">
        <f t="shared" ca="1" si="9"/>
        <v>0.20199999999999999</v>
      </c>
      <c r="F63" s="773">
        <f t="shared" si="9"/>
        <v>0.22700000000000004</v>
      </c>
      <c r="G63" s="773">
        <f t="shared" ca="1" si="9"/>
        <v>0.26700000000000007</v>
      </c>
      <c r="H63" s="773">
        <f t="shared" si="9"/>
        <v>0.26700000000000002</v>
      </c>
      <c r="I63" s="773">
        <f t="shared" si="9"/>
        <v>0.24899999999999997</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254800.9321326249</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52594.414342061376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48981.149999999994</v>
      </c>
      <c r="C76" s="740">
        <f>'lokale energieproductie'!B8*IFERROR(SUM(D76:H76)/SUM(D76:O76),0)</f>
        <v>114378.93</v>
      </c>
      <c r="D76" s="948">
        <f>'lokale energieproductie'!C8</f>
        <v>134563.44705882351</v>
      </c>
      <c r="E76" s="949">
        <f>'lokale energieproductie'!D8</f>
        <v>0</v>
      </c>
      <c r="F76" s="949">
        <f>'lokale energieproductie'!E8</f>
        <v>0</v>
      </c>
      <c r="G76" s="949">
        <f>'lokale energieproductie'!F8</f>
        <v>0</v>
      </c>
      <c r="H76" s="949">
        <f>'lokale energieproductie'!G8</f>
        <v>0</v>
      </c>
      <c r="I76" s="949">
        <f>'lokale energieproductie'!I8</f>
        <v>0</v>
      </c>
      <c r="J76" s="949">
        <f>'lokale energieproductie'!J8</f>
        <v>57624.882352941167</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27181.816305882352</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356376.49647468631</v>
      </c>
      <c r="C78" s="745">
        <f>SUM(C72:C77)</f>
        <v>114378.93</v>
      </c>
      <c r="D78" s="746">
        <f t="shared" ref="D78:H78" si="10">SUM(D76:D77)</f>
        <v>134563.44705882351</v>
      </c>
      <c r="E78" s="746">
        <f t="shared" si="10"/>
        <v>0</v>
      </c>
      <c r="F78" s="746">
        <f t="shared" si="10"/>
        <v>0</v>
      </c>
      <c r="G78" s="746">
        <f t="shared" si="10"/>
        <v>0</v>
      </c>
      <c r="H78" s="746">
        <f t="shared" si="10"/>
        <v>0</v>
      </c>
      <c r="I78" s="746">
        <f>SUM(I76:I77)</f>
        <v>0</v>
      </c>
      <c r="J78" s="746">
        <f>SUM(J76:J77)</f>
        <v>57624.882352941167</v>
      </c>
      <c r="K78" s="746">
        <f t="shared" ref="K78:L78" si="11">SUM(K76:K77)</f>
        <v>0</v>
      </c>
      <c r="L78" s="746">
        <f t="shared" si="11"/>
        <v>0</v>
      </c>
      <c r="M78" s="746">
        <f>SUM(M76:M77)</f>
        <v>0</v>
      </c>
      <c r="N78" s="746">
        <f>SUM(N76:N77)</f>
        <v>0</v>
      </c>
      <c r="O78" s="855">
        <f>SUM(O76:O77)</f>
        <v>0</v>
      </c>
      <c r="P78" s="747">
        <v>0</v>
      </c>
      <c r="Q78" s="747">
        <f>SUM(Q76:Q77)</f>
        <v>27181.816305882352</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69973.071428571435</v>
      </c>
      <c r="C87" s="758">
        <f>'lokale energieproductie'!B17*IFERROR(SUM(D87:H87)/SUM(D87:O87),0)</f>
        <v>163398.47142857144</v>
      </c>
      <c r="D87" s="769">
        <f>'lokale energieproductie'!C17</f>
        <v>192233.49579831935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82321.260504201695</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38831.166151260513</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69973.071428571435</v>
      </c>
      <c r="C90" s="745">
        <f>SUM(C87:C89)</f>
        <v>163398.47142857144</v>
      </c>
      <c r="D90" s="745">
        <f t="shared" ref="D90:H90" si="12">SUM(D87:D89)</f>
        <v>192233.49579831935</v>
      </c>
      <c r="E90" s="745">
        <f t="shared" si="12"/>
        <v>0</v>
      </c>
      <c r="F90" s="745">
        <f t="shared" si="12"/>
        <v>0</v>
      </c>
      <c r="G90" s="745">
        <f t="shared" si="12"/>
        <v>0</v>
      </c>
      <c r="H90" s="745">
        <f t="shared" si="12"/>
        <v>0</v>
      </c>
      <c r="I90" s="745">
        <f>SUM(I87:I89)</f>
        <v>0</v>
      </c>
      <c r="J90" s="745">
        <f>SUM(J87:J89)</f>
        <v>82321.260504201695</v>
      </c>
      <c r="K90" s="745">
        <f t="shared" ref="K90:L90" si="13">SUM(K87:K89)</f>
        <v>0</v>
      </c>
      <c r="L90" s="745">
        <f t="shared" si="13"/>
        <v>0</v>
      </c>
      <c r="M90" s="745">
        <f>SUM(M87:M89)</f>
        <v>0</v>
      </c>
      <c r="N90" s="745">
        <f>SUM(N87:N89)</f>
        <v>0</v>
      </c>
      <c r="O90" s="745">
        <f>SUM(O87:O89)</f>
        <v>0</v>
      </c>
      <c r="P90" s="745">
        <v>0</v>
      </c>
      <c r="Q90" s="745">
        <f>SUM(Q87:Q89)</f>
        <v>38831.166151260513</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90375.36968269723</v>
      </c>
      <c r="C4" s="449">
        <f>huishoudens!C8</f>
        <v>0</v>
      </c>
      <c r="D4" s="449">
        <f>huishoudens!D8</f>
        <v>190710.16197774746</v>
      </c>
      <c r="E4" s="449">
        <f>huishoudens!E8</f>
        <v>3456.2288580612435</v>
      </c>
      <c r="F4" s="449">
        <f>huishoudens!F8</f>
        <v>75714.241335367202</v>
      </c>
      <c r="G4" s="449">
        <f>huishoudens!G8</f>
        <v>0</v>
      </c>
      <c r="H4" s="449">
        <f>huishoudens!H8</f>
        <v>0</v>
      </c>
      <c r="I4" s="449">
        <f>huishoudens!I8</f>
        <v>0</v>
      </c>
      <c r="J4" s="449">
        <f>huishoudens!J8</f>
        <v>431.50374252138539</v>
      </c>
      <c r="K4" s="449">
        <f>huishoudens!K8</f>
        <v>0</v>
      </c>
      <c r="L4" s="449">
        <f>huishoudens!L8</f>
        <v>0</v>
      </c>
      <c r="M4" s="449">
        <f>huishoudens!M8</f>
        <v>0</v>
      </c>
      <c r="N4" s="449">
        <f>huishoudens!N8</f>
        <v>26070.590020417778</v>
      </c>
      <c r="O4" s="449">
        <f>huishoudens!O8</f>
        <v>1791.5142721064899</v>
      </c>
      <c r="P4" s="450">
        <f>huishoudens!P8</f>
        <v>2749.3633793057911</v>
      </c>
      <c r="Q4" s="451">
        <f>SUM(B4:P4)</f>
        <v>391298.97326822457</v>
      </c>
    </row>
    <row r="5" spans="1:17">
      <c r="A5" s="448" t="s">
        <v>155</v>
      </c>
      <c r="B5" s="449">
        <f ca="1">tertiair!B16</f>
        <v>177254.02124284967</v>
      </c>
      <c r="C5" s="449">
        <f ca="1">tertiair!C16</f>
        <v>34563.471428571429</v>
      </c>
      <c r="D5" s="449">
        <f ca="1">tertiair!D16</f>
        <v>82688.041684208772</v>
      </c>
      <c r="E5" s="449">
        <f>tertiair!E16</f>
        <v>380.45099363986299</v>
      </c>
      <c r="F5" s="449">
        <f ca="1">tertiair!F16</f>
        <v>26199.159998975312</v>
      </c>
      <c r="G5" s="449">
        <f>tertiair!G16</f>
        <v>0</v>
      </c>
      <c r="H5" s="449">
        <f>tertiair!H16</f>
        <v>0</v>
      </c>
      <c r="I5" s="449">
        <f>tertiair!I16</f>
        <v>0</v>
      </c>
      <c r="J5" s="449">
        <f>tertiair!J16</f>
        <v>0.1551150195681617</v>
      </c>
      <c r="K5" s="449">
        <f>tertiair!K16</f>
        <v>0</v>
      </c>
      <c r="L5" s="449">
        <f ca="1">tertiair!L16</f>
        <v>0</v>
      </c>
      <c r="M5" s="449">
        <f>tertiair!M16</f>
        <v>0</v>
      </c>
      <c r="N5" s="449">
        <f ca="1">tertiair!N16</f>
        <v>0</v>
      </c>
      <c r="O5" s="449">
        <f>tertiair!O16</f>
        <v>44.075346892570387</v>
      </c>
      <c r="P5" s="450">
        <f>tertiair!P16</f>
        <v>1996.487255646811</v>
      </c>
      <c r="Q5" s="448">
        <f t="shared" ref="Q5:Q14" ca="1" si="0">SUM(B5:P5)</f>
        <v>323125.86306580401</v>
      </c>
    </row>
    <row r="6" spans="1:17">
      <c r="A6" s="448" t="s">
        <v>193</v>
      </c>
      <c r="B6" s="449">
        <f>'openbare verlichting'!B8</f>
        <v>2827.0077887356701</v>
      </c>
      <c r="C6" s="449"/>
      <c r="D6" s="449"/>
      <c r="E6" s="449"/>
      <c r="F6" s="449"/>
      <c r="G6" s="449"/>
      <c r="H6" s="449"/>
      <c r="I6" s="449"/>
      <c r="J6" s="449"/>
      <c r="K6" s="449"/>
      <c r="L6" s="449"/>
      <c r="M6" s="449"/>
      <c r="N6" s="449"/>
      <c r="O6" s="449"/>
      <c r="P6" s="450"/>
      <c r="Q6" s="448">
        <f t="shared" si="0"/>
        <v>2827.0077887356701</v>
      </c>
    </row>
    <row r="7" spans="1:17">
      <c r="A7" s="448" t="s">
        <v>111</v>
      </c>
      <c r="B7" s="449">
        <f>landbouw!B8</f>
        <v>11328.503280860201</v>
      </c>
      <c r="C7" s="449">
        <f>landbouw!C8</f>
        <v>129848.78571428571</v>
      </c>
      <c r="D7" s="449">
        <f>landbouw!D8</f>
        <v>0</v>
      </c>
      <c r="E7" s="449">
        <f>landbouw!E8</f>
        <v>324.46750530126536</v>
      </c>
      <c r="F7" s="449">
        <f>landbouw!F8</f>
        <v>35860.189503652808</v>
      </c>
      <c r="G7" s="449">
        <f>landbouw!G8</f>
        <v>0</v>
      </c>
      <c r="H7" s="449">
        <f>landbouw!H8</f>
        <v>0</v>
      </c>
      <c r="I7" s="449">
        <f>landbouw!I8</f>
        <v>0</v>
      </c>
      <c r="J7" s="449">
        <f>landbouw!J8</f>
        <v>2880.4826422219853</v>
      </c>
      <c r="K7" s="449">
        <f>landbouw!K8</f>
        <v>0</v>
      </c>
      <c r="L7" s="449">
        <f>landbouw!L8</f>
        <v>0</v>
      </c>
      <c r="M7" s="449">
        <f>landbouw!M8</f>
        <v>0</v>
      </c>
      <c r="N7" s="449">
        <f>landbouw!N8</f>
        <v>0</v>
      </c>
      <c r="O7" s="449">
        <f>landbouw!O8</f>
        <v>0</v>
      </c>
      <c r="P7" s="450">
        <f>landbouw!P8</f>
        <v>0</v>
      </c>
      <c r="Q7" s="448">
        <f t="shared" si="0"/>
        <v>180242.42864632196</v>
      </c>
    </row>
    <row r="8" spans="1:17">
      <c r="A8" s="448" t="s">
        <v>617</v>
      </c>
      <c r="B8" s="449">
        <f>industrie!B18</f>
        <v>131306.27956022616</v>
      </c>
      <c r="C8" s="449">
        <f>industrie!C18</f>
        <v>68959.285714285725</v>
      </c>
      <c r="D8" s="449">
        <f>industrie!D18</f>
        <v>0</v>
      </c>
      <c r="E8" s="449">
        <f>industrie!E18</f>
        <v>5522.439662998132</v>
      </c>
      <c r="F8" s="449">
        <f>industrie!F18</f>
        <v>9305.3702505553447</v>
      </c>
      <c r="G8" s="449">
        <f>industrie!G18</f>
        <v>0</v>
      </c>
      <c r="H8" s="449">
        <f>industrie!H18</f>
        <v>0</v>
      </c>
      <c r="I8" s="449">
        <f>industrie!I18</f>
        <v>0</v>
      </c>
      <c r="J8" s="449">
        <f>industrie!J18</f>
        <v>437.93306387503446</v>
      </c>
      <c r="K8" s="449">
        <f>industrie!K18</f>
        <v>0</v>
      </c>
      <c r="L8" s="449">
        <f>industrie!L18</f>
        <v>0</v>
      </c>
      <c r="M8" s="449">
        <f>industrie!M18</f>
        <v>0</v>
      </c>
      <c r="N8" s="449">
        <f>industrie!N18</f>
        <v>0</v>
      </c>
      <c r="O8" s="449">
        <f>industrie!O18</f>
        <v>0</v>
      </c>
      <c r="P8" s="450">
        <f>industrie!P18</f>
        <v>0</v>
      </c>
      <c r="Q8" s="448">
        <f t="shared" si="0"/>
        <v>215531.30825194038</v>
      </c>
    </row>
    <row r="9" spans="1:17" s="454" customFormat="1">
      <c r="A9" s="452" t="s">
        <v>543</v>
      </c>
      <c r="B9" s="453">
        <f>transport!B14</f>
        <v>1741.1212913486074</v>
      </c>
      <c r="C9" s="453">
        <f>transport!C14</f>
        <v>0</v>
      </c>
      <c r="D9" s="453">
        <f>transport!D14</f>
        <v>2969.9239107415137</v>
      </c>
      <c r="E9" s="453">
        <f>transport!E14</f>
        <v>1251.2639897506167</v>
      </c>
      <c r="F9" s="453">
        <f>transport!F14</f>
        <v>0</v>
      </c>
      <c r="G9" s="453">
        <f>transport!G14</f>
        <v>849766.21547045535</v>
      </c>
      <c r="H9" s="453">
        <f>transport!H14</f>
        <v>147744.43267240378</v>
      </c>
      <c r="I9" s="453">
        <f>transport!I14</f>
        <v>0</v>
      </c>
      <c r="J9" s="453">
        <f>transport!J14</f>
        <v>0</v>
      </c>
      <c r="K9" s="453">
        <f>transport!K14</f>
        <v>0</v>
      </c>
      <c r="L9" s="453">
        <f>transport!L14</f>
        <v>0</v>
      </c>
      <c r="M9" s="453">
        <f>transport!M14</f>
        <v>59265.759025771535</v>
      </c>
      <c r="N9" s="453">
        <f>transport!N14</f>
        <v>0</v>
      </c>
      <c r="O9" s="453">
        <f>transport!O14</f>
        <v>0</v>
      </c>
      <c r="P9" s="453">
        <f>transport!P14</f>
        <v>0</v>
      </c>
      <c r="Q9" s="452">
        <f>SUM(B9:P9)</f>
        <v>1062738.7163604714</v>
      </c>
    </row>
    <row r="10" spans="1:17">
      <c r="A10" s="448" t="s">
        <v>533</v>
      </c>
      <c r="B10" s="449">
        <f>transport!B54</f>
        <v>50.755664417626789</v>
      </c>
      <c r="C10" s="449">
        <f>transport!C54</f>
        <v>0</v>
      </c>
      <c r="D10" s="449">
        <f>transport!D54</f>
        <v>0</v>
      </c>
      <c r="E10" s="449">
        <f>transport!E54</f>
        <v>0</v>
      </c>
      <c r="F10" s="449">
        <f>transport!F54</f>
        <v>0</v>
      </c>
      <c r="G10" s="449">
        <f>transport!G54</f>
        <v>3177.4580376637045</v>
      </c>
      <c r="H10" s="449">
        <f>transport!H54</f>
        <v>0</v>
      </c>
      <c r="I10" s="449">
        <f>transport!I54</f>
        <v>0</v>
      </c>
      <c r="J10" s="449">
        <f>transport!J54</f>
        <v>0</v>
      </c>
      <c r="K10" s="449">
        <f>transport!K54</f>
        <v>0</v>
      </c>
      <c r="L10" s="449">
        <f>transport!L54</f>
        <v>0</v>
      </c>
      <c r="M10" s="449">
        <f>transport!M54</f>
        <v>182.44260489070442</v>
      </c>
      <c r="N10" s="449">
        <f>transport!N54</f>
        <v>0</v>
      </c>
      <c r="O10" s="449">
        <f>transport!O54</f>
        <v>0</v>
      </c>
      <c r="P10" s="450">
        <f>transport!P54</f>
        <v>0</v>
      </c>
      <c r="Q10" s="448">
        <f t="shared" si="0"/>
        <v>3410.6563069720355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8115.9885083866102</v>
      </c>
      <c r="C14" s="456"/>
      <c r="D14" s="456">
        <f>'SEAP template'!E25</f>
        <v>5594.7691350810201</v>
      </c>
      <c r="E14" s="456"/>
      <c r="F14" s="456"/>
      <c r="G14" s="456"/>
      <c r="H14" s="456"/>
      <c r="I14" s="456"/>
      <c r="J14" s="456"/>
      <c r="K14" s="456"/>
      <c r="L14" s="456"/>
      <c r="M14" s="456"/>
      <c r="N14" s="456"/>
      <c r="O14" s="456"/>
      <c r="P14" s="457"/>
      <c r="Q14" s="448">
        <f t="shared" si="0"/>
        <v>13710.75764346763</v>
      </c>
    </row>
    <row r="15" spans="1:17" s="460" customFormat="1">
      <c r="A15" s="458" t="s">
        <v>537</v>
      </c>
      <c r="B15" s="459">
        <f ca="1">SUM(B4:B14)</f>
        <v>422999.04701952176</v>
      </c>
      <c r="C15" s="459">
        <f t="shared" ref="C15:Q15" ca="1" si="1">SUM(C4:C14)</f>
        <v>233371.54285714286</v>
      </c>
      <c r="D15" s="459">
        <f t="shared" ca="1" si="1"/>
        <v>281962.8967077788</v>
      </c>
      <c r="E15" s="459">
        <f t="shared" si="1"/>
        <v>10934.851009751121</v>
      </c>
      <c r="F15" s="459">
        <f t="shared" ca="1" si="1"/>
        <v>147078.96108855066</v>
      </c>
      <c r="G15" s="459">
        <f t="shared" si="1"/>
        <v>852943.67350811907</v>
      </c>
      <c r="H15" s="459">
        <f t="shared" si="1"/>
        <v>147744.43267240378</v>
      </c>
      <c r="I15" s="459">
        <f t="shared" si="1"/>
        <v>0</v>
      </c>
      <c r="J15" s="459">
        <f t="shared" si="1"/>
        <v>3750.0745636379734</v>
      </c>
      <c r="K15" s="459">
        <f t="shared" si="1"/>
        <v>0</v>
      </c>
      <c r="L15" s="459">
        <f t="shared" ca="1" si="1"/>
        <v>0</v>
      </c>
      <c r="M15" s="459">
        <f t="shared" si="1"/>
        <v>59448.201630662239</v>
      </c>
      <c r="N15" s="459">
        <f t="shared" ca="1" si="1"/>
        <v>26070.590020417778</v>
      </c>
      <c r="O15" s="459">
        <f t="shared" si="1"/>
        <v>1835.5896189990603</v>
      </c>
      <c r="P15" s="459">
        <f t="shared" si="1"/>
        <v>4745.8506349526024</v>
      </c>
      <c r="Q15" s="459">
        <f t="shared" ca="1" si="1"/>
        <v>2192885.7113319379</v>
      </c>
    </row>
    <row r="17" spans="1:17">
      <c r="A17" s="461" t="s">
        <v>538</v>
      </c>
      <c r="B17" s="778">
        <f ca="1">huishoudens!B10</f>
        <v>5.774084540976393E-2</v>
      </c>
      <c r="C17" s="778">
        <f ca="1">huishoudens!C10</f>
        <v>0.1663920359605747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5218.3502496988867</v>
      </c>
      <c r="C22" s="449">
        <f t="shared" ref="C22:C32" ca="1" si="3">C4*$C$17</f>
        <v>0</v>
      </c>
      <c r="D22" s="449">
        <f t="shared" ref="D22:D32" si="4">D4*$D$17</f>
        <v>38523.452719504989</v>
      </c>
      <c r="E22" s="449">
        <f t="shared" ref="E22:E32" si="5">E4*$E$17</f>
        <v>784.56395077990226</v>
      </c>
      <c r="F22" s="449">
        <f t="shared" ref="F22:F32" si="6">F4*$F$17</f>
        <v>20215.702436543044</v>
      </c>
      <c r="G22" s="449">
        <f t="shared" ref="G22:G32" si="7">G4*$G$17</f>
        <v>0</v>
      </c>
      <c r="H22" s="449">
        <f t="shared" ref="H22:H32" si="8">H4*$H$17</f>
        <v>0</v>
      </c>
      <c r="I22" s="449">
        <f t="shared" ref="I22:I32" si="9">I4*$I$17</f>
        <v>0</v>
      </c>
      <c r="J22" s="449">
        <f t="shared" ref="J22:J32" si="10">J4*$J$17</f>
        <v>152.75232485257041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64894.821681379384</v>
      </c>
    </row>
    <row r="23" spans="1:17">
      <c r="A23" s="448" t="s">
        <v>155</v>
      </c>
      <c r="B23" s="449">
        <f t="shared" ca="1" si="2"/>
        <v>10234.797038842395</v>
      </c>
      <c r="C23" s="449">
        <f t="shared" ca="1" si="3"/>
        <v>5751.0863808651529</v>
      </c>
      <c r="D23" s="449">
        <f t="shared" ca="1" si="4"/>
        <v>16702.984420210174</v>
      </c>
      <c r="E23" s="449">
        <f t="shared" si="5"/>
        <v>86.362375556248907</v>
      </c>
      <c r="F23" s="449">
        <f t="shared" ca="1" si="6"/>
        <v>6995.1757197264087</v>
      </c>
      <c r="G23" s="449">
        <f t="shared" si="7"/>
        <v>0</v>
      </c>
      <c r="H23" s="449">
        <f t="shared" si="8"/>
        <v>0</v>
      </c>
      <c r="I23" s="449">
        <f t="shared" si="9"/>
        <v>0</v>
      </c>
      <c r="J23" s="449">
        <f t="shared" si="10"/>
        <v>5.491071692712924E-2</v>
      </c>
      <c r="K23" s="449">
        <f t="shared" si="11"/>
        <v>0</v>
      </c>
      <c r="L23" s="449">
        <f t="shared" ca="1" si="12"/>
        <v>0</v>
      </c>
      <c r="M23" s="449">
        <f t="shared" si="13"/>
        <v>0</v>
      </c>
      <c r="N23" s="449">
        <f t="shared" ca="1" si="14"/>
        <v>0</v>
      </c>
      <c r="O23" s="449">
        <f t="shared" si="15"/>
        <v>0</v>
      </c>
      <c r="P23" s="450">
        <f t="shared" si="16"/>
        <v>0</v>
      </c>
      <c r="Q23" s="448">
        <f t="shared" ref="Q23:Q31" ca="1" si="17">SUM(B23:P23)</f>
        <v>39770.460845917311</v>
      </c>
    </row>
    <row r="24" spans="1:17">
      <c r="A24" s="448" t="s">
        <v>193</v>
      </c>
      <c r="B24" s="449">
        <f t="shared" ca="1" si="2"/>
        <v>163.23381970158491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163.23381970158491</v>
      </c>
    </row>
    <row r="25" spans="1:17">
      <c r="A25" s="448" t="s">
        <v>111</v>
      </c>
      <c r="B25" s="449">
        <f t="shared" ca="1" si="2"/>
        <v>654.11735666415234</v>
      </c>
      <c r="C25" s="449">
        <f t="shared" ca="1" si="3"/>
        <v>21605.803822008387</v>
      </c>
      <c r="D25" s="449">
        <f t="shared" si="4"/>
        <v>0</v>
      </c>
      <c r="E25" s="449">
        <f t="shared" si="5"/>
        <v>73.654123703387242</v>
      </c>
      <c r="F25" s="449">
        <f t="shared" si="6"/>
        <v>9574.6705974753004</v>
      </c>
      <c r="G25" s="449">
        <f t="shared" si="7"/>
        <v>0</v>
      </c>
      <c r="H25" s="449">
        <f t="shared" si="8"/>
        <v>0</v>
      </c>
      <c r="I25" s="449">
        <f t="shared" si="9"/>
        <v>0</v>
      </c>
      <c r="J25" s="449">
        <f t="shared" si="10"/>
        <v>1019.6908553465828</v>
      </c>
      <c r="K25" s="449">
        <f t="shared" si="11"/>
        <v>0</v>
      </c>
      <c r="L25" s="449">
        <f t="shared" si="12"/>
        <v>0</v>
      </c>
      <c r="M25" s="449">
        <f t="shared" si="13"/>
        <v>0</v>
      </c>
      <c r="N25" s="449">
        <f t="shared" si="14"/>
        <v>0</v>
      </c>
      <c r="O25" s="449">
        <f t="shared" si="15"/>
        <v>0</v>
      </c>
      <c r="P25" s="450">
        <f t="shared" si="16"/>
        <v>0</v>
      </c>
      <c r="Q25" s="448">
        <f t="shared" ca="1" si="17"/>
        <v>32927.936755197814</v>
      </c>
    </row>
    <row r="26" spans="1:17">
      <c r="A26" s="448" t="s">
        <v>617</v>
      </c>
      <c r="B26" s="449">
        <f t="shared" ca="1" si="2"/>
        <v>7581.7355894182638</v>
      </c>
      <c r="C26" s="449">
        <f t="shared" ca="1" si="3"/>
        <v>11474.275948386976</v>
      </c>
      <c r="D26" s="449">
        <f t="shared" si="4"/>
        <v>0</v>
      </c>
      <c r="E26" s="449">
        <f t="shared" si="5"/>
        <v>1253.5938035005761</v>
      </c>
      <c r="F26" s="449">
        <f t="shared" si="6"/>
        <v>2484.533856898277</v>
      </c>
      <c r="G26" s="449">
        <f t="shared" si="7"/>
        <v>0</v>
      </c>
      <c r="H26" s="449">
        <f t="shared" si="8"/>
        <v>0</v>
      </c>
      <c r="I26" s="449">
        <f t="shared" si="9"/>
        <v>0</v>
      </c>
      <c r="J26" s="449">
        <f t="shared" si="10"/>
        <v>155.0283046117622</v>
      </c>
      <c r="K26" s="449">
        <f t="shared" si="11"/>
        <v>0</v>
      </c>
      <c r="L26" s="449">
        <f t="shared" si="12"/>
        <v>0</v>
      </c>
      <c r="M26" s="449">
        <f t="shared" si="13"/>
        <v>0</v>
      </c>
      <c r="N26" s="449">
        <f t="shared" si="14"/>
        <v>0</v>
      </c>
      <c r="O26" s="449">
        <f t="shared" si="15"/>
        <v>0</v>
      </c>
      <c r="P26" s="450">
        <f t="shared" si="16"/>
        <v>0</v>
      </c>
      <c r="Q26" s="448">
        <f t="shared" ca="1" si="17"/>
        <v>22949.167502815853</v>
      </c>
    </row>
    <row r="27" spans="1:17" s="454" customFormat="1">
      <c r="A27" s="452" t="s">
        <v>543</v>
      </c>
      <c r="B27" s="772">
        <f t="shared" ca="1" si="2"/>
        <v>100.53381532340849</v>
      </c>
      <c r="C27" s="453">
        <f t="shared" ca="1" si="3"/>
        <v>0</v>
      </c>
      <c r="D27" s="453">
        <f t="shared" si="4"/>
        <v>599.92462996978577</v>
      </c>
      <c r="E27" s="453">
        <f t="shared" si="5"/>
        <v>284.03692567338999</v>
      </c>
      <c r="F27" s="453">
        <f t="shared" si="6"/>
        <v>0</v>
      </c>
      <c r="G27" s="453">
        <f t="shared" si="7"/>
        <v>226887.57953061161</v>
      </c>
      <c r="H27" s="453">
        <f t="shared" si="8"/>
        <v>36788.363735428538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264660.43863700674</v>
      </c>
    </row>
    <row r="28" spans="1:17" ht="16.5" customHeight="1">
      <c r="A28" s="448" t="s">
        <v>533</v>
      </c>
      <c r="B28" s="449">
        <f t="shared" ca="1" si="2"/>
        <v>2.9306749728080441</v>
      </c>
      <c r="C28" s="449">
        <f t="shared" ca="1" si="3"/>
        <v>0</v>
      </c>
      <c r="D28" s="449">
        <f t="shared" si="4"/>
        <v>0</v>
      </c>
      <c r="E28" s="449">
        <f t="shared" si="5"/>
        <v>0</v>
      </c>
      <c r="F28" s="449">
        <f t="shared" si="6"/>
        <v>0</v>
      </c>
      <c r="G28" s="449">
        <f t="shared" si="7"/>
        <v>848.38129605620918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851.31197102901717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468.62403781017179</v>
      </c>
      <c r="C32" s="449">
        <f t="shared" ca="1" si="3"/>
        <v>0</v>
      </c>
      <c r="D32" s="449">
        <f t="shared" si="4"/>
        <v>1130.1433652863661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1598.7674030965379</v>
      </c>
    </row>
    <row r="33" spans="1:17" s="460" customFormat="1">
      <c r="A33" s="458" t="s">
        <v>537</v>
      </c>
      <c r="B33" s="459">
        <f ca="1">SUM(B22:B32)</f>
        <v>24424.322582431669</v>
      </c>
      <c r="C33" s="459">
        <f t="shared" ref="C33:Q33" ca="1" si="19">SUM(C22:C32)</f>
        <v>38831.166151260513</v>
      </c>
      <c r="D33" s="459">
        <f t="shared" ca="1" si="19"/>
        <v>56956.50513497131</v>
      </c>
      <c r="E33" s="459">
        <f t="shared" si="19"/>
        <v>2482.2111792135047</v>
      </c>
      <c r="F33" s="459">
        <f t="shared" ca="1" si="19"/>
        <v>39270.082610643032</v>
      </c>
      <c r="G33" s="459">
        <f t="shared" si="19"/>
        <v>227735.96082666781</v>
      </c>
      <c r="H33" s="459">
        <f t="shared" si="19"/>
        <v>36788.363735428538</v>
      </c>
      <c r="I33" s="459">
        <f t="shared" si="19"/>
        <v>0</v>
      </c>
      <c r="J33" s="459">
        <f t="shared" si="19"/>
        <v>1327.5263955278426</v>
      </c>
      <c r="K33" s="459">
        <f t="shared" si="19"/>
        <v>0</v>
      </c>
      <c r="L33" s="459">
        <f t="shared" ca="1" si="19"/>
        <v>0</v>
      </c>
      <c r="M33" s="459">
        <f t="shared" si="19"/>
        <v>0</v>
      </c>
      <c r="N33" s="459">
        <f t="shared" ca="1" si="19"/>
        <v>0</v>
      </c>
      <c r="O33" s="459">
        <f t="shared" si="19"/>
        <v>0</v>
      </c>
      <c r="P33" s="459">
        <f t="shared" si="19"/>
        <v>0</v>
      </c>
      <c r="Q33" s="459">
        <f t="shared" ca="1" si="19"/>
        <v>427816.13861614425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254800.9321326249</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52594.414342061376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48981.149999999994</v>
      </c>
      <c r="C8" s="1016">
        <f>'SEAP template'!C76</f>
        <v>114378.93</v>
      </c>
      <c r="D8" s="1016">
        <f>'SEAP template'!D76</f>
        <v>134563.44705882351</v>
      </c>
      <c r="E8" s="1016">
        <f>'SEAP template'!E76</f>
        <v>0</v>
      </c>
      <c r="F8" s="1016">
        <f>'SEAP template'!F76</f>
        <v>0</v>
      </c>
      <c r="G8" s="1016">
        <f>'SEAP template'!G76</f>
        <v>0</v>
      </c>
      <c r="H8" s="1016">
        <f>'SEAP template'!H76</f>
        <v>0</v>
      </c>
      <c r="I8" s="1016">
        <f>'SEAP template'!I76</f>
        <v>0</v>
      </c>
      <c r="J8" s="1016">
        <f>'SEAP template'!J76</f>
        <v>57624.882352941167</v>
      </c>
      <c r="K8" s="1016">
        <f>'SEAP template'!K76</f>
        <v>0</v>
      </c>
      <c r="L8" s="1016">
        <f>'SEAP template'!L76</f>
        <v>0</v>
      </c>
      <c r="M8" s="1016">
        <f>'SEAP template'!M76</f>
        <v>0</v>
      </c>
      <c r="N8" s="1016">
        <f>'SEAP template'!N76</f>
        <v>0</v>
      </c>
      <c r="O8" s="1016">
        <f>'SEAP template'!O76</f>
        <v>0</v>
      </c>
      <c r="P8" s="1017">
        <f>'SEAP template'!Q76</f>
        <v>27181.816305882352</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356376.49647468631</v>
      </c>
      <c r="C10" s="1018">
        <f>SUM(C4:C9)</f>
        <v>114378.93</v>
      </c>
      <c r="D10" s="1018">
        <f t="shared" ref="D10:H10" si="0">SUM(D8:D9)</f>
        <v>134563.44705882351</v>
      </c>
      <c r="E10" s="1018">
        <f t="shared" si="0"/>
        <v>0</v>
      </c>
      <c r="F10" s="1018">
        <f t="shared" si="0"/>
        <v>0</v>
      </c>
      <c r="G10" s="1018">
        <f t="shared" si="0"/>
        <v>0</v>
      </c>
      <c r="H10" s="1018">
        <f t="shared" si="0"/>
        <v>0</v>
      </c>
      <c r="I10" s="1018">
        <f>SUM(I8:I9)</f>
        <v>0</v>
      </c>
      <c r="J10" s="1018">
        <f>SUM(J8:J9)</f>
        <v>57624.882352941167</v>
      </c>
      <c r="K10" s="1018">
        <f t="shared" ref="K10:L10" si="1">SUM(K8:K9)</f>
        <v>0</v>
      </c>
      <c r="L10" s="1018">
        <f t="shared" si="1"/>
        <v>0</v>
      </c>
      <c r="M10" s="1018">
        <f>SUM(M8:M9)</f>
        <v>0</v>
      </c>
      <c r="N10" s="1018">
        <f>SUM(N8:N9)</f>
        <v>0</v>
      </c>
      <c r="O10" s="1018">
        <f>SUM(O8:O9)</f>
        <v>0</v>
      </c>
      <c r="P10" s="1018">
        <f>SUM(P8:P9)</f>
        <v>27181.816305882352</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5.774084540976393E-2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69973.071428571435</v>
      </c>
      <c r="C17" s="1019">
        <f>'SEAP template'!C87</f>
        <v>163398.47142857144</v>
      </c>
      <c r="D17" s="1017">
        <f>'SEAP template'!D87</f>
        <v>192233.49579831935</v>
      </c>
      <c r="E17" s="1017">
        <f>'SEAP template'!E87</f>
        <v>0</v>
      </c>
      <c r="F17" s="1017">
        <f>'SEAP template'!F87</f>
        <v>0</v>
      </c>
      <c r="G17" s="1017">
        <f>'SEAP template'!G87</f>
        <v>0</v>
      </c>
      <c r="H17" s="1017">
        <f>'SEAP template'!H87</f>
        <v>0</v>
      </c>
      <c r="I17" s="1017">
        <f>'SEAP template'!I87</f>
        <v>0</v>
      </c>
      <c r="J17" s="1017">
        <f>'SEAP template'!J87</f>
        <v>82321.260504201695</v>
      </c>
      <c r="K17" s="1017">
        <f>'SEAP template'!K87</f>
        <v>0</v>
      </c>
      <c r="L17" s="1017">
        <f>'SEAP template'!L87</f>
        <v>0</v>
      </c>
      <c r="M17" s="1017">
        <f>'SEAP template'!M87</f>
        <v>0</v>
      </c>
      <c r="N17" s="1017">
        <f>'SEAP template'!N87</f>
        <v>0</v>
      </c>
      <c r="O17" s="1017">
        <f>'SEAP template'!O87</f>
        <v>0</v>
      </c>
      <c r="P17" s="1017">
        <f>'SEAP template'!Q87</f>
        <v>38831.166151260513</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69973.071428571435</v>
      </c>
      <c r="C20" s="1018">
        <f>SUM(C17:C19)</f>
        <v>163398.47142857144</v>
      </c>
      <c r="D20" s="1018">
        <f t="shared" ref="D20:H20" si="2">SUM(D17:D19)</f>
        <v>192233.49579831935</v>
      </c>
      <c r="E20" s="1018">
        <f t="shared" si="2"/>
        <v>0</v>
      </c>
      <c r="F20" s="1018">
        <f t="shared" si="2"/>
        <v>0</v>
      </c>
      <c r="G20" s="1018">
        <f t="shared" si="2"/>
        <v>0</v>
      </c>
      <c r="H20" s="1018">
        <f t="shared" si="2"/>
        <v>0</v>
      </c>
      <c r="I20" s="1018">
        <f>SUM(I17:I19)</f>
        <v>0</v>
      </c>
      <c r="J20" s="1018">
        <f>SUM(J17:J19)</f>
        <v>82321.260504201695</v>
      </c>
      <c r="K20" s="1018">
        <f t="shared" ref="K20:L20" si="3">SUM(K17:K19)</f>
        <v>0</v>
      </c>
      <c r="L20" s="1018">
        <f t="shared" si="3"/>
        <v>0</v>
      </c>
      <c r="M20" s="1018">
        <f>SUM(M17:M19)</f>
        <v>0</v>
      </c>
      <c r="N20" s="1018">
        <f>SUM(N17:N19)</f>
        <v>0</v>
      </c>
      <c r="O20" s="1018">
        <f>SUM(O17:O19)</f>
        <v>0</v>
      </c>
      <c r="P20" s="1018">
        <f>SUM(P17:P19)</f>
        <v>38831.166151260513</v>
      </c>
    </row>
    <row r="21" spans="1:16">
      <c r="B21" s="883"/>
    </row>
    <row r="22" spans="1:16">
      <c r="A22" s="461" t="s">
        <v>755</v>
      </c>
      <c r="B22" s="778" t="s">
        <v>753</v>
      </c>
      <c r="C22" s="778">
        <f ca="1">'EF ele_warmte'!B22</f>
        <v>0.1663920359605747</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5.774084540976393E-2</v>
      </c>
      <c r="C17" s="498">
        <f ca="1">'EF ele_warmte'!B22</f>
        <v>0.1663920359605747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5.774084540976393E-2</v>
      </c>
      <c r="C17" s="498">
        <f ca="1">'EF ele_warmte'!B22</f>
        <v>0.1663920359605747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5.774084540976393E-2</v>
      </c>
      <c r="C29" s="499">
        <f ca="1">'EF ele_warmte'!B22</f>
        <v>0.1663920359605747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20504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6865.35</v>
      </c>
      <c r="C14" s="326"/>
      <c r="D14" s="326"/>
      <c r="E14" s="326"/>
      <c r="F14" s="326"/>
    </row>
    <row r="15" spans="1:6">
      <c r="A15" s="1312" t="s">
        <v>183</v>
      </c>
      <c r="B15" s="1313">
        <v>58</v>
      </c>
      <c r="C15" s="326"/>
      <c r="D15" s="326"/>
      <c r="E15" s="326"/>
      <c r="F15" s="326"/>
    </row>
    <row r="16" spans="1:6">
      <c r="A16" s="1312" t="s">
        <v>6</v>
      </c>
      <c r="B16" s="1313">
        <v>2205</v>
      </c>
      <c r="C16" s="326"/>
      <c r="D16" s="326"/>
      <c r="E16" s="326"/>
      <c r="F16" s="326"/>
    </row>
    <row r="17" spans="1:6">
      <c r="A17" s="1312" t="s">
        <v>7</v>
      </c>
      <c r="B17" s="1313">
        <v>2065</v>
      </c>
      <c r="C17" s="326"/>
      <c r="D17" s="326"/>
      <c r="E17" s="326"/>
      <c r="F17" s="326"/>
    </row>
    <row r="18" spans="1:6">
      <c r="A18" s="1312" t="s">
        <v>8</v>
      </c>
      <c r="B18" s="1313">
        <v>2981</v>
      </c>
      <c r="C18" s="326"/>
      <c r="D18" s="326"/>
      <c r="E18" s="326"/>
      <c r="F18" s="326"/>
    </row>
    <row r="19" spans="1:6">
      <c r="A19" s="1312" t="s">
        <v>9</v>
      </c>
      <c r="B19" s="1313">
        <v>2757</v>
      </c>
      <c r="C19" s="326"/>
      <c r="D19" s="326"/>
      <c r="E19" s="326"/>
      <c r="F19" s="326"/>
    </row>
    <row r="20" spans="1:6">
      <c r="A20" s="1312" t="s">
        <v>10</v>
      </c>
      <c r="B20" s="1313">
        <v>1674</v>
      </c>
      <c r="C20" s="326"/>
      <c r="D20" s="326"/>
      <c r="E20" s="326"/>
      <c r="F20" s="326"/>
    </row>
    <row r="21" spans="1:6">
      <c r="A21" s="1312" t="s">
        <v>11</v>
      </c>
      <c r="B21" s="1313">
        <v>18614</v>
      </c>
      <c r="C21" s="326"/>
      <c r="D21" s="326"/>
      <c r="E21" s="326"/>
      <c r="F21" s="326"/>
    </row>
    <row r="22" spans="1:6">
      <c r="A22" s="1312" t="s">
        <v>12</v>
      </c>
      <c r="B22" s="1313">
        <v>41581</v>
      </c>
      <c r="C22" s="326"/>
      <c r="D22" s="326"/>
      <c r="E22" s="326"/>
      <c r="F22" s="326"/>
    </row>
    <row r="23" spans="1:6">
      <c r="A23" s="1312" t="s">
        <v>13</v>
      </c>
      <c r="B23" s="1313">
        <v>768</v>
      </c>
      <c r="C23" s="326"/>
      <c r="D23" s="326"/>
      <c r="E23" s="326"/>
      <c r="F23" s="326"/>
    </row>
    <row r="24" spans="1:6">
      <c r="A24" s="1312" t="s">
        <v>14</v>
      </c>
      <c r="B24" s="1313">
        <v>32</v>
      </c>
      <c r="C24" s="326"/>
      <c r="D24" s="326"/>
      <c r="E24" s="326"/>
      <c r="F24" s="326"/>
    </row>
    <row r="25" spans="1:6">
      <c r="A25" s="1312" t="s">
        <v>15</v>
      </c>
      <c r="B25" s="1313">
        <v>4499</v>
      </c>
      <c r="C25" s="326"/>
      <c r="D25" s="326"/>
      <c r="E25" s="326"/>
      <c r="F25" s="326"/>
    </row>
    <row r="26" spans="1:6">
      <c r="A26" s="1312" t="s">
        <v>16</v>
      </c>
      <c r="B26" s="1313">
        <v>175</v>
      </c>
      <c r="C26" s="326"/>
      <c r="D26" s="326"/>
      <c r="E26" s="326"/>
      <c r="F26" s="326"/>
    </row>
    <row r="27" spans="1:6">
      <c r="A27" s="1312" t="s">
        <v>17</v>
      </c>
      <c r="B27" s="1313">
        <v>980</v>
      </c>
      <c r="C27" s="326"/>
      <c r="D27" s="326"/>
      <c r="E27" s="326"/>
      <c r="F27" s="326"/>
    </row>
    <row r="28" spans="1:6" s="43" customFormat="1">
      <c r="A28" s="1314" t="s">
        <v>18</v>
      </c>
      <c r="B28" s="1315">
        <v>663276</v>
      </c>
      <c r="C28" s="332"/>
      <c r="D28" s="332"/>
      <c r="E28" s="332"/>
      <c r="F28" s="332"/>
    </row>
    <row r="29" spans="1:6">
      <c r="A29" s="1314" t="s">
        <v>684</v>
      </c>
      <c r="B29" s="1315">
        <v>426</v>
      </c>
      <c r="C29" s="332"/>
      <c r="D29" s="332"/>
      <c r="E29" s="332"/>
      <c r="F29" s="332"/>
    </row>
    <row r="30" spans="1:6">
      <c r="A30" s="1307" t="s">
        <v>685</v>
      </c>
      <c r="B30" s="1316">
        <v>109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6</v>
      </c>
      <c r="F35" s="1313">
        <v>187670.25316437701</v>
      </c>
    </row>
    <row r="36" spans="1:6">
      <c r="A36" s="1312" t="s">
        <v>24</v>
      </c>
      <c r="B36" s="1312" t="s">
        <v>26</v>
      </c>
      <c r="C36" s="1313">
        <v>0</v>
      </c>
      <c r="D36" s="1313">
        <v>0</v>
      </c>
      <c r="E36" s="1313">
        <v>38</v>
      </c>
      <c r="F36" s="1313">
        <v>1994102.24313707</v>
      </c>
    </row>
    <row r="37" spans="1:6">
      <c r="A37" s="1312" t="s">
        <v>24</v>
      </c>
      <c r="B37" s="1312" t="s">
        <v>27</v>
      </c>
      <c r="C37" s="1313">
        <v>0</v>
      </c>
      <c r="D37" s="1313">
        <v>0</v>
      </c>
      <c r="E37" s="1313">
        <v>0</v>
      </c>
      <c r="F37" s="1313">
        <v>0</v>
      </c>
    </row>
    <row r="38" spans="1:6">
      <c r="A38" s="1312" t="s">
        <v>24</v>
      </c>
      <c r="B38" s="1312" t="s">
        <v>28</v>
      </c>
      <c r="C38" s="1313">
        <v>2</v>
      </c>
      <c r="D38" s="1313">
        <v>24119683.046974</v>
      </c>
      <c r="E38" s="1313">
        <v>0</v>
      </c>
      <c r="F38" s="1313">
        <v>0</v>
      </c>
    </row>
    <row r="39" spans="1:6">
      <c r="A39" s="1312" t="s">
        <v>29</v>
      </c>
      <c r="B39" s="1312" t="s">
        <v>30</v>
      </c>
      <c r="C39" s="1313">
        <v>15577</v>
      </c>
      <c r="D39" s="1313">
        <v>211196192.66638699</v>
      </c>
      <c r="E39" s="1313">
        <v>20405</v>
      </c>
      <c r="F39" s="1313">
        <v>73826928.3125747</v>
      </c>
    </row>
    <row r="40" spans="1:6">
      <c r="A40" s="1312" t="s">
        <v>29</v>
      </c>
      <c r="B40" s="1312" t="s">
        <v>28</v>
      </c>
      <c r="C40" s="1313">
        <v>0</v>
      </c>
      <c r="D40" s="1313">
        <v>0</v>
      </c>
      <c r="E40" s="1313">
        <v>0</v>
      </c>
      <c r="F40" s="1313">
        <v>0</v>
      </c>
    </row>
    <row r="41" spans="1:6">
      <c r="A41" s="1312" t="s">
        <v>31</v>
      </c>
      <c r="B41" s="1312" t="s">
        <v>32</v>
      </c>
      <c r="C41" s="1313">
        <v>193</v>
      </c>
      <c r="D41" s="1313">
        <v>4322066.4406662397</v>
      </c>
      <c r="E41" s="1313">
        <v>424</v>
      </c>
      <c r="F41" s="1313">
        <v>9738632.3791660499</v>
      </c>
    </row>
    <row r="42" spans="1:6">
      <c r="A42" s="1312" t="s">
        <v>31</v>
      </c>
      <c r="B42" s="1312" t="s">
        <v>33</v>
      </c>
      <c r="C42" s="1313">
        <v>0</v>
      </c>
      <c r="D42" s="1313">
        <v>0</v>
      </c>
      <c r="E42" s="1313">
        <v>17</v>
      </c>
      <c r="F42" s="1313">
        <v>24735275.713226698</v>
      </c>
    </row>
    <row r="43" spans="1:6">
      <c r="A43" s="1312" t="s">
        <v>31</v>
      </c>
      <c r="B43" s="1312" t="s">
        <v>34</v>
      </c>
      <c r="C43" s="1313">
        <v>0</v>
      </c>
      <c r="D43" s="1313">
        <v>0</v>
      </c>
      <c r="E43" s="1313">
        <v>0</v>
      </c>
      <c r="F43" s="1313">
        <v>0</v>
      </c>
    </row>
    <row r="44" spans="1:6">
      <c r="A44" s="1312" t="s">
        <v>31</v>
      </c>
      <c r="B44" s="1312" t="s">
        <v>35</v>
      </c>
      <c r="C44" s="1313">
        <v>23</v>
      </c>
      <c r="D44" s="1313">
        <v>814036.69315749104</v>
      </c>
      <c r="E44" s="1313">
        <v>51</v>
      </c>
      <c r="F44" s="1313">
        <v>5756796.2568629896</v>
      </c>
    </row>
    <row r="45" spans="1:6">
      <c r="A45" s="1312" t="s">
        <v>31</v>
      </c>
      <c r="B45" s="1312" t="s">
        <v>36</v>
      </c>
      <c r="C45" s="1313">
        <v>4</v>
      </c>
      <c r="D45" s="1313">
        <v>25551450.6269251</v>
      </c>
      <c r="E45" s="1313">
        <v>8</v>
      </c>
      <c r="F45" s="1313">
        <v>11989155.8740495</v>
      </c>
    </row>
    <row r="46" spans="1:6">
      <c r="A46" s="1312" t="s">
        <v>31</v>
      </c>
      <c r="B46" s="1312" t="s">
        <v>37</v>
      </c>
      <c r="C46" s="1313">
        <v>0</v>
      </c>
      <c r="D46" s="1313">
        <v>0</v>
      </c>
      <c r="E46" s="1313">
        <v>0</v>
      </c>
      <c r="F46" s="1313">
        <v>0</v>
      </c>
    </row>
    <row r="47" spans="1:6">
      <c r="A47" s="1312" t="s">
        <v>31</v>
      </c>
      <c r="B47" s="1312" t="s">
        <v>38</v>
      </c>
      <c r="C47" s="1313">
        <v>8</v>
      </c>
      <c r="D47" s="1313">
        <v>949202.41419873398</v>
      </c>
      <c r="E47" s="1313">
        <v>12</v>
      </c>
      <c r="F47" s="1313">
        <v>2450667.9984064</v>
      </c>
    </row>
    <row r="48" spans="1:6">
      <c r="A48" s="1312" t="s">
        <v>31</v>
      </c>
      <c r="B48" s="1312" t="s">
        <v>28</v>
      </c>
      <c r="C48" s="1313">
        <v>0</v>
      </c>
      <c r="D48" s="1313">
        <v>0</v>
      </c>
      <c r="E48" s="1313">
        <v>2</v>
      </c>
      <c r="F48" s="1313">
        <v>678158.60133367998</v>
      </c>
    </row>
    <row r="49" spans="1:6">
      <c r="A49" s="1312" t="s">
        <v>31</v>
      </c>
      <c r="B49" s="1312" t="s">
        <v>39</v>
      </c>
      <c r="C49" s="1313">
        <v>4</v>
      </c>
      <c r="D49" s="1313">
        <v>99754.350953437795</v>
      </c>
      <c r="E49" s="1313">
        <v>10</v>
      </c>
      <c r="F49" s="1313">
        <v>36749.882096830901</v>
      </c>
    </row>
    <row r="50" spans="1:6">
      <c r="A50" s="1312" t="s">
        <v>31</v>
      </c>
      <c r="B50" s="1312" t="s">
        <v>40</v>
      </c>
      <c r="C50" s="1313">
        <v>24</v>
      </c>
      <c r="D50" s="1313">
        <v>37471034.151092201</v>
      </c>
      <c r="E50" s="1313">
        <v>34</v>
      </c>
      <c r="F50" s="1313">
        <v>27649342.855083998</v>
      </c>
    </row>
    <row r="51" spans="1:6">
      <c r="A51" s="1312" t="s">
        <v>41</v>
      </c>
      <c r="B51" s="1312" t="s">
        <v>42</v>
      </c>
      <c r="C51" s="1313">
        <v>72</v>
      </c>
      <c r="D51" s="1313">
        <v>163365754.318746</v>
      </c>
      <c r="E51" s="1313">
        <v>349</v>
      </c>
      <c r="F51" s="1313">
        <v>11328503.280860201</v>
      </c>
    </row>
    <row r="52" spans="1:6">
      <c r="A52" s="1312" t="s">
        <v>41</v>
      </c>
      <c r="B52" s="1312" t="s">
        <v>28</v>
      </c>
      <c r="C52" s="1313">
        <v>0</v>
      </c>
      <c r="D52" s="1313">
        <v>0</v>
      </c>
      <c r="E52" s="1313">
        <v>0</v>
      </c>
      <c r="F52" s="1313">
        <v>0</v>
      </c>
    </row>
    <row r="53" spans="1:6">
      <c r="A53" s="1312" t="s">
        <v>43</v>
      </c>
      <c r="B53" s="1312" t="s">
        <v>44</v>
      </c>
      <c r="C53" s="1313">
        <v>284</v>
      </c>
      <c r="D53" s="1313">
        <v>5594769.1350810202</v>
      </c>
      <c r="E53" s="1313">
        <v>874</v>
      </c>
      <c r="F53" s="1313">
        <v>8115988.5083866101</v>
      </c>
    </row>
    <row r="54" spans="1:6">
      <c r="A54" s="1312" t="s">
        <v>45</v>
      </c>
      <c r="B54" s="1312" t="s">
        <v>46</v>
      </c>
      <c r="C54" s="1313">
        <v>0</v>
      </c>
      <c r="D54" s="1313">
        <v>0</v>
      </c>
      <c r="E54" s="1313">
        <v>8</v>
      </c>
      <c r="F54" s="1313">
        <v>2827007.78873567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162</v>
      </c>
      <c r="D57" s="1313">
        <v>12391136.749935601</v>
      </c>
      <c r="E57" s="1313">
        <v>255</v>
      </c>
      <c r="F57" s="1313">
        <v>15336402.996116601</v>
      </c>
    </row>
    <row r="58" spans="1:6">
      <c r="A58" s="1312" t="s">
        <v>48</v>
      </c>
      <c r="B58" s="1312" t="s">
        <v>50</v>
      </c>
      <c r="C58" s="1313">
        <v>104</v>
      </c>
      <c r="D58" s="1313">
        <v>5664399.0279377503</v>
      </c>
      <c r="E58" s="1313">
        <v>129</v>
      </c>
      <c r="F58" s="1313">
        <v>3428745.3260617498</v>
      </c>
    </row>
    <row r="59" spans="1:6">
      <c r="A59" s="1312" t="s">
        <v>48</v>
      </c>
      <c r="B59" s="1312" t="s">
        <v>51</v>
      </c>
      <c r="C59" s="1313">
        <v>332</v>
      </c>
      <c r="D59" s="1313">
        <v>20032052.954116799</v>
      </c>
      <c r="E59" s="1313">
        <v>599</v>
      </c>
      <c r="F59" s="1313">
        <v>19536517.142788701</v>
      </c>
    </row>
    <row r="60" spans="1:6">
      <c r="A60" s="1312" t="s">
        <v>48</v>
      </c>
      <c r="B60" s="1312" t="s">
        <v>52</v>
      </c>
      <c r="C60" s="1313">
        <v>159</v>
      </c>
      <c r="D60" s="1313">
        <v>14953991.2842292</v>
      </c>
      <c r="E60" s="1313">
        <v>202</v>
      </c>
      <c r="F60" s="1313">
        <v>6860179.6255086204</v>
      </c>
    </row>
    <row r="61" spans="1:6">
      <c r="A61" s="1312" t="s">
        <v>48</v>
      </c>
      <c r="B61" s="1312" t="s">
        <v>53</v>
      </c>
      <c r="C61" s="1313">
        <v>546</v>
      </c>
      <c r="D61" s="1313">
        <v>69060216.373044193</v>
      </c>
      <c r="E61" s="1313">
        <v>1022</v>
      </c>
      <c r="F61" s="1313">
        <v>106831216.17358799</v>
      </c>
    </row>
    <row r="62" spans="1:6">
      <c r="A62" s="1312" t="s">
        <v>48</v>
      </c>
      <c r="B62" s="1312" t="s">
        <v>54</v>
      </c>
      <c r="C62" s="1313">
        <v>33</v>
      </c>
      <c r="D62" s="1313">
        <v>3676544.3462943202</v>
      </c>
      <c r="E62" s="1313">
        <v>38</v>
      </c>
      <c r="F62" s="1313">
        <v>1066529.97878598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39014.8698626736</v>
      </c>
      <c r="E65" s="1313">
        <v>0</v>
      </c>
      <c r="F65" s="1313">
        <v>0</v>
      </c>
    </row>
    <row r="66" spans="1:6">
      <c r="A66" s="1312" t="s">
        <v>55</v>
      </c>
      <c r="B66" s="1312" t="s">
        <v>57</v>
      </c>
      <c r="C66" s="1313">
        <v>0</v>
      </c>
      <c r="D66" s="1313">
        <v>0</v>
      </c>
      <c r="E66" s="1313">
        <v>36</v>
      </c>
      <c r="F66" s="1313">
        <v>3499431.1941628698</v>
      </c>
    </row>
    <row r="67" spans="1:6">
      <c r="A67" s="1314" t="s">
        <v>55</v>
      </c>
      <c r="B67" s="1314" t="s">
        <v>58</v>
      </c>
      <c r="C67" s="1313">
        <v>0</v>
      </c>
      <c r="D67" s="1313">
        <v>0</v>
      </c>
      <c r="E67" s="1313">
        <v>0</v>
      </c>
      <c r="F67" s="1313">
        <v>0</v>
      </c>
    </row>
    <row r="68" spans="1:6">
      <c r="A68" s="1307" t="s">
        <v>55</v>
      </c>
      <c r="B68" s="1307" t="s">
        <v>59</v>
      </c>
      <c r="C68" s="1316">
        <v>20</v>
      </c>
      <c r="D68" s="1316">
        <v>1423732.28448089</v>
      </c>
      <c r="E68" s="1316">
        <v>60</v>
      </c>
      <c r="F68" s="1316">
        <v>1479086.85334682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284068194</v>
      </c>
      <c r="E73" s="447"/>
      <c r="F73" s="326"/>
    </row>
    <row r="74" spans="1:6">
      <c r="A74" s="1312" t="s">
        <v>63</v>
      </c>
      <c r="B74" s="1312" t="s">
        <v>638</v>
      </c>
      <c r="C74" s="1326" t="s">
        <v>640</v>
      </c>
      <c r="D74" s="1327">
        <v>54005693.154579148</v>
      </c>
      <c r="E74" s="447"/>
      <c r="F74" s="326"/>
    </row>
    <row r="75" spans="1:6">
      <c r="A75" s="1312" t="s">
        <v>64</v>
      </c>
      <c r="B75" s="1312" t="s">
        <v>637</v>
      </c>
      <c r="C75" s="1326" t="s">
        <v>641</v>
      </c>
      <c r="D75" s="1327">
        <v>180978590</v>
      </c>
      <c r="E75" s="447"/>
      <c r="F75" s="326"/>
    </row>
    <row r="76" spans="1:6">
      <c r="A76" s="1312" t="s">
        <v>64</v>
      </c>
      <c r="B76" s="1312" t="s">
        <v>638</v>
      </c>
      <c r="C76" s="1326" t="s">
        <v>642</v>
      </c>
      <c r="D76" s="1327">
        <v>35371203.154579148</v>
      </c>
      <c r="E76" s="447"/>
      <c r="F76" s="326"/>
    </row>
    <row r="77" spans="1:6">
      <c r="A77" s="1312" t="s">
        <v>65</v>
      </c>
      <c r="B77" s="1312" t="s">
        <v>637</v>
      </c>
      <c r="C77" s="1326" t="s">
        <v>643</v>
      </c>
      <c r="D77" s="1327">
        <v>319619802</v>
      </c>
      <c r="E77" s="447"/>
      <c r="F77" s="326"/>
    </row>
    <row r="78" spans="1:6">
      <c r="A78" s="1307" t="s">
        <v>65</v>
      </c>
      <c r="B78" s="1307" t="s">
        <v>638</v>
      </c>
      <c r="C78" s="1307" t="s">
        <v>644</v>
      </c>
      <c r="D78" s="1328">
        <v>91505526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946703.690841706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254800.9321326249</v>
      </c>
      <c r="C90" s="326"/>
      <c r="D90" s="326"/>
      <c r="E90" s="326"/>
      <c r="F90" s="326"/>
    </row>
    <row r="91" spans="1:6">
      <c r="A91" s="1312" t="s">
        <v>67</v>
      </c>
      <c r="B91" s="1313">
        <v>16548.441370122528</v>
      </c>
      <c r="C91" s="326"/>
      <c r="D91" s="326"/>
      <c r="E91" s="326"/>
      <c r="F91" s="326"/>
    </row>
    <row r="92" spans="1:6">
      <c r="A92" s="1307" t="s">
        <v>68</v>
      </c>
      <c r="B92" s="1308">
        <v>36045.972971938849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9871</v>
      </c>
      <c r="C97" s="326"/>
      <c r="D97" s="326"/>
      <c r="E97" s="326"/>
      <c r="F97" s="326"/>
    </row>
    <row r="98" spans="1:6">
      <c r="A98" s="1312" t="s">
        <v>71</v>
      </c>
      <c r="B98" s="1313">
        <v>3</v>
      </c>
      <c r="C98" s="326"/>
      <c r="D98" s="326"/>
      <c r="E98" s="326"/>
      <c r="F98" s="326"/>
    </row>
    <row r="99" spans="1:6">
      <c r="A99" s="1312" t="s">
        <v>72</v>
      </c>
      <c r="B99" s="1313">
        <v>133</v>
      </c>
      <c r="C99" s="326"/>
      <c r="D99" s="326"/>
      <c r="E99" s="326"/>
      <c r="F99" s="326"/>
    </row>
    <row r="100" spans="1:6">
      <c r="A100" s="1312" t="s">
        <v>73</v>
      </c>
      <c r="B100" s="1313">
        <v>2776</v>
      </c>
      <c r="C100" s="326"/>
      <c r="D100" s="326"/>
      <c r="E100" s="326"/>
      <c r="F100" s="326"/>
    </row>
    <row r="101" spans="1:6">
      <c r="A101" s="1312" t="s">
        <v>74</v>
      </c>
      <c r="B101" s="1313">
        <v>316</v>
      </c>
      <c r="C101" s="326"/>
      <c r="D101" s="326"/>
      <c r="E101" s="326"/>
      <c r="F101" s="326"/>
    </row>
    <row r="102" spans="1:6">
      <c r="A102" s="1312" t="s">
        <v>75</v>
      </c>
      <c r="B102" s="1313">
        <v>369</v>
      </c>
      <c r="C102" s="326"/>
      <c r="D102" s="326"/>
      <c r="E102" s="326"/>
      <c r="F102" s="326"/>
    </row>
    <row r="103" spans="1:6">
      <c r="A103" s="1312" t="s">
        <v>76</v>
      </c>
      <c r="B103" s="1313">
        <v>626</v>
      </c>
      <c r="C103" s="326"/>
      <c r="D103" s="326"/>
      <c r="E103" s="326"/>
      <c r="F103" s="326"/>
    </row>
    <row r="104" spans="1:6">
      <c r="A104" s="1312" t="s">
        <v>77</v>
      </c>
      <c r="B104" s="1313">
        <v>3115</v>
      </c>
      <c r="C104" s="326"/>
      <c r="D104" s="326"/>
      <c r="E104" s="326"/>
      <c r="F104" s="326"/>
    </row>
    <row r="105" spans="1:6">
      <c r="A105" s="1307" t="s">
        <v>78</v>
      </c>
      <c r="B105" s="1316">
        <v>19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18</v>
      </c>
      <c r="C121" s="1313">
        <v>0</v>
      </c>
      <c r="D121" s="326"/>
      <c r="E121" s="326"/>
      <c r="F121" s="326"/>
    </row>
    <row r="122" spans="1:6">
      <c r="A122" s="1312" t="s">
        <v>86</v>
      </c>
      <c r="B122" s="1313">
        <v>3</v>
      </c>
      <c r="C122" s="1313">
        <v>0</v>
      </c>
      <c r="D122" s="326"/>
      <c r="E122" s="326"/>
      <c r="F122" s="326"/>
    </row>
    <row r="123" spans="1:6">
      <c r="A123" s="1312" t="s">
        <v>87</v>
      </c>
      <c r="B123" s="1313">
        <v>178</v>
      </c>
      <c r="C123" s="1313">
        <v>239</v>
      </c>
      <c r="D123" s="326"/>
      <c r="E123" s="326"/>
      <c r="F123" s="326"/>
    </row>
    <row r="124" spans="1:6" s="43" customFormat="1">
      <c r="A124" s="1314" t="s">
        <v>88</v>
      </c>
      <c r="B124" s="1335">
        <v>5</v>
      </c>
      <c r="C124" s="1335">
        <v>3</v>
      </c>
      <c r="D124" s="332"/>
      <c r="E124" s="332"/>
      <c r="F124" s="332"/>
    </row>
    <row r="125" spans="1:6">
      <c r="A125" s="1307" t="s">
        <v>786</v>
      </c>
      <c r="B125" s="1335">
        <v>13</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661</v>
      </c>
      <c r="C129" s="326"/>
      <c r="D129" s="326"/>
      <c r="E129" s="326"/>
      <c r="F129" s="326"/>
    </row>
    <row r="130" spans="1:6">
      <c r="A130" s="1312" t="s">
        <v>290</v>
      </c>
      <c r="B130" s="1313">
        <v>9</v>
      </c>
      <c r="C130" s="326"/>
      <c r="D130" s="326"/>
      <c r="E130" s="326"/>
      <c r="F130" s="326"/>
    </row>
    <row r="131" spans="1:6">
      <c r="A131" s="1312" t="s">
        <v>291</v>
      </c>
      <c r="B131" s="1313">
        <v>4</v>
      </c>
      <c r="C131" s="326"/>
      <c r="D131" s="326"/>
      <c r="E131" s="326"/>
      <c r="F131" s="326"/>
    </row>
    <row r="132" spans="1:6">
      <c r="A132" s="1307" t="s">
        <v>292</v>
      </c>
      <c r="B132" s="1308">
        <v>78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422999.04701952171</v>
      </c>
      <c r="C3" s="43" t="s">
        <v>169</v>
      </c>
      <c r="D3" s="43"/>
      <c r="E3" s="154"/>
      <c r="F3" s="43"/>
      <c r="G3" s="43"/>
      <c r="H3" s="43"/>
      <c r="I3" s="43"/>
      <c r="J3" s="43"/>
      <c r="K3" s="96"/>
    </row>
    <row r="4" spans="1:11">
      <c r="A4" s="354" t="s">
        <v>170</v>
      </c>
      <c r="B4" s="49">
        <f>IF(ISERROR('SEAP template'!B78+'SEAP template'!C78),0,'SEAP template'!B78+'SEAP template'!C78)</f>
        <v>470755.4264746863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27181.816305882352</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5.774084540976393E-2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38831.166151260513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233371.54285714286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0.1663920359605747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2827.0077887356701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2827.0077887356701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5.774084540976393E-2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163.23381970158491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73826.928312574702</v>
      </c>
      <c r="C5" s="17">
        <f>IF(ISERROR('Eigen informatie GS &amp; warmtenet'!B59),0,'Eigen informatie GS &amp; warmtenet'!B59)</f>
        <v>0</v>
      </c>
      <c r="D5" s="30">
        <f>(SUM(HH_hh_gas_kWh,HH_rest_gas_kWh)/1000)*0.903</f>
        <v>190710.16197774746</v>
      </c>
      <c r="E5" s="17">
        <f>B32*B41</f>
        <v>3456.2288580612435</v>
      </c>
      <c r="F5" s="17">
        <f>B36*B45</f>
        <v>75714.241335367202</v>
      </c>
      <c r="G5" s="18"/>
      <c r="H5" s="17"/>
      <c r="I5" s="17"/>
      <c r="J5" s="17">
        <f>B35*B44+C35*C44</f>
        <v>431.50374252138539</v>
      </c>
      <c r="K5" s="17"/>
      <c r="L5" s="17"/>
      <c r="M5" s="17"/>
      <c r="N5" s="17">
        <f>B34*B43+C34*C43</f>
        <v>26070.590020417778</v>
      </c>
      <c r="O5" s="17">
        <f>B52*B53*B54</f>
        <v>1791.5142721064899</v>
      </c>
      <c r="P5" s="17">
        <f>B60*B61*B62/1000-B60*B61*B62/1000/B63</f>
        <v>2749.3633793057911</v>
      </c>
    </row>
    <row r="6" spans="1:16">
      <c r="A6" s="16" t="s">
        <v>603</v>
      </c>
      <c r="B6" s="780">
        <f>kWh_PV_kleiner_dan_10kW</f>
        <v>16548.441370122528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90375.36968269723</v>
      </c>
      <c r="C8" s="21">
        <f>C5</f>
        <v>0</v>
      </c>
      <c r="D8" s="21">
        <f>D5</f>
        <v>190710.16197774746</v>
      </c>
      <c r="E8" s="21">
        <f>E5</f>
        <v>3456.2288580612435</v>
      </c>
      <c r="F8" s="21">
        <f>F5</f>
        <v>75714.241335367202</v>
      </c>
      <c r="G8" s="21"/>
      <c r="H8" s="21"/>
      <c r="I8" s="21"/>
      <c r="J8" s="21">
        <f>J5</f>
        <v>431.50374252138539</v>
      </c>
      <c r="K8" s="21"/>
      <c r="L8" s="21">
        <f>L5</f>
        <v>0</v>
      </c>
      <c r="M8" s="21">
        <f>M5</f>
        <v>0</v>
      </c>
      <c r="N8" s="21">
        <f>N5</f>
        <v>26070.590020417778</v>
      </c>
      <c r="O8" s="21">
        <f>O5</f>
        <v>1791.5142721064899</v>
      </c>
      <c r="P8" s="21">
        <f>P5</f>
        <v>2749.3633793057911</v>
      </c>
    </row>
    <row r="9" spans="1:16">
      <c r="B9" s="19"/>
      <c r="C9" s="19"/>
      <c r="D9" s="254"/>
      <c r="E9" s="19"/>
      <c r="F9" s="19"/>
      <c r="G9" s="19"/>
      <c r="H9" s="19"/>
      <c r="I9" s="19"/>
      <c r="J9" s="19"/>
      <c r="K9" s="19"/>
      <c r="L9" s="19"/>
      <c r="M9" s="19"/>
      <c r="N9" s="19"/>
      <c r="O9" s="19"/>
      <c r="P9" s="19"/>
    </row>
    <row r="10" spans="1:16">
      <c r="A10" s="24" t="s">
        <v>213</v>
      </c>
      <c r="B10" s="25">
        <f ca="1">'EF ele_warmte'!B12</f>
        <v>5.774084540976393E-2</v>
      </c>
      <c r="C10" s="25">
        <f ca="1">'EF ele_warmte'!B22</f>
        <v>0.1663920359605747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5218.3502496988867</v>
      </c>
      <c r="C12" s="23">
        <f ca="1">C10*C8</f>
        <v>0</v>
      </c>
      <c r="D12" s="23">
        <f>D8*D10</f>
        <v>38523.452719504989</v>
      </c>
      <c r="E12" s="23">
        <f>E10*E8</f>
        <v>784.56395077990226</v>
      </c>
      <c r="F12" s="23">
        <f>F10*F8</f>
        <v>20215.702436543044</v>
      </c>
      <c r="G12" s="23"/>
      <c r="H12" s="23"/>
      <c r="I12" s="23"/>
      <c r="J12" s="23">
        <f>J10*J8</f>
        <v>152.75232485257041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20504</v>
      </c>
      <c r="C26" s="36"/>
      <c r="D26" s="225"/>
    </row>
    <row r="27" spans="1:5" s="15" customFormat="1">
      <c r="A27" s="227" t="s">
        <v>866</v>
      </c>
      <c r="B27" s="37">
        <f>SUM(HH_hh_gas_aantal,HH_rest_gas_aantal)</f>
        <v>15577</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14798.15</v>
      </c>
      <c r="C31" s="34" t="s">
        <v>110</v>
      </c>
      <c r="D31" s="171"/>
    </row>
    <row r="32" spans="1:5">
      <c r="A32" s="168" t="s">
        <v>72</v>
      </c>
      <c r="B32" s="33">
        <f>IF((B21*($B$26-($B$27-0.05*$B$27)-$B$60))&lt;0,0,(B21*($B$26-($B$27-0.05*$B$27)-$B$60)))</f>
        <v>86.438075608670346</v>
      </c>
      <c r="C32" s="34" t="s">
        <v>110</v>
      </c>
      <c r="D32" s="171"/>
    </row>
    <row r="33" spans="1:6">
      <c r="A33" s="168" t="s">
        <v>73</v>
      </c>
      <c r="B33" s="33">
        <f>IF((B22*($B$26-($B$27-0.05*$B$27)-$B$60))&lt;0,0,B22*($B$26-($B$27-0.05*$B$27)-$B$60))</f>
        <v>1403.5831553970738</v>
      </c>
      <c r="C33" s="34" t="s">
        <v>110</v>
      </c>
      <c r="D33" s="171"/>
    </row>
    <row r="34" spans="1:6">
      <c r="A34" s="168" t="s">
        <v>74</v>
      </c>
      <c r="B34" s="33">
        <f>IF((B24*($B$26-($B$27-0.05*$B$27)-$B$60))&lt;0,0,B24*($B$26-($B$27-0.05*$B$27)-$B$60))</f>
        <v>269.08567429080176</v>
      </c>
      <c r="C34" s="33">
        <f>B26*C24</f>
        <v>4201.3913897933817</v>
      </c>
      <c r="D34" s="230"/>
    </row>
    <row r="35" spans="1:6">
      <c r="A35" s="168" t="s">
        <v>76</v>
      </c>
      <c r="B35" s="33">
        <f>IF((B19*($B$26-($B$27-0.05*$B$27)-$B$60))&lt;0,0,B19*($B$26-($B$27-0.05*$B$27)-$B$60))</f>
        <v>37.574425393076218</v>
      </c>
      <c r="C35" s="33">
        <f>B35/2</f>
        <v>18.787212696538109</v>
      </c>
      <c r="D35" s="230"/>
    </row>
    <row r="36" spans="1:6">
      <c r="A36" s="168" t="s">
        <v>77</v>
      </c>
      <c r="B36" s="33">
        <f>IF((B18*($B$26-($B$27-0.05*$B$27)-$B$60))&lt;0,0,B18*($B$26-($B$27-0.05*$B$27)-$B$60))</f>
        <v>3648.168669310377</v>
      </c>
      <c r="C36" s="34" t="s">
        <v>110</v>
      </c>
      <c r="D36" s="171"/>
    </row>
    <row r="37" spans="1:6">
      <c r="A37" s="168" t="s">
        <v>78</v>
      </c>
      <c r="B37" s="33">
        <f>B60</f>
        <v>261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903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261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153059.59124284968</v>
      </c>
      <c r="C5" s="17">
        <f>IF(ISERROR('Eigen informatie GS &amp; warmtenet'!B60),0,'Eigen informatie GS &amp; warmtenet'!B60)</f>
        <v>0</v>
      </c>
      <c r="D5" s="30">
        <f>SUM(D6:D12)</f>
        <v>113577.84168420878</v>
      </c>
      <c r="E5" s="17">
        <f>SUM(E6:E12)</f>
        <v>380.45099363986299</v>
      </c>
      <c r="F5" s="17">
        <f>SUM(F6:F12)</f>
        <v>26199.159998975312</v>
      </c>
      <c r="G5" s="18"/>
      <c r="H5" s="17"/>
      <c r="I5" s="17"/>
      <c r="J5" s="17">
        <f>SUM(J6:J12)</f>
        <v>0.1551150195681617</v>
      </c>
      <c r="K5" s="17"/>
      <c r="L5" s="17"/>
      <c r="M5" s="17"/>
      <c r="N5" s="17">
        <f>SUM(N6:N12)</f>
        <v>6045.7364800615696</v>
      </c>
      <c r="O5" s="17">
        <f>B38*B39*B40</f>
        <v>44.075346892570387</v>
      </c>
      <c r="P5" s="17">
        <f>B46*B47*B48/1000-B46*B47*B48/1000/B49</f>
        <v>1996.487255646811</v>
      </c>
      <c r="R5" s="32"/>
    </row>
    <row r="6" spans="1:18">
      <c r="A6" s="32" t="s">
        <v>53</v>
      </c>
      <c r="B6" s="37">
        <f>B26</f>
        <v>106831.21617358799</v>
      </c>
      <c r="C6" s="33"/>
      <c r="D6" s="37">
        <f>IF(ISERROR(TER_kantoor_gas_kWh/1000),0,TER_kantoor_gas_kWh/1000)*0.903</f>
        <v>62361.375384858911</v>
      </c>
      <c r="E6" s="33">
        <f>$C$26*'E Balans VL '!I12/100/3.6*1000000</f>
        <v>25.454729998499303</v>
      </c>
      <c r="F6" s="33">
        <f>$C$26*('E Balans VL '!L12+'E Balans VL '!N12)/100/3.6*1000000</f>
        <v>9279.3376591822162</v>
      </c>
      <c r="G6" s="34"/>
      <c r="H6" s="33"/>
      <c r="I6" s="33"/>
      <c r="J6" s="33">
        <f>$C$26*('E Balans VL '!D12+'E Balans VL '!E12)/100/3.6*1000000</f>
        <v>0</v>
      </c>
      <c r="K6" s="33"/>
      <c r="L6" s="33"/>
      <c r="M6" s="33"/>
      <c r="N6" s="33">
        <f>$C$26*'E Balans VL '!Y12/100/3.6*1000000</f>
        <v>142.79486612440792</v>
      </c>
      <c r="O6" s="33"/>
      <c r="P6" s="33"/>
      <c r="R6" s="32"/>
    </row>
    <row r="7" spans="1:18">
      <c r="A7" s="32" t="s">
        <v>52</v>
      </c>
      <c r="B7" s="37">
        <f t="shared" ref="B7:B12" si="0">B27</f>
        <v>6860.1796255086201</v>
      </c>
      <c r="C7" s="33"/>
      <c r="D7" s="37">
        <f>IF(ISERROR(TER_horeca_gas_kWh/1000),0,TER_horeca_gas_kWh/1000)*0.903</f>
        <v>13503.454129658967</v>
      </c>
      <c r="E7" s="33">
        <f>$C$27*'E Balans VL '!I9/100/3.6*1000000</f>
        <v>0</v>
      </c>
      <c r="F7" s="33">
        <f>$C$27*('E Balans VL '!L9+'E Balans VL '!N9)/100/3.6*1000000</f>
        <v>558.98048796237231</v>
      </c>
      <c r="G7" s="34"/>
      <c r="H7" s="33"/>
      <c r="I7" s="33"/>
      <c r="J7" s="33">
        <f>$C$27*('E Balans VL '!D9+'E Balans VL '!E9)/100/3.6*1000000</f>
        <v>0</v>
      </c>
      <c r="K7" s="33"/>
      <c r="L7" s="33"/>
      <c r="M7" s="33"/>
      <c r="N7" s="33">
        <f>$C$27*'E Balans VL '!Y9/100/3.6*1000000</f>
        <v>1.9001420378954359</v>
      </c>
      <c r="O7" s="33"/>
      <c r="P7" s="33"/>
      <c r="R7" s="32"/>
    </row>
    <row r="8" spans="1:18">
      <c r="A8" s="6" t="s">
        <v>51</v>
      </c>
      <c r="B8" s="37">
        <f t="shared" si="0"/>
        <v>19536.5171427887</v>
      </c>
      <c r="C8" s="33"/>
      <c r="D8" s="37">
        <f>IF(ISERROR(TER_handel_gas_kWh/1000),0,TER_handel_gas_kWh/1000)*0.903</f>
        <v>18088.94381756747</v>
      </c>
      <c r="E8" s="33">
        <f>$C$28*'E Balans VL '!I13/100/3.6*1000000</f>
        <v>156.16738863877617</v>
      </c>
      <c r="F8" s="33">
        <f>$C$28*('E Balans VL '!L13+'E Balans VL '!N13)/100/3.6*1000000</f>
        <v>1940.831532059749</v>
      </c>
      <c r="G8" s="34"/>
      <c r="H8" s="33"/>
      <c r="I8" s="33"/>
      <c r="J8" s="33">
        <f>$C$28*('E Balans VL '!D13+'E Balans VL '!E13)/100/3.6*1000000</f>
        <v>0</v>
      </c>
      <c r="K8" s="33"/>
      <c r="L8" s="33"/>
      <c r="M8" s="33"/>
      <c r="N8" s="33">
        <f>$C$28*'E Balans VL '!Y13/100/3.6*1000000</f>
        <v>7.2980520437380036</v>
      </c>
      <c r="O8" s="33"/>
      <c r="P8" s="33"/>
      <c r="R8" s="32"/>
    </row>
    <row r="9" spans="1:18">
      <c r="A9" s="32" t="s">
        <v>50</v>
      </c>
      <c r="B9" s="37">
        <f t="shared" si="0"/>
        <v>3428.7453260617499</v>
      </c>
      <c r="C9" s="33"/>
      <c r="D9" s="37">
        <f>IF(ISERROR(TER_gezond_gas_kWh/1000),0,TER_gezond_gas_kWh/1000)*0.903</f>
        <v>5114.9523222277885</v>
      </c>
      <c r="E9" s="33">
        <f>$C$29*'E Balans VL '!I10/100/3.6*1000000</f>
        <v>0</v>
      </c>
      <c r="F9" s="33">
        <f>$C$29*('E Balans VL '!L10+'E Balans VL '!N10)/100/3.6*1000000</f>
        <v>312.5860102642647</v>
      </c>
      <c r="G9" s="34"/>
      <c r="H9" s="33"/>
      <c r="I9" s="33"/>
      <c r="J9" s="33">
        <f>$C$29*('E Balans VL '!D10+'E Balans VL '!E10)/100/3.6*1000000</f>
        <v>0</v>
      </c>
      <c r="K9" s="33"/>
      <c r="L9" s="33"/>
      <c r="M9" s="33"/>
      <c r="N9" s="33">
        <f>$C$29*'E Balans VL '!Y10/100/3.6*1000000</f>
        <v>25.061055628950015</v>
      </c>
      <c r="O9" s="33"/>
      <c r="P9" s="33"/>
      <c r="R9" s="32"/>
    </row>
    <row r="10" spans="1:18">
      <c r="A10" s="32" t="s">
        <v>49</v>
      </c>
      <c r="B10" s="37">
        <f t="shared" si="0"/>
        <v>15336.402996116602</v>
      </c>
      <c r="C10" s="33"/>
      <c r="D10" s="37">
        <f>IF(ISERROR(TER_ander_gas_kWh/1000),0,TER_ander_gas_kWh/1000)*0.903</f>
        <v>11189.196485191847</v>
      </c>
      <c r="E10" s="33">
        <f>$C$30*'E Balans VL '!I14/100/3.6*1000000</f>
        <v>198.82887500258747</v>
      </c>
      <c r="F10" s="33">
        <f>$C$30*('E Balans VL '!L14+'E Balans VL '!N14)/100/3.6*1000000</f>
        <v>14065.634819304198</v>
      </c>
      <c r="G10" s="34"/>
      <c r="H10" s="33"/>
      <c r="I10" s="33"/>
      <c r="J10" s="33">
        <f>$C$30*('E Balans VL '!D14+'E Balans VL '!E14)/100/3.6*1000000</f>
        <v>0.1551150195681617</v>
      </c>
      <c r="K10" s="33"/>
      <c r="L10" s="33"/>
      <c r="M10" s="33"/>
      <c r="N10" s="33">
        <f>$C$30*'E Balans VL '!Y14/100/3.6*1000000</f>
        <v>5865.323597812805</v>
      </c>
      <c r="O10" s="33"/>
      <c r="P10" s="33"/>
      <c r="R10" s="32"/>
    </row>
    <row r="11" spans="1:18">
      <c r="A11" s="32" t="s">
        <v>54</v>
      </c>
      <c r="B11" s="37">
        <f t="shared" si="0"/>
        <v>1066.5299787859801</v>
      </c>
      <c r="C11" s="33"/>
      <c r="D11" s="37">
        <f>IF(ISERROR(TER_onderwijs_gas_kWh/1000),0,TER_onderwijs_gas_kWh/1000)*0.903</f>
        <v>3319.9195447037714</v>
      </c>
      <c r="E11" s="33">
        <f>$C$31*'E Balans VL '!I11/100/3.6*1000000</f>
        <v>0</v>
      </c>
      <c r="F11" s="33">
        <f>$C$31*('E Balans VL '!L11+'E Balans VL '!N11)/100/3.6*1000000</f>
        <v>41.789490202509533</v>
      </c>
      <c r="G11" s="34"/>
      <c r="H11" s="33"/>
      <c r="I11" s="33"/>
      <c r="J11" s="33">
        <f>$C$31*('E Balans VL '!D11+'E Balans VL '!E11)/100/3.6*1000000</f>
        <v>0</v>
      </c>
      <c r="K11" s="33"/>
      <c r="L11" s="33"/>
      <c r="M11" s="33"/>
      <c r="N11" s="33">
        <f>$C$31*'E Balans VL '!Y11/100/3.6*1000000</f>
        <v>3.3587664137733459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energieproductie'!N57+'lokale energieproductie'!N50</f>
        <v>24194.43</v>
      </c>
      <c r="C13" s="243">
        <f ca="1">'lokale energieproductie'!O57+'lokale energieproductie'!O50</f>
        <v>34563.471428571429</v>
      </c>
      <c r="D13" s="304">
        <f ca="1">('lokale energieproductie'!P50+'lokale energieproductie'!P57)*(-1)</f>
        <v>-30889.800000000007</v>
      </c>
      <c r="E13" s="244"/>
      <c r="F13" s="304">
        <f ca="1">('lokale energieproductie'!S50+'lokale energieproductie'!S57)*(-1)</f>
        <v>0</v>
      </c>
      <c r="G13" s="245"/>
      <c r="H13" s="244"/>
      <c r="I13" s="244"/>
      <c r="J13" s="244"/>
      <c r="K13" s="244"/>
      <c r="L13" s="304">
        <f ca="1">('lokale energieproductie'!U50+'lokale energieproductie'!T50+'lokale energieproductie'!U57+'lokale energieproductie'!T57)*(-1)</f>
        <v>0</v>
      </c>
      <c r="M13" s="244"/>
      <c r="N13" s="304">
        <f ca="1">('lokale energieproductie'!Q50+'lokale energieproductie'!R50+'lokale energieproductie'!V50+'lokale energieproductie'!Q57+'lokale energieproductie'!R57+'lokale energieproductie'!V57)*(-1)</f>
        <v>-38237.142857142862</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177254.02124284967</v>
      </c>
      <c r="C16" s="21">
        <f t="shared" ca="1" si="1"/>
        <v>34563.471428571429</v>
      </c>
      <c r="D16" s="21">
        <f t="shared" ca="1" si="1"/>
        <v>82688.041684208772</v>
      </c>
      <c r="E16" s="21">
        <f t="shared" si="1"/>
        <v>380.45099363986299</v>
      </c>
      <c r="F16" s="21">
        <f t="shared" ca="1" si="1"/>
        <v>26199.159998975312</v>
      </c>
      <c r="G16" s="21">
        <f t="shared" si="1"/>
        <v>0</v>
      </c>
      <c r="H16" s="21">
        <f t="shared" si="1"/>
        <v>0</v>
      </c>
      <c r="I16" s="21">
        <f t="shared" si="1"/>
        <v>0</v>
      </c>
      <c r="J16" s="21">
        <f t="shared" si="1"/>
        <v>0.1551150195681617</v>
      </c>
      <c r="K16" s="21">
        <f t="shared" si="1"/>
        <v>0</v>
      </c>
      <c r="L16" s="21">
        <f t="shared" ca="1" si="1"/>
        <v>0</v>
      </c>
      <c r="M16" s="21">
        <f t="shared" si="1"/>
        <v>0</v>
      </c>
      <c r="N16" s="21">
        <f t="shared" ca="1" si="1"/>
        <v>0</v>
      </c>
      <c r="O16" s="21">
        <f>O5</f>
        <v>44.075346892570387</v>
      </c>
      <c r="P16" s="21">
        <f>P5</f>
        <v>1996.487255646811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5.774084540976393E-2</v>
      </c>
      <c r="C18" s="25">
        <f ca="1">'EF ele_warmte'!B22</f>
        <v>0.1663920359605747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10234.797038842395</v>
      </c>
      <c r="C20" s="23">
        <f t="shared" ref="C20:P20" ca="1" si="2">C16*C18</f>
        <v>5751.0863808651529</v>
      </c>
      <c r="D20" s="23">
        <f t="shared" ca="1" si="2"/>
        <v>16702.984420210174</v>
      </c>
      <c r="E20" s="23">
        <f t="shared" si="2"/>
        <v>86.362375556248907</v>
      </c>
      <c r="F20" s="23">
        <f t="shared" ca="1" si="2"/>
        <v>6995.1757197264087</v>
      </c>
      <c r="G20" s="23">
        <f t="shared" si="2"/>
        <v>0</v>
      </c>
      <c r="H20" s="23">
        <f t="shared" si="2"/>
        <v>0</v>
      </c>
      <c r="I20" s="23">
        <f t="shared" si="2"/>
        <v>0</v>
      </c>
      <c r="J20" s="23">
        <f t="shared" si="2"/>
        <v>5.491071692712924E-2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106831.21617358799</v>
      </c>
      <c r="C26" s="39">
        <f>IF(ISERROR(B26*3.6/1000000/'E Balans VL '!Z12*100),0,B26*3.6/1000000/'E Balans VL '!Z12*100)</f>
        <v>3.0649775386572804</v>
      </c>
      <c r="D26" s="233" t="s">
        <v>841</v>
      </c>
      <c r="F26" s="6"/>
    </row>
    <row r="27" spans="1:18" ht="30">
      <c r="A27" s="228" t="s">
        <v>52</v>
      </c>
      <c r="B27" s="33">
        <f>IF(ISERROR(TER_horeca_ele_kWh/1000),0,TER_horeca_ele_kWh/1000)</f>
        <v>6860.1796255086201</v>
      </c>
      <c r="C27" s="39">
        <f>IF(ISERROR(B27*3.6/1000000/'E Balans VL '!Z9*100),0,B27*3.6/1000000/'E Balans VL '!Z9*100)</f>
        <v>0.50257918811229718</v>
      </c>
      <c r="D27" s="233" t="s">
        <v>841</v>
      </c>
      <c r="F27" s="6"/>
    </row>
    <row r="28" spans="1:18" ht="30">
      <c r="A28" s="168" t="s">
        <v>51</v>
      </c>
      <c r="B28" s="33">
        <f>IF(ISERROR(TER_handel_ele_kWh/1000),0,TER_handel_ele_kWh/1000)</f>
        <v>19536.5171427887</v>
      </c>
      <c r="C28" s="39">
        <f>IF(ISERROR(B28*3.6/1000000/'E Balans VL '!Z13*100),0,B28*3.6/1000000/'E Balans VL '!Z13*100)</f>
        <v>0.60369485781366938</v>
      </c>
      <c r="D28" s="233" t="s">
        <v>841</v>
      </c>
      <c r="F28" s="6"/>
    </row>
    <row r="29" spans="1:18" ht="30">
      <c r="A29" s="228" t="s">
        <v>50</v>
      </c>
      <c r="B29" s="33">
        <f>IF(ISERROR(TER_gezond_ele_kWh/1000),0,TER_gezond_ele_kWh/1000)</f>
        <v>3428.7453260617499</v>
      </c>
      <c r="C29" s="39">
        <f>IF(ISERROR(B29*3.6/1000000/'E Balans VL '!Z10*100),0,B29*3.6/1000000/'E Balans VL '!Z10*100)</f>
        <v>0.33603812515476367</v>
      </c>
      <c r="D29" s="233" t="s">
        <v>841</v>
      </c>
      <c r="F29" s="6"/>
    </row>
    <row r="30" spans="1:18" ht="30">
      <c r="A30" s="228" t="s">
        <v>49</v>
      </c>
      <c r="B30" s="33">
        <f>IF(ISERROR(TER_ander_ele_kWh/1000),0,TER_ander_ele_kWh/1000)</f>
        <v>15336.402996116602</v>
      </c>
      <c r="C30" s="39">
        <f>IF(ISERROR(B30*3.6/1000000/'E Balans VL '!Z14*100),0,B30*3.6/1000000/'E Balans VL '!Z14*100)</f>
        <v>0.6352833565931536</v>
      </c>
      <c r="D30" s="233" t="s">
        <v>841</v>
      </c>
      <c r="F30" s="6"/>
    </row>
    <row r="31" spans="1:18" ht="30">
      <c r="A31" s="228" t="s">
        <v>54</v>
      </c>
      <c r="B31" s="33">
        <f>IF(ISERROR(TER_onderwijs_ele_kWh/1000),0,TER_onderwijs_ele_kWh/1000)</f>
        <v>1066.5299787859801</v>
      </c>
      <c r="C31" s="39">
        <f>IF(ISERROR(B31*3.6/1000000/'E Balans VL '!Z11*100),0,B31*3.6/1000000/'E Balans VL '!Z11*100)</f>
        <v>0.327712237175177</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9</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38</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83034.779560226161</v>
      </c>
      <c r="C5" s="17">
        <f>IF(ISERROR('Eigen informatie GS &amp; warmtenet'!B61),0,'Eigen informatie GS &amp; warmtenet'!B61)</f>
        <v>0</v>
      </c>
      <c r="D5" s="30">
        <f>SUM(D6:D15)</f>
        <v>62494.41284332487</v>
      </c>
      <c r="E5" s="17">
        <f>SUM(E6:E15)</f>
        <v>5522.439662998132</v>
      </c>
      <c r="F5" s="17">
        <f>SUM(F6:F15)</f>
        <v>9305.3702505553447</v>
      </c>
      <c r="G5" s="18"/>
      <c r="H5" s="17"/>
      <c r="I5" s="17"/>
      <c r="J5" s="17">
        <f>SUM(J6:J15)</f>
        <v>437.93306387503446</v>
      </c>
      <c r="K5" s="17"/>
      <c r="L5" s="17"/>
      <c r="M5" s="17"/>
      <c r="N5" s="17">
        <f>SUM(N6:N15)</f>
        <v>8218.0817953219994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5756.79625686299</v>
      </c>
      <c r="C8" s="33"/>
      <c r="D8" s="37">
        <f>IF( ISERROR(IND_metaal_Gas_kWH/1000),0,IND_metaal_Gas_kWH/1000)*0.903</f>
        <v>735.0751339212145</v>
      </c>
      <c r="E8" s="33">
        <f>C30*'E Balans VL '!I18/100/3.6*1000000</f>
        <v>31.381194211551325</v>
      </c>
      <c r="F8" s="33">
        <f>C30*'E Balans VL '!L18/100/3.6*1000000+C30*'E Balans VL '!N18/100/3.6*1000000</f>
        <v>370.7381186616268</v>
      </c>
      <c r="G8" s="34"/>
      <c r="H8" s="33"/>
      <c r="I8" s="33"/>
      <c r="J8" s="40">
        <f>C30*'E Balans VL '!D18/100/3.6*1000000+C30*'E Balans VL '!E18/100/3.6*1000000</f>
        <v>4.7155183392134523</v>
      </c>
      <c r="K8" s="33"/>
      <c r="L8" s="33"/>
      <c r="M8" s="33"/>
      <c r="N8" s="33">
        <f>C30*'E Balans VL '!Y18/100/3.6*1000000</f>
        <v>124.37177905641897</v>
      </c>
      <c r="O8" s="33"/>
      <c r="P8" s="33"/>
      <c r="R8" s="32"/>
    </row>
    <row r="9" spans="1:18">
      <c r="A9" s="6" t="s">
        <v>32</v>
      </c>
      <c r="B9" s="37">
        <f t="shared" si="0"/>
        <v>9738.6323791660507</v>
      </c>
      <c r="C9" s="33"/>
      <c r="D9" s="37">
        <f>IF( ISERROR(IND_andere_gas_kWh/1000),0,IND_andere_gas_kWh/1000)*0.903</f>
        <v>3902.8259959216148</v>
      </c>
      <c r="E9" s="33">
        <f>C31*'E Balans VL '!I19/100/3.6*1000000</f>
        <v>31.43796381445334</v>
      </c>
      <c r="F9" s="33">
        <f>C31*'E Balans VL '!L19/100/3.6*1000000+C31*'E Balans VL '!N19/100/3.6*1000000</f>
        <v>6297.0761452310808</v>
      </c>
      <c r="G9" s="34"/>
      <c r="H9" s="33"/>
      <c r="I9" s="33"/>
      <c r="J9" s="40">
        <f>C31*'E Balans VL '!D19/100/3.6*1000000+C31*'E Balans VL '!E19/100/3.6*1000000</f>
        <v>0</v>
      </c>
      <c r="K9" s="33"/>
      <c r="L9" s="33"/>
      <c r="M9" s="33"/>
      <c r="N9" s="33">
        <f>C31*'E Balans VL '!Y19/100/3.6*1000000</f>
        <v>393.52688533515658</v>
      </c>
      <c r="O9" s="33"/>
      <c r="P9" s="33"/>
      <c r="R9" s="32"/>
    </row>
    <row r="10" spans="1:18">
      <c r="A10" s="6" t="s">
        <v>40</v>
      </c>
      <c r="B10" s="37">
        <f t="shared" si="0"/>
        <v>27649.342855084</v>
      </c>
      <c r="C10" s="33"/>
      <c r="D10" s="37">
        <f>IF( ISERROR(IND_voed_gas_kWh/1000),0,IND_voed_gas_kWh/1000)*0.903</f>
        <v>33836.34383843626</v>
      </c>
      <c r="E10" s="33">
        <f>C32*'E Balans VL '!I20/100/3.6*1000000</f>
        <v>57.959798747123138</v>
      </c>
      <c r="F10" s="33">
        <f>C32*'E Balans VL '!L20/100/3.6*1000000+C32*'E Balans VL '!N20/100/3.6*1000000</f>
        <v>538.70475154939572</v>
      </c>
      <c r="G10" s="34"/>
      <c r="H10" s="33"/>
      <c r="I10" s="33"/>
      <c r="J10" s="40">
        <f>C32*'E Balans VL '!D20/100/3.6*1000000+C32*'E Balans VL '!E20/100/3.6*1000000</f>
        <v>0</v>
      </c>
      <c r="K10" s="33"/>
      <c r="L10" s="33"/>
      <c r="M10" s="33"/>
      <c r="N10" s="33">
        <f>C32*'E Balans VL '!Y20/100/3.6*1000000</f>
        <v>1099.8142035624167</v>
      </c>
      <c r="O10" s="33"/>
      <c r="P10" s="33"/>
      <c r="R10" s="32"/>
    </row>
    <row r="11" spans="1:18">
      <c r="A11" s="6" t="s">
        <v>39</v>
      </c>
      <c r="B11" s="37">
        <f t="shared" si="0"/>
        <v>36.749882096830902</v>
      </c>
      <c r="C11" s="33"/>
      <c r="D11" s="37">
        <f>IF( ISERROR(IND_textiel_gas_kWh/1000),0,IND_textiel_gas_kWh/1000)*0.903</f>
        <v>90.078178910954335</v>
      </c>
      <c r="E11" s="33">
        <f>C33*'E Balans VL '!I21/100/3.6*1000000</f>
        <v>3.1578068966905105E-2</v>
      </c>
      <c r="F11" s="33">
        <f>C33*'E Balans VL '!L21/100/3.6*1000000+C33*'E Balans VL '!N21/100/3.6*1000000</f>
        <v>0.77049942020656437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11989.1558740495</v>
      </c>
      <c r="C12" s="33"/>
      <c r="D12" s="37">
        <f>IF( ISERROR(IND_min_gas_kWh/1000),0,IND_min_gas_kWh/1000)*0.903</f>
        <v>23072.959916113366</v>
      </c>
      <c r="E12" s="33">
        <f>C34*'E Balans VL '!I22/100/3.6*1000000</f>
        <v>196.20324187463106</v>
      </c>
      <c r="F12" s="33">
        <f>C34*'E Balans VL '!L22/100/3.6*1000000+C34*'E Balans VL '!N22/100/3.6*1000000</f>
        <v>1829.9567529182341</v>
      </c>
      <c r="G12" s="34"/>
      <c r="H12" s="33"/>
      <c r="I12" s="33"/>
      <c r="J12" s="40">
        <f>C34*'E Balans VL '!D22/100/3.6*1000000+C34*'E Balans VL '!E22/100/3.6*1000000</f>
        <v>429.05071378388197</v>
      </c>
      <c r="K12" s="33"/>
      <c r="L12" s="33"/>
      <c r="M12" s="33"/>
      <c r="N12" s="33">
        <f>C34*'E Balans VL '!Y22/100/3.6*1000000</f>
        <v>6570.3118751866687</v>
      </c>
      <c r="O12" s="33"/>
      <c r="P12" s="33"/>
      <c r="R12" s="32"/>
    </row>
    <row r="13" spans="1:18">
      <c r="A13" s="6" t="s">
        <v>38</v>
      </c>
      <c r="B13" s="37">
        <f t="shared" si="0"/>
        <v>2450.6679984063999</v>
      </c>
      <c r="C13" s="33"/>
      <c r="D13" s="37">
        <f>IF( ISERROR(IND_papier_gas_kWh/1000),0,IND_papier_gas_kWh/1000)*0.903</f>
        <v>857.12978002145678</v>
      </c>
      <c r="E13" s="33">
        <f>C35*'E Balans VL '!I23/100/3.6*1000000</f>
        <v>0</v>
      </c>
      <c r="F13" s="33">
        <f>C35*'E Balans VL '!L23/100/3.6*1000000+C35*'E Balans VL '!N23/100/3.6*1000000</f>
        <v>0.32827470452215357</v>
      </c>
      <c r="G13" s="34"/>
      <c r="H13" s="33"/>
      <c r="I13" s="33"/>
      <c r="J13" s="40">
        <f>C35*'E Balans VL '!D23/100/3.6*1000000+C35*'E Balans VL '!E23/100/3.6*1000000</f>
        <v>0.48475754961582912</v>
      </c>
      <c r="K13" s="33"/>
      <c r="L13" s="33"/>
      <c r="M13" s="33"/>
      <c r="N13" s="33">
        <f>C35*'E Balans VL '!Y23/100/3.6*1000000</f>
        <v>0</v>
      </c>
      <c r="O13" s="33"/>
      <c r="P13" s="33"/>
      <c r="R13" s="32"/>
    </row>
    <row r="14" spans="1:18">
      <c r="A14" s="6" t="s">
        <v>33</v>
      </c>
      <c r="B14" s="37">
        <f t="shared" si="0"/>
        <v>24735.2757132267</v>
      </c>
      <c r="C14" s="33"/>
      <c r="D14" s="37">
        <f>IF( ISERROR(IND_chemie_gas_kWh/1000),0,IND_chemie_gas_kWh/1000)*0.903</f>
        <v>0</v>
      </c>
      <c r="E14" s="33">
        <f>C36*'E Balans VL '!I24/100/3.6*1000000</f>
        <v>5165.5010017558261</v>
      </c>
      <c r="F14" s="33">
        <f>C36*'E Balans VL '!L24/100/3.6*1000000+C36*'E Balans VL '!N24/100/3.6*1000000</f>
        <v>164.3402194462997</v>
      </c>
      <c r="G14" s="34"/>
      <c r="H14" s="33"/>
      <c r="I14" s="33"/>
      <c r="J14" s="40">
        <f>C36*'E Balans VL '!D24/100/3.6*1000000+C36*'E Balans VL '!E24/100/3.6*1000000</f>
        <v>0</v>
      </c>
      <c r="K14" s="33"/>
      <c r="L14" s="33"/>
      <c r="M14" s="33"/>
      <c r="N14" s="33">
        <f>C36*'E Balans VL '!Y24/100/3.6*1000000</f>
        <v>8.6314559135132978</v>
      </c>
      <c r="O14" s="33"/>
      <c r="P14" s="33"/>
      <c r="R14" s="32"/>
    </row>
    <row r="15" spans="1:18">
      <c r="A15" s="6" t="s">
        <v>265</v>
      </c>
      <c r="B15" s="37">
        <f t="shared" si="0"/>
        <v>678.15860133367994</v>
      </c>
      <c r="C15" s="33"/>
      <c r="D15" s="37">
        <f>IF( ISERROR(IND_rest_gas_kWh/1000),0,IND_rest_gas_kWh/1000)*0.903</f>
        <v>0</v>
      </c>
      <c r="E15" s="33">
        <f>C37*'E Balans VL '!I15/100/3.6*1000000</f>
        <v>39.92488452557977</v>
      </c>
      <c r="F15" s="33">
        <f>C37*'E Balans VL '!L15/100/3.6*1000000+C37*'E Balans VL '!N15/100/3.6*1000000</f>
        <v>103.45548862397871</v>
      </c>
      <c r="G15" s="34"/>
      <c r="H15" s="33"/>
      <c r="I15" s="33"/>
      <c r="J15" s="40">
        <f>C37*'E Balans VL '!D15/100/3.6*1000000+C37*'E Balans VL '!E15/100/3.6*1000000</f>
        <v>3.6820742023232049</v>
      </c>
      <c r="K15" s="33"/>
      <c r="L15" s="33"/>
      <c r="M15" s="33"/>
      <c r="N15" s="33">
        <f>C37*'E Balans VL '!Y15/100/3.6*1000000</f>
        <v>21.425596267824456</v>
      </c>
      <c r="O15" s="33"/>
      <c r="P15" s="33"/>
      <c r="R15" s="32"/>
    </row>
    <row r="16" spans="1:18">
      <c r="A16" s="16" t="s">
        <v>473</v>
      </c>
      <c r="B16" s="243">
        <f>'lokale energieproductie'!N56+'lokale energieproductie'!N49</f>
        <v>48271.5</v>
      </c>
      <c r="C16" s="243">
        <f>'lokale energieproductie'!O56+'lokale energieproductie'!O49</f>
        <v>68959.285714285725</v>
      </c>
      <c r="D16" s="304">
        <f>('lokale energieproductie'!P49+'lokale energieproductie'!P56)*(-1)</f>
        <v>-122631.42857142858</v>
      </c>
      <c r="E16" s="244"/>
      <c r="F16" s="304">
        <f>('lokale energieproductie'!S49+'lokale energieproductie'!S56)*(-1)</f>
        <v>0</v>
      </c>
      <c r="G16" s="245"/>
      <c r="H16" s="244"/>
      <c r="I16" s="244"/>
      <c r="J16" s="244"/>
      <c r="K16" s="244"/>
      <c r="L16" s="304">
        <f>('lokale energieproductie'!T49+'lokale energieproductie'!U49+'lokale energieproductie'!T56+'lokale energieproductie'!U56)*(-1)</f>
        <v>0</v>
      </c>
      <c r="M16" s="244"/>
      <c r="N16" s="304">
        <f>('lokale energieproductie'!Q49+'lokale energieproductie'!R49+'lokale energieproductie'!V49+'lokale energieproductie'!Q56+'lokale energieproductie'!R56+'lokale energieproductie'!V56)*(-1)</f>
        <v>-15287.142857142859</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131306.27956022616</v>
      </c>
      <c r="C18" s="21">
        <f>C5+C16</f>
        <v>68959.285714285725</v>
      </c>
      <c r="D18" s="21">
        <f>MAX((D5+D16),0)</f>
        <v>0</v>
      </c>
      <c r="E18" s="21">
        <f>MAX((E5+E16),0)</f>
        <v>5522.439662998132</v>
      </c>
      <c r="F18" s="21">
        <f>MAX((F5+F16),0)</f>
        <v>9305.3702505553447</v>
      </c>
      <c r="G18" s="21"/>
      <c r="H18" s="21"/>
      <c r="I18" s="21"/>
      <c r="J18" s="21">
        <f>MAX((J5+J16),0)</f>
        <v>437.93306387503446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5.774084540976393E-2</v>
      </c>
      <c r="C20" s="25">
        <f ca="1">'EF ele_warmte'!B22</f>
        <v>0.1663920359605747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7581.7355894182638</v>
      </c>
      <c r="C22" s="23">
        <f ca="1">C18*C20</f>
        <v>11474.275948386976</v>
      </c>
      <c r="D22" s="23">
        <f>D18*D20</f>
        <v>0</v>
      </c>
      <c r="E22" s="23">
        <f>E18*E20</f>
        <v>1253.5938035005761</v>
      </c>
      <c r="F22" s="23">
        <f>F18*F20</f>
        <v>2484.533856898277</v>
      </c>
      <c r="G22" s="23"/>
      <c r="H22" s="23"/>
      <c r="I22" s="23"/>
      <c r="J22" s="23">
        <f>J18*J20</f>
        <v>155.0283046117622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5756.79625686299</v>
      </c>
      <c r="C30" s="39">
        <f>IF(ISERROR(B30*3.6/1000000/'E Balans VL '!Z18*100),0,B30*3.6/1000000/'E Balans VL '!Z18*100)</f>
        <v>0.34665848521887854</v>
      </c>
      <c r="D30" s="233" t="s">
        <v>841</v>
      </c>
    </row>
    <row r="31" spans="1:18" ht="30">
      <c r="A31" s="6" t="s">
        <v>32</v>
      </c>
      <c r="B31" s="37">
        <f>IF( ISERROR(IND_ander_ele_kWh/1000),0,IND_ander_ele_kWh/1000)</f>
        <v>9738.6323791660507</v>
      </c>
      <c r="C31" s="39">
        <f>IF(ISERROR(B31*3.6/1000000/'E Balans VL '!Z19*100),0,B31*3.6/1000000/'E Balans VL '!Z19*100)</f>
        <v>0.39677204441643676</v>
      </c>
      <c r="D31" s="233" t="s">
        <v>841</v>
      </c>
    </row>
    <row r="32" spans="1:18" ht="30">
      <c r="A32" s="168" t="s">
        <v>40</v>
      </c>
      <c r="B32" s="37">
        <f>IF( ISERROR(IND_voed_ele_kWh/1000),0,IND_voed_ele_kWh/1000)</f>
        <v>27649.342855084</v>
      </c>
      <c r="C32" s="39">
        <f>IF(ISERROR(B32*3.6/1000000/'E Balans VL '!Z20*100),0,B32*3.6/1000000/'E Balans VL '!Z20*100)</f>
        <v>0.79945377121047578</v>
      </c>
      <c r="D32" s="233" t="s">
        <v>841</v>
      </c>
    </row>
    <row r="33" spans="1:5" ht="30">
      <c r="A33" s="168" t="s">
        <v>39</v>
      </c>
      <c r="B33" s="37">
        <f>IF( ISERROR(IND_textiel_ele_kWh/1000),0,IND_textiel_ele_kWh/1000)</f>
        <v>36.749882096830902</v>
      </c>
      <c r="C33" s="39">
        <f>IF(ISERROR(B33*3.6/1000000/'E Balans VL '!Z21*100),0,B33*3.6/1000000/'E Balans VL '!Z21*100)</f>
        <v>6.0436495630440392E-3</v>
      </c>
      <c r="D33" s="233" t="s">
        <v>841</v>
      </c>
    </row>
    <row r="34" spans="1:5" ht="30">
      <c r="A34" s="168" t="s">
        <v>36</v>
      </c>
      <c r="B34" s="37">
        <f>IF( ISERROR(IND_min_ele_kWh/1000),0,IND_min_ele_kWh/1000)</f>
        <v>11989.1558740495</v>
      </c>
      <c r="C34" s="39">
        <f>IF(ISERROR(B34*3.6/1000000/'E Balans VL '!Z22*100),0,B34*3.6/1000000/'E Balans VL '!Z22*100)</f>
        <v>5.1192581520017679</v>
      </c>
      <c r="D34" s="233" t="s">
        <v>841</v>
      </c>
    </row>
    <row r="35" spans="1:5" ht="30">
      <c r="A35" s="168" t="s">
        <v>38</v>
      </c>
      <c r="B35" s="37">
        <f>IF( ISERROR(IND_papier_ele_kWh/1000),0,IND_papier_ele_kWh/1000)</f>
        <v>2450.6679984063999</v>
      </c>
      <c r="C35" s="39">
        <f>IF(ISERROR(B35*3.6/1000000/'E Balans VL '!Z22*100),0,B35*3.6/1000000/'E Balans VL '!Z22*100)</f>
        <v>1.0464124631031568</v>
      </c>
      <c r="D35" s="233" t="s">
        <v>841</v>
      </c>
    </row>
    <row r="36" spans="1:5" ht="30">
      <c r="A36" s="168" t="s">
        <v>33</v>
      </c>
      <c r="B36" s="37">
        <f>IF( ISERROR(IND_chemie_ele_kWh/1000),0,IND_chemie_ele_kWh/1000)</f>
        <v>24735.2757132267</v>
      </c>
      <c r="C36" s="39">
        <f>IF(ISERROR(B36*3.6/1000000/'E Balans VL '!Z24*100),0,B36*3.6/1000000/'E Balans VL '!Z24*100)</f>
        <v>0.75056138378376913</v>
      </c>
      <c r="D36" s="233" t="s">
        <v>841</v>
      </c>
    </row>
    <row r="37" spans="1:5" ht="30">
      <c r="A37" s="168" t="s">
        <v>265</v>
      </c>
      <c r="B37" s="37">
        <f>IF( ISERROR(IND_rest_ele_kWh/1000),0,IND_rest_ele_kWh/1000)</f>
        <v>678.15860133367994</v>
      </c>
      <c r="C37" s="39">
        <f>IF(ISERROR(B37*3.6/1000000/'E Balans VL '!Z15*100),0,B37*3.6/1000000/'E Balans VL '!Z15*100)</f>
        <v>5.5681957689028682E-3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11328.503280860201</v>
      </c>
      <c r="C5" s="17">
        <f>'Eigen informatie GS &amp; warmtenet'!B62</f>
        <v>0</v>
      </c>
      <c r="D5" s="30">
        <f>IF(ISERROR(SUM(LB_lb_gas_kWh,LB_rest_gas_kWh)/1000),0,SUM(LB_lb_gas_kWh,LB_rest_gas_kWh)/1000)*0.903</f>
        <v>147519.27614982764</v>
      </c>
      <c r="E5" s="17">
        <f>B17*'E Balans VL '!I25/3.6*1000000/100</f>
        <v>324.46750530126536</v>
      </c>
      <c r="F5" s="17">
        <f>B17*('E Balans VL '!L25/3.6*1000000+'E Balans VL '!N25/3.6*1000000)/100</f>
        <v>35860.189503652808</v>
      </c>
      <c r="G5" s="18"/>
      <c r="H5" s="17"/>
      <c r="I5" s="17"/>
      <c r="J5" s="17">
        <f>('E Balans VL '!D25+'E Balans VL '!E25)/3.6*1000000*landbouw!B17/100</f>
        <v>2880.4826422219853</v>
      </c>
      <c r="K5" s="17"/>
      <c r="L5" s="17">
        <f>L6*(-1)</f>
        <v>0</v>
      </c>
      <c r="M5" s="17"/>
      <c r="N5" s="17">
        <f>N6*(-1)</f>
        <v>86421.857142857159</v>
      </c>
      <c r="O5" s="17"/>
      <c r="P5" s="17"/>
      <c r="R5" s="32"/>
    </row>
    <row r="6" spans="1:18">
      <c r="A6" s="16" t="s">
        <v>473</v>
      </c>
      <c r="B6" s="17" t="s">
        <v>210</v>
      </c>
      <c r="C6" s="17">
        <f>'lokale energieproductie'!O58+'lokale energieproductie'!O51</f>
        <v>129848.78571428571</v>
      </c>
      <c r="D6" s="304">
        <f>('lokale energieproductie'!P51+'lokale energieproductie'!P58)*(-1)</f>
        <v>-173275.71428571432</v>
      </c>
      <c r="E6" s="244"/>
      <c r="F6" s="304">
        <f>('lokale energieproductie'!S51+'lokale energieproductie'!S58)*(-1)</f>
        <v>0</v>
      </c>
      <c r="G6" s="245"/>
      <c r="H6" s="244"/>
      <c r="I6" s="244"/>
      <c r="J6" s="244"/>
      <c r="K6" s="244"/>
      <c r="L6" s="304">
        <f>('lokale energieproductie'!T51+'lokale energieproductie'!U51+'lokale energieproductie'!T58+'lokale energieproductie'!U58)*(-1)</f>
        <v>0</v>
      </c>
      <c r="M6" s="244"/>
      <c r="N6" s="304">
        <f>('lokale energieproductie'!V51+'lokale energieproductie'!R51+'lokale energieproductie'!Q51+'lokale energieproductie'!Q58+'lokale energieproductie'!R58+'lokale energieproductie'!V58)*(-1)</f>
        <v>-86421.857142857159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11328.503280860201</v>
      </c>
      <c r="C8" s="21">
        <f>C5+C6</f>
        <v>129848.78571428571</v>
      </c>
      <c r="D8" s="21">
        <f>MAX((D5+D6),0)</f>
        <v>0</v>
      </c>
      <c r="E8" s="21">
        <f>MAX((E5+E6),0)</f>
        <v>324.46750530126536</v>
      </c>
      <c r="F8" s="21">
        <f>MAX((F5+F6),0)</f>
        <v>35860.189503652808</v>
      </c>
      <c r="G8" s="21"/>
      <c r="H8" s="21"/>
      <c r="I8" s="21"/>
      <c r="J8" s="21">
        <f>MAX((J5+J6),0)</f>
        <v>2880.4826422219853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5.774084540976393E-2</v>
      </c>
      <c r="C10" s="31">
        <f ca="1">'EF ele_warmte'!B22</f>
        <v>0.1663920359605747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654.11735666415234</v>
      </c>
      <c r="C12" s="23">
        <f ca="1">C8*C10</f>
        <v>21605.803822008387</v>
      </c>
      <c r="D12" s="23">
        <f>D8*D10</f>
        <v>0</v>
      </c>
      <c r="E12" s="23">
        <f>E8*E10</f>
        <v>73.654123703387242</v>
      </c>
      <c r="F12" s="23">
        <f>F8*F10</f>
        <v>9574.6705974753004</v>
      </c>
      <c r="G12" s="23"/>
      <c r="H12" s="23"/>
      <c r="I12" s="23"/>
      <c r="J12" s="23">
        <f>J8*J10</f>
        <v>1019.6908553465828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1.568740711640735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849.95496552550981</v>
      </c>
      <c r="C26" s="243">
        <f>B26*'GWP N2O_CH4'!B5</f>
        <v>17849.054276035706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408.47574176850037</v>
      </c>
      <c r="C27" s="243">
        <f>B27*'GWP N2O_CH4'!B5</f>
        <v>8577.9905771385074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13.223677304012154</v>
      </c>
      <c r="C28" s="243">
        <f>B28*'GWP N2O_CH4'!B4</f>
        <v>4099.339964243768</v>
      </c>
      <c r="D28" s="50"/>
    </row>
    <row r="29" spans="1:4">
      <c r="A29" s="41" t="s">
        <v>272</v>
      </c>
      <c r="B29" s="243">
        <f>B34*'ha_N2O bodem landbouw'!B4</f>
        <v>44.773770052122998</v>
      </c>
      <c r="C29" s="243">
        <f>B29*'GWP N2O_CH4'!B4</f>
        <v>13879.868716158129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1.0171799227246396E-2</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6.2680366488549865E-3</v>
      </c>
      <c r="C5" s="434" t="s">
        <v>210</v>
      </c>
      <c r="D5" s="419">
        <f>SUM(D6:D11)</f>
        <v>1.069172607866945E-2</v>
      </c>
      <c r="E5" s="419">
        <f>SUM(E6:E11)</f>
        <v>4.5045503631022197E-3</v>
      </c>
      <c r="F5" s="432" t="s">
        <v>210</v>
      </c>
      <c r="G5" s="419">
        <f>SUM(G6:G11)</f>
        <v>3.0591583756936394</v>
      </c>
      <c r="H5" s="419">
        <f>SUM(H6:H11)</f>
        <v>0.53187995762065354</v>
      </c>
      <c r="I5" s="434" t="s">
        <v>210</v>
      </c>
      <c r="J5" s="434" t="s">
        <v>210</v>
      </c>
      <c r="K5" s="434" t="s">
        <v>210</v>
      </c>
      <c r="L5" s="434" t="s">
        <v>210</v>
      </c>
      <c r="M5" s="419">
        <f>SUM(M6:M11)</f>
        <v>0.21335673249277753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1.991944527250311E-3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3.3211417565600595E-3</v>
      </c>
      <c r="E6" s="886">
        <f>vkm_GW_PW*SUMIFS(TableVerdeelsleutelVkm[LPG],TableVerdeelsleutelVkm[Voertuigtype],"Lichte voertuigen")*SUMIFS(TableECFTransport[EnergieConsumptieFactor (PJ per km)],TableECFTransport[Index],CONCATENATE($A6,"_LPG_LPG"))</f>
        <v>1.3166976283996385E-3</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0.39570071335817969</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0.16287460455724642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3.4266948465910781E-2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1.313949237813585E-5</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0.52085775983236771</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3.8431763514264135E-6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2.9906771723996958E-2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1.5835507954266514E-3</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3.6159641634856744E-3</v>
      </c>
      <c r="E8" s="422">
        <f>vkm_NGW_PW*SUMIFS(TableVerdeelsleutelVkm[LPG],TableVerdeelsleutelVkm[Voertuigtype],"Lichte voertuigen")*SUMIFS(TableECFTransport[EnergieConsumptieFactor (PJ per km)],TableECFTransport[Index],CONCATENATE($A8,"_LPG_LPG"))</f>
        <v>1.3726386126272647E-3</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0.37786006918257398</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0.17567741246837562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3.4150209240568649E-2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8.6057529698733331E-6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0.4393048995040002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3.0382048148838084E-6</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2.5224129994016256E-2</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2.6485329435346019E-3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3.7546201586237163E-3</v>
      </c>
      <c r="E10" s="422">
        <f>vkm_SW_PW*SUMIFS(TableVerdeelsleutelVkm[LPG],TableVerdeelsleutelVkm[Voertuigtype],"Lichte voertuigen")*SUMIFS(TableECFTransport[EnergieConsumptieFactor (PJ per km)],TableECFTransport[Index],CONCATENATE($A10,"_LPG_LPG"))</f>
        <v>1.8152141220753168E-3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0.49491266183659582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0.19331435684184572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4.2121448028793078E-2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2.2263137295412449E-5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0.83052227197992201</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6.7023720194953828E-6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4.7687225039491805E-2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1741.1212913486074</v>
      </c>
      <c r="C14" s="21"/>
      <c r="D14" s="21">
        <f t="shared" ref="D14:M14" si="0">((D5)*10^9/3600)+D12</f>
        <v>2969.9239107415137</v>
      </c>
      <c r="E14" s="21">
        <f t="shared" si="0"/>
        <v>1251.2639897506167</v>
      </c>
      <c r="F14" s="21"/>
      <c r="G14" s="21">
        <f t="shared" si="0"/>
        <v>849766.21547045535</v>
      </c>
      <c r="H14" s="21">
        <f t="shared" si="0"/>
        <v>147744.43267240378</v>
      </c>
      <c r="I14" s="21"/>
      <c r="J14" s="21"/>
      <c r="K14" s="21"/>
      <c r="L14" s="21"/>
      <c r="M14" s="21">
        <f t="shared" si="0"/>
        <v>59265.759025771535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5.774084540976393E-2</v>
      </c>
      <c r="C16" s="56">
        <f ca="1">'EF ele_warmte'!B22</f>
        <v>0.1663920359605747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100.53381532340849</v>
      </c>
      <c r="C18" s="23"/>
      <c r="D18" s="23">
        <f t="shared" ref="D18:M18" si="1">D14*D16</f>
        <v>599.92462996978577</v>
      </c>
      <c r="E18" s="23">
        <f t="shared" si="1"/>
        <v>284.03692567338999</v>
      </c>
      <c r="F18" s="23"/>
      <c r="G18" s="23">
        <f t="shared" si="1"/>
        <v>226887.57953061161</v>
      </c>
      <c r="H18" s="23">
        <f t="shared" si="1"/>
        <v>36788.363735428538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1.8272039190345645E-4</v>
      </c>
      <c r="C50" s="315">
        <f t="shared" ref="C50:P50" si="2">SUM(C51:C52)</f>
        <v>0</v>
      </c>
      <c r="D50" s="315">
        <f t="shared" si="2"/>
        <v>0</v>
      </c>
      <c r="E50" s="315">
        <f t="shared" si="2"/>
        <v>0</v>
      </c>
      <c r="F50" s="315">
        <f t="shared" si="2"/>
        <v>0</v>
      </c>
      <c r="G50" s="315">
        <f t="shared" si="2"/>
        <v>1.1438848935589337E-2</v>
      </c>
      <c r="H50" s="315">
        <f t="shared" si="2"/>
        <v>0</v>
      </c>
      <c r="I50" s="315">
        <f t="shared" si="2"/>
        <v>0</v>
      </c>
      <c r="J50" s="315">
        <f t="shared" si="2"/>
        <v>0</v>
      </c>
      <c r="K50" s="315">
        <f t="shared" si="2"/>
        <v>0</v>
      </c>
      <c r="L50" s="315">
        <f t="shared" si="2"/>
        <v>0</v>
      </c>
      <c r="M50" s="315">
        <f t="shared" si="2"/>
        <v>6.5679337760653591E-4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1.8272039190345645E-4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1.1438848935589337E-2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6.5679337760653591E-4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50.755664417626789</v>
      </c>
      <c r="C54" s="21">
        <f t="shared" ref="C54:P54" si="3">(C50)*10^9/3600</f>
        <v>0</v>
      </c>
      <c r="D54" s="21">
        <f t="shared" si="3"/>
        <v>0</v>
      </c>
      <c r="E54" s="21">
        <f t="shared" si="3"/>
        <v>0</v>
      </c>
      <c r="F54" s="21">
        <f t="shared" si="3"/>
        <v>0</v>
      </c>
      <c r="G54" s="21">
        <f t="shared" si="3"/>
        <v>3177.4580376637045</v>
      </c>
      <c r="H54" s="21">
        <f t="shared" si="3"/>
        <v>0</v>
      </c>
      <c r="I54" s="21">
        <f t="shared" si="3"/>
        <v>0</v>
      </c>
      <c r="J54" s="21">
        <f t="shared" si="3"/>
        <v>0</v>
      </c>
      <c r="K54" s="21">
        <f t="shared" si="3"/>
        <v>0</v>
      </c>
      <c r="L54" s="21">
        <f t="shared" si="3"/>
        <v>0</v>
      </c>
      <c r="M54" s="21">
        <f t="shared" si="3"/>
        <v>182.44260489070442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5.774084540976393E-2</v>
      </c>
      <c r="C56" s="56">
        <f ca="1">'EF ele_warmte'!B22</f>
        <v>0.1663920359605747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2.9306749728080441</v>
      </c>
      <c r="C58" s="23">
        <f t="shared" ref="C58:P58" ca="1" si="4">C54*C56</f>
        <v>0</v>
      </c>
      <c r="D58" s="23">
        <f t="shared" si="4"/>
        <v>0</v>
      </c>
      <c r="E58" s="23">
        <f t="shared" si="4"/>
        <v>0</v>
      </c>
      <c r="F58" s="23">
        <f t="shared" si="4"/>
        <v>0</v>
      </c>
      <c r="G58" s="23">
        <f t="shared" si="4"/>
        <v>848.38129605620918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70"/>
  <sheetViews>
    <sheetView showGridLines="0" zoomScale="65" zoomScaleNormal="65" workbookViewId="0">
      <selection activeCell="M47" sqref="M47"/>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254800.9321326249</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52594.414342061376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N48</f>
        <v>163360.07999999999</v>
      </c>
      <c r="C8" s="545">
        <f>B67</f>
        <v>134563.44705882351</v>
      </c>
      <c r="D8" s="546"/>
      <c r="E8" s="546">
        <f>E67</f>
        <v>0</v>
      </c>
      <c r="F8" s="547"/>
      <c r="G8" s="548"/>
      <c r="H8" s="546">
        <f>I67</f>
        <v>0</v>
      </c>
      <c r="I8" s="546">
        <f>G67+F67</f>
        <v>0</v>
      </c>
      <c r="J8" s="546">
        <f>H67+D67+C67</f>
        <v>57624.882352941167</v>
      </c>
      <c r="K8" s="546"/>
      <c r="L8" s="546"/>
      <c r="M8" s="546"/>
      <c r="N8" s="549"/>
      <c r="O8" s="550">
        <f>C8*$C$12+D8*$D$12+E8*$E$12+F8*$F$12+G8*$G$12+H8*$H$12+I8*$I$12+J8*$J$12</f>
        <v>27181.816305882352</v>
      </c>
      <c r="P8" s="1285"/>
      <c r="Q8" s="1286"/>
      <c r="S8" s="540"/>
      <c r="T8" s="1282"/>
      <c r="U8" s="1282"/>
    </row>
    <row r="9" spans="1:21" s="531" customFormat="1" ht="17.45" customHeight="1" thickBot="1">
      <c r="A9" s="551" t="s">
        <v>243</v>
      </c>
      <c r="B9" s="552">
        <f>N55+'Eigen informatie GS &amp; warmtenet'!B12</f>
        <v>0</v>
      </c>
      <c r="C9" s="553">
        <f>P55+IF(ISERROR(('Eigen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S55+IF(ISERROR('Eigen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W55+IF(ISERROR('Eigen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(T55+U55)+IF(ISERROR('Eigen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V55+Q55+R55+IF(ISERROR('Eigen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470755.42647468625</v>
      </c>
      <c r="C10" s="560">
        <f t="shared" ref="C10:L10" si="0">SUM(C8:C9)</f>
        <v>134563.44705882351</v>
      </c>
      <c r="D10" s="560">
        <f t="shared" si="0"/>
        <v>0</v>
      </c>
      <c r="E10" s="560">
        <f t="shared" si="0"/>
        <v>0</v>
      </c>
      <c r="F10" s="560">
        <f t="shared" si="0"/>
        <v>0</v>
      </c>
      <c r="G10" s="560">
        <f t="shared" si="0"/>
        <v>0</v>
      </c>
      <c r="H10" s="560">
        <f t="shared" si="0"/>
        <v>0</v>
      </c>
      <c r="I10" s="560">
        <f t="shared" si="0"/>
        <v>0</v>
      </c>
      <c r="J10" s="560">
        <f t="shared" si="0"/>
        <v>57624.882352941167</v>
      </c>
      <c r="K10" s="560">
        <f t="shared" si="0"/>
        <v>0</v>
      </c>
      <c r="L10" s="560">
        <f t="shared" si="0"/>
        <v>0</v>
      </c>
      <c r="M10" s="961"/>
      <c r="N10" s="961"/>
      <c r="O10" s="561">
        <f>SUM(O4:O9)</f>
        <v>27181.816305882352</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O48</f>
        <v>233371.54285714289</v>
      </c>
      <c r="C17" s="576">
        <f>B68</f>
        <v>192233.49579831935</v>
      </c>
      <c r="D17" s="577"/>
      <c r="E17" s="577">
        <f>E68</f>
        <v>0</v>
      </c>
      <c r="F17" s="578"/>
      <c r="G17" s="579"/>
      <c r="H17" s="576">
        <f>I68</f>
        <v>0</v>
      </c>
      <c r="I17" s="577">
        <f>G68+F68</f>
        <v>0</v>
      </c>
      <c r="J17" s="577">
        <f>H68+D68+C68</f>
        <v>82321.260504201695</v>
      </c>
      <c r="K17" s="577"/>
      <c r="L17" s="577"/>
      <c r="M17" s="577"/>
      <c r="N17" s="962"/>
      <c r="O17" s="580">
        <f>C17*$C$22+E17*$E$22+H17*$H$22+I17*$I$22+J17*$J$22+D17*$D$22+F17*$F$22+G17*$G$22+K17*$K$22+L17*$L$22</f>
        <v>38831.166151260513</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233371.54285714289</v>
      </c>
      <c r="C20" s="559">
        <f>SUM(C17:C19)</f>
        <v>192233.49579831935</v>
      </c>
      <c r="D20" s="559">
        <f t="shared" ref="D20:L20" si="1">SUM(D17:D19)</f>
        <v>0</v>
      </c>
      <c r="E20" s="559">
        <f t="shared" si="1"/>
        <v>0</v>
      </c>
      <c r="F20" s="559">
        <f t="shared" si="1"/>
        <v>0</v>
      </c>
      <c r="G20" s="559">
        <f t="shared" si="1"/>
        <v>0</v>
      </c>
      <c r="H20" s="559">
        <f t="shared" si="1"/>
        <v>0</v>
      </c>
      <c r="I20" s="559">
        <f t="shared" si="1"/>
        <v>0</v>
      </c>
      <c r="J20" s="559">
        <f t="shared" si="1"/>
        <v>82321.260504201695</v>
      </c>
      <c r="K20" s="559">
        <f t="shared" si="1"/>
        <v>0</v>
      </c>
      <c r="L20" s="559">
        <f t="shared" si="1"/>
        <v>0</v>
      </c>
      <c r="M20" s="559"/>
      <c r="N20" s="559"/>
      <c r="O20" s="585">
        <f>SUM(O17:O19)</f>
        <v>38831.166151260513</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46003</v>
      </c>
      <c r="C28" s="787">
        <v>9120</v>
      </c>
      <c r="D28" s="637" t="s">
        <v>874</v>
      </c>
      <c r="E28" s="636" t="s">
        <v>875</v>
      </c>
      <c r="F28" s="636" t="s">
        <v>876</v>
      </c>
      <c r="G28" s="636" t="s">
        <v>877</v>
      </c>
      <c r="H28" s="636" t="s">
        <v>878</v>
      </c>
      <c r="I28" s="636" t="s">
        <v>875</v>
      </c>
      <c r="J28" s="786">
        <v>39377</v>
      </c>
      <c r="K28" s="786">
        <v>39380</v>
      </c>
      <c r="L28" s="636" t="s">
        <v>879</v>
      </c>
      <c r="M28" s="636">
        <v>1540</v>
      </c>
      <c r="N28" s="636">
        <v>6930</v>
      </c>
      <c r="O28" s="636">
        <v>9900</v>
      </c>
      <c r="P28" s="636">
        <v>19800</v>
      </c>
      <c r="Q28" s="636">
        <v>0</v>
      </c>
      <c r="R28" s="636">
        <v>0</v>
      </c>
      <c r="S28" s="636">
        <v>0</v>
      </c>
      <c r="T28" s="636">
        <v>0</v>
      </c>
      <c r="U28" s="636">
        <v>0</v>
      </c>
      <c r="V28" s="636">
        <v>0</v>
      </c>
      <c r="W28" s="636">
        <v>0</v>
      </c>
      <c r="X28" s="636">
        <v>10</v>
      </c>
      <c r="Y28" s="636" t="s">
        <v>111</v>
      </c>
      <c r="Z28" s="638" t="s">
        <v>111</v>
      </c>
    </row>
    <row r="29" spans="1:26" s="590" customFormat="1" ht="25.5">
      <c r="A29" s="589"/>
      <c r="B29" s="787">
        <v>46003</v>
      </c>
      <c r="C29" s="787">
        <v>9120</v>
      </c>
      <c r="D29" s="637" t="s">
        <v>880</v>
      </c>
      <c r="E29" s="636" t="s">
        <v>881</v>
      </c>
      <c r="F29" s="636" t="s">
        <v>882</v>
      </c>
      <c r="G29" s="636" t="s">
        <v>877</v>
      </c>
      <c r="H29" s="636" t="s">
        <v>878</v>
      </c>
      <c r="I29" s="636" t="s">
        <v>881</v>
      </c>
      <c r="J29" s="786">
        <v>36432</v>
      </c>
      <c r="K29" s="786">
        <v>43318</v>
      </c>
      <c r="L29" s="636" t="s">
        <v>883</v>
      </c>
      <c r="M29" s="636">
        <v>3314</v>
      </c>
      <c r="N29" s="636">
        <v>14913</v>
      </c>
      <c r="O29" s="636">
        <v>21304.285714285714</v>
      </c>
      <c r="P29" s="636">
        <v>42608.571428571435</v>
      </c>
      <c r="Q29" s="636">
        <v>0</v>
      </c>
      <c r="R29" s="636">
        <v>0</v>
      </c>
      <c r="S29" s="636">
        <v>0</v>
      </c>
      <c r="T29" s="636">
        <v>0</v>
      </c>
      <c r="U29" s="636">
        <v>0</v>
      </c>
      <c r="V29" s="636">
        <v>0</v>
      </c>
      <c r="W29" s="636">
        <v>0</v>
      </c>
      <c r="X29" s="636">
        <v>10</v>
      </c>
      <c r="Y29" s="636" t="s">
        <v>111</v>
      </c>
      <c r="Z29" s="638" t="s">
        <v>111</v>
      </c>
    </row>
    <row r="30" spans="1:26" s="590" customFormat="1" ht="25.5">
      <c r="A30" s="589"/>
      <c r="B30" s="787">
        <v>46003</v>
      </c>
      <c r="C30" s="787">
        <v>9120</v>
      </c>
      <c r="D30" s="637" t="s">
        <v>884</v>
      </c>
      <c r="E30" s="636" t="s">
        <v>885</v>
      </c>
      <c r="F30" s="636" t="s">
        <v>886</v>
      </c>
      <c r="G30" s="636" t="s">
        <v>877</v>
      </c>
      <c r="H30" s="636" t="s">
        <v>878</v>
      </c>
      <c r="I30" s="636" t="s">
        <v>885</v>
      </c>
      <c r="J30" s="786">
        <v>39737</v>
      </c>
      <c r="K30" s="786">
        <v>43404</v>
      </c>
      <c r="L30" s="636" t="s">
        <v>883</v>
      </c>
      <c r="M30" s="636">
        <v>1718</v>
      </c>
      <c r="N30" s="636">
        <v>7731</v>
      </c>
      <c r="O30" s="636">
        <v>11044.285714285714</v>
      </c>
      <c r="P30" s="636">
        <v>22088.571428571431</v>
      </c>
      <c r="Q30" s="636">
        <v>0</v>
      </c>
      <c r="R30" s="636">
        <v>0</v>
      </c>
      <c r="S30" s="636">
        <v>0</v>
      </c>
      <c r="T30" s="636">
        <v>0</v>
      </c>
      <c r="U30" s="636">
        <v>0</v>
      </c>
      <c r="V30" s="636">
        <v>0</v>
      </c>
      <c r="W30" s="636">
        <v>0</v>
      </c>
      <c r="X30" s="636">
        <v>10</v>
      </c>
      <c r="Y30" s="636" t="s">
        <v>111</v>
      </c>
      <c r="Z30" s="638" t="s">
        <v>111</v>
      </c>
    </row>
    <row r="31" spans="1:26" s="590" customFormat="1" ht="25.5">
      <c r="A31" s="589"/>
      <c r="B31" s="787">
        <v>46003</v>
      </c>
      <c r="C31" s="787">
        <v>9120</v>
      </c>
      <c r="D31" s="637" t="s">
        <v>887</v>
      </c>
      <c r="E31" s="636" t="s">
        <v>888</v>
      </c>
      <c r="F31" s="636" t="s">
        <v>889</v>
      </c>
      <c r="G31" s="636" t="s">
        <v>877</v>
      </c>
      <c r="H31" s="636" t="s">
        <v>878</v>
      </c>
      <c r="I31" s="636" t="s">
        <v>888</v>
      </c>
      <c r="J31" s="786">
        <v>40927</v>
      </c>
      <c r="K31" s="786">
        <v>39841</v>
      </c>
      <c r="L31" s="636" t="s">
        <v>879</v>
      </c>
      <c r="M31" s="636">
        <v>2233</v>
      </c>
      <c r="N31" s="636">
        <v>10048.5</v>
      </c>
      <c r="O31" s="636">
        <v>14355</v>
      </c>
      <c r="P31" s="636">
        <v>0</v>
      </c>
      <c r="Q31" s="636">
        <v>28710.000000000004</v>
      </c>
      <c r="R31" s="636">
        <v>0</v>
      </c>
      <c r="S31" s="636">
        <v>0</v>
      </c>
      <c r="T31" s="636">
        <v>0</v>
      </c>
      <c r="U31" s="636">
        <v>0</v>
      </c>
      <c r="V31" s="636">
        <v>0</v>
      </c>
      <c r="W31" s="636">
        <v>0</v>
      </c>
      <c r="X31" s="636">
        <v>10</v>
      </c>
      <c r="Y31" s="636" t="s">
        <v>111</v>
      </c>
      <c r="Z31" s="638" t="s">
        <v>111</v>
      </c>
    </row>
    <row r="32" spans="1:26" s="590" customFormat="1" ht="25.5">
      <c r="A32" s="589"/>
      <c r="B32" s="787">
        <v>46003</v>
      </c>
      <c r="C32" s="787">
        <v>9120</v>
      </c>
      <c r="D32" s="637" t="s">
        <v>890</v>
      </c>
      <c r="E32" s="636" t="s">
        <v>891</v>
      </c>
      <c r="F32" s="636" t="s">
        <v>892</v>
      </c>
      <c r="G32" s="636" t="s">
        <v>877</v>
      </c>
      <c r="H32" s="636" t="s">
        <v>878</v>
      </c>
      <c r="I32" s="636" t="s">
        <v>891</v>
      </c>
      <c r="J32" s="786">
        <v>40954</v>
      </c>
      <c r="K32" s="786">
        <v>39990</v>
      </c>
      <c r="L32" s="636" t="s">
        <v>879</v>
      </c>
      <c r="M32" s="636">
        <v>3898</v>
      </c>
      <c r="N32" s="636">
        <v>17541</v>
      </c>
      <c r="O32" s="636">
        <v>25058.571428571428</v>
      </c>
      <c r="P32" s="636">
        <v>50117.142857142862</v>
      </c>
      <c r="Q32" s="636">
        <v>0</v>
      </c>
      <c r="R32" s="636">
        <v>0</v>
      </c>
      <c r="S32" s="636">
        <v>0</v>
      </c>
      <c r="T32" s="636">
        <v>0</v>
      </c>
      <c r="U32" s="636">
        <v>0</v>
      </c>
      <c r="V32" s="636">
        <v>0</v>
      </c>
      <c r="W32" s="636">
        <v>0</v>
      </c>
      <c r="X32" s="636">
        <v>10</v>
      </c>
      <c r="Y32" s="636" t="s">
        <v>111</v>
      </c>
      <c r="Z32" s="638" t="s">
        <v>111</v>
      </c>
    </row>
    <row r="33" spans="1:26" s="590" customFormat="1" ht="25.5">
      <c r="A33" s="589"/>
      <c r="B33" s="787">
        <v>46003</v>
      </c>
      <c r="C33" s="787">
        <v>9120</v>
      </c>
      <c r="D33" s="637" t="s">
        <v>893</v>
      </c>
      <c r="E33" s="636" t="s">
        <v>894</v>
      </c>
      <c r="F33" s="636" t="s">
        <v>895</v>
      </c>
      <c r="G33" s="636" t="s">
        <v>877</v>
      </c>
      <c r="H33" s="636" t="s">
        <v>878</v>
      </c>
      <c r="I33" s="636" t="s">
        <v>896</v>
      </c>
      <c r="J33" s="786">
        <v>40333</v>
      </c>
      <c r="K33" s="786">
        <v>40345</v>
      </c>
      <c r="L33" s="636" t="s">
        <v>879</v>
      </c>
      <c r="M33" s="636">
        <v>1994</v>
      </c>
      <c r="N33" s="636">
        <v>8973</v>
      </c>
      <c r="O33" s="636">
        <v>12818.571428571429</v>
      </c>
      <c r="P33" s="636">
        <v>25637.142857142859</v>
      </c>
      <c r="Q33" s="636">
        <v>0</v>
      </c>
      <c r="R33" s="636">
        <v>0</v>
      </c>
      <c r="S33" s="636">
        <v>0</v>
      </c>
      <c r="T33" s="636">
        <v>0</v>
      </c>
      <c r="U33" s="636">
        <v>0</v>
      </c>
      <c r="V33" s="636">
        <v>0</v>
      </c>
      <c r="W33" s="636">
        <v>0</v>
      </c>
      <c r="X33" s="636">
        <v>10</v>
      </c>
      <c r="Y33" s="636" t="s">
        <v>111</v>
      </c>
      <c r="Z33" s="638" t="s">
        <v>111</v>
      </c>
    </row>
    <row r="34" spans="1:26" s="590" customFormat="1" ht="25.5">
      <c r="A34" s="589"/>
      <c r="B34" s="787">
        <v>46003</v>
      </c>
      <c r="C34" s="787">
        <v>9120</v>
      </c>
      <c r="D34" s="637" t="s">
        <v>897</v>
      </c>
      <c r="E34" s="636" t="s">
        <v>898</v>
      </c>
      <c r="F34" s="636" t="s">
        <v>899</v>
      </c>
      <c r="G34" s="636" t="s">
        <v>877</v>
      </c>
      <c r="H34" s="636" t="s">
        <v>878</v>
      </c>
      <c r="I34" s="636" t="s">
        <v>898</v>
      </c>
      <c r="J34" s="786">
        <v>40819</v>
      </c>
      <c r="K34" s="786">
        <v>40834</v>
      </c>
      <c r="L34" s="636" t="s">
        <v>879</v>
      </c>
      <c r="M34" s="636">
        <v>197</v>
      </c>
      <c r="N34" s="636">
        <v>886.5</v>
      </c>
      <c r="O34" s="636">
        <v>1266.4285714285716</v>
      </c>
      <c r="P34" s="636">
        <v>2532.8571428571431</v>
      </c>
      <c r="Q34" s="636">
        <v>0</v>
      </c>
      <c r="R34" s="636">
        <v>0</v>
      </c>
      <c r="S34" s="636">
        <v>0</v>
      </c>
      <c r="T34" s="636">
        <v>0</v>
      </c>
      <c r="U34" s="636">
        <v>0</v>
      </c>
      <c r="V34" s="636">
        <v>0</v>
      </c>
      <c r="W34" s="636">
        <v>0</v>
      </c>
      <c r="X34" s="636">
        <v>1200</v>
      </c>
      <c r="Y34" s="636" t="s">
        <v>52</v>
      </c>
      <c r="Z34" s="638" t="s">
        <v>155</v>
      </c>
    </row>
    <row r="35" spans="1:26" s="590" customFormat="1" ht="25.5">
      <c r="A35" s="589"/>
      <c r="B35" s="787">
        <v>46003</v>
      </c>
      <c r="C35" s="787">
        <v>9120</v>
      </c>
      <c r="D35" s="637" t="s">
        <v>900</v>
      </c>
      <c r="E35" s="636" t="s">
        <v>901</v>
      </c>
      <c r="F35" s="636" t="s">
        <v>902</v>
      </c>
      <c r="G35" s="636" t="s">
        <v>877</v>
      </c>
      <c r="H35" s="636" t="s">
        <v>878</v>
      </c>
      <c r="I35" s="636" t="s">
        <v>901</v>
      </c>
      <c r="J35" s="786">
        <v>41184</v>
      </c>
      <c r="K35" s="786">
        <v>41184</v>
      </c>
      <c r="L35" s="636" t="s">
        <v>879</v>
      </c>
      <c r="M35" s="636">
        <v>2978</v>
      </c>
      <c r="N35" s="636">
        <v>13401.000000000002</v>
      </c>
      <c r="O35" s="636">
        <v>19144.285714285717</v>
      </c>
      <c r="P35" s="636">
        <v>0</v>
      </c>
      <c r="Q35" s="636">
        <v>38288.571428571435</v>
      </c>
      <c r="R35" s="636">
        <v>0</v>
      </c>
      <c r="S35" s="636">
        <v>0</v>
      </c>
      <c r="T35" s="636">
        <v>0</v>
      </c>
      <c r="U35" s="636">
        <v>0</v>
      </c>
      <c r="V35" s="636">
        <v>0</v>
      </c>
      <c r="W35" s="636">
        <v>0</v>
      </c>
      <c r="X35" s="636">
        <v>10</v>
      </c>
      <c r="Y35" s="636" t="s">
        <v>111</v>
      </c>
      <c r="Z35" s="638" t="s">
        <v>111</v>
      </c>
    </row>
    <row r="36" spans="1:26" s="590" customFormat="1" ht="63.75">
      <c r="A36" s="589"/>
      <c r="B36" s="787">
        <v>46003</v>
      </c>
      <c r="C36" s="787">
        <v>9120</v>
      </c>
      <c r="D36" s="637" t="s">
        <v>903</v>
      </c>
      <c r="E36" s="636" t="s">
        <v>904</v>
      </c>
      <c r="F36" s="636" t="s">
        <v>905</v>
      </c>
      <c r="G36" s="636" t="s">
        <v>877</v>
      </c>
      <c r="H36" s="636" t="s">
        <v>878</v>
      </c>
      <c r="I36" s="636" t="s">
        <v>906</v>
      </c>
      <c r="J36" s="786">
        <v>41450</v>
      </c>
      <c r="K36" s="786">
        <v>41361</v>
      </c>
      <c r="L36" s="636" t="s">
        <v>879</v>
      </c>
      <c r="M36" s="636">
        <v>70</v>
      </c>
      <c r="N36" s="636">
        <v>315.00000000000006</v>
      </c>
      <c r="O36" s="636">
        <v>450.00000000000011</v>
      </c>
      <c r="P36" s="636">
        <v>900.00000000000023</v>
      </c>
      <c r="Q36" s="636">
        <v>0</v>
      </c>
      <c r="R36" s="636">
        <v>0</v>
      </c>
      <c r="S36" s="636">
        <v>0</v>
      </c>
      <c r="T36" s="636">
        <v>0</v>
      </c>
      <c r="U36" s="636">
        <v>0</v>
      </c>
      <c r="V36" s="636">
        <v>0</v>
      </c>
      <c r="W36" s="636">
        <v>0</v>
      </c>
      <c r="X36" s="636">
        <v>1600</v>
      </c>
      <c r="Y36" s="636" t="s">
        <v>49</v>
      </c>
      <c r="Z36" s="638" t="s">
        <v>155</v>
      </c>
    </row>
    <row r="37" spans="1:26" s="590" customFormat="1" ht="25.5">
      <c r="A37" s="589"/>
      <c r="B37" s="787">
        <v>46003</v>
      </c>
      <c r="C37" s="787">
        <v>9120</v>
      </c>
      <c r="D37" s="637" t="s">
        <v>907</v>
      </c>
      <c r="E37" s="636" t="s">
        <v>908</v>
      </c>
      <c r="F37" s="636" t="s">
        <v>909</v>
      </c>
      <c r="G37" s="636" t="s">
        <v>877</v>
      </c>
      <c r="H37" s="636" t="s">
        <v>878</v>
      </c>
      <c r="I37" s="636" t="s">
        <v>908</v>
      </c>
      <c r="J37" s="786">
        <v>41373</v>
      </c>
      <c r="K37" s="786">
        <v>41373</v>
      </c>
      <c r="L37" s="636" t="s">
        <v>879</v>
      </c>
      <c r="M37" s="636">
        <v>9.6999999999999993</v>
      </c>
      <c r="N37" s="636">
        <v>43.649999999999991</v>
      </c>
      <c r="O37" s="636">
        <v>62.357142857142847</v>
      </c>
      <c r="P37" s="636">
        <v>0</v>
      </c>
      <c r="Q37" s="636">
        <v>124.71428571428569</v>
      </c>
      <c r="R37" s="636">
        <v>0</v>
      </c>
      <c r="S37" s="636">
        <v>0</v>
      </c>
      <c r="T37" s="636">
        <v>0</v>
      </c>
      <c r="U37" s="636">
        <v>0</v>
      </c>
      <c r="V37" s="636">
        <v>0</v>
      </c>
      <c r="W37" s="636">
        <v>0</v>
      </c>
      <c r="X37" s="636">
        <v>10</v>
      </c>
      <c r="Y37" s="636" t="s">
        <v>111</v>
      </c>
      <c r="Z37" s="638" t="s">
        <v>111</v>
      </c>
    </row>
    <row r="38" spans="1:26" s="590" customFormat="1" ht="25.5">
      <c r="A38" s="589"/>
      <c r="B38" s="787">
        <v>46003</v>
      </c>
      <c r="C38" s="787">
        <v>9130</v>
      </c>
      <c r="D38" s="637" t="s">
        <v>910</v>
      </c>
      <c r="E38" s="636" t="s">
        <v>911</v>
      </c>
      <c r="F38" s="636" t="s">
        <v>912</v>
      </c>
      <c r="G38" s="636" t="s">
        <v>877</v>
      </c>
      <c r="H38" s="636" t="s">
        <v>878</v>
      </c>
      <c r="I38" s="636" t="s">
        <v>911</v>
      </c>
      <c r="J38" s="786">
        <v>41814</v>
      </c>
      <c r="K38" s="786">
        <v>41814</v>
      </c>
      <c r="L38" s="636" t="s">
        <v>879</v>
      </c>
      <c r="M38" s="636">
        <v>1189</v>
      </c>
      <c r="N38" s="636">
        <v>5350.5</v>
      </c>
      <c r="O38" s="636">
        <v>7643.5714285714284</v>
      </c>
      <c r="P38" s="636">
        <v>0</v>
      </c>
      <c r="Q38" s="636">
        <v>15287.142857142859</v>
      </c>
      <c r="R38" s="636">
        <v>0</v>
      </c>
      <c r="S38" s="636">
        <v>0</v>
      </c>
      <c r="T38" s="636">
        <v>0</v>
      </c>
      <c r="U38" s="636">
        <v>0</v>
      </c>
      <c r="V38" s="636">
        <v>0</v>
      </c>
      <c r="W38" s="636">
        <v>0</v>
      </c>
      <c r="X38" s="636">
        <v>500</v>
      </c>
      <c r="Y38" s="636" t="s">
        <v>40</v>
      </c>
      <c r="Z38" s="638" t="s">
        <v>379</v>
      </c>
    </row>
    <row r="39" spans="1:26" s="590" customFormat="1" ht="63.75">
      <c r="A39" s="589"/>
      <c r="B39" s="787">
        <v>46003</v>
      </c>
      <c r="C39" s="787">
        <v>9120</v>
      </c>
      <c r="D39" s="637" t="s">
        <v>913</v>
      </c>
      <c r="E39" s="636" t="s">
        <v>914</v>
      </c>
      <c r="F39" s="636" t="s">
        <v>915</v>
      </c>
      <c r="G39" s="636" t="s">
        <v>877</v>
      </c>
      <c r="H39" s="636" t="s">
        <v>878</v>
      </c>
      <c r="I39" s="636" t="s">
        <v>916</v>
      </c>
      <c r="J39" s="786">
        <v>41936</v>
      </c>
      <c r="K39" s="786">
        <v>41936</v>
      </c>
      <c r="L39" s="636" t="s">
        <v>917</v>
      </c>
      <c r="M39" s="636">
        <v>2974</v>
      </c>
      <c r="N39" s="636">
        <v>13383</v>
      </c>
      <c r="O39" s="636">
        <v>19118.571428571428</v>
      </c>
      <c r="P39" s="636">
        <v>0</v>
      </c>
      <c r="Q39" s="636">
        <v>38237.142857142862</v>
      </c>
      <c r="R39" s="636">
        <v>0</v>
      </c>
      <c r="S39" s="636">
        <v>0</v>
      </c>
      <c r="T39" s="636">
        <v>0</v>
      </c>
      <c r="U39" s="636">
        <v>0</v>
      </c>
      <c r="V39" s="636">
        <v>0</v>
      </c>
      <c r="W39" s="636">
        <v>0</v>
      </c>
      <c r="X39" s="636">
        <v>1600</v>
      </c>
      <c r="Y39" s="636" t="s">
        <v>49</v>
      </c>
      <c r="Z39" s="638" t="s">
        <v>155</v>
      </c>
    </row>
    <row r="40" spans="1:26" s="590" customFormat="1" ht="63.75">
      <c r="A40" s="589"/>
      <c r="B40" s="787">
        <v>46003</v>
      </c>
      <c r="C40" s="787">
        <v>9120</v>
      </c>
      <c r="D40" s="637" t="s">
        <v>918</v>
      </c>
      <c r="E40" s="636" t="s">
        <v>919</v>
      </c>
      <c r="F40" s="636" t="s">
        <v>920</v>
      </c>
      <c r="G40" s="636" t="s">
        <v>877</v>
      </c>
      <c r="H40" s="636" t="s">
        <v>878</v>
      </c>
      <c r="I40" s="636" t="s">
        <v>919</v>
      </c>
      <c r="J40" s="786">
        <v>42039</v>
      </c>
      <c r="K40" s="786">
        <v>42039</v>
      </c>
      <c r="L40" s="636" t="s">
        <v>879</v>
      </c>
      <c r="M40" s="636">
        <v>2126</v>
      </c>
      <c r="N40" s="636">
        <v>9567</v>
      </c>
      <c r="O40" s="636">
        <v>13667.142857142857</v>
      </c>
      <c r="P40" s="636">
        <v>27334.285714285717</v>
      </c>
      <c r="Q40" s="636">
        <v>0</v>
      </c>
      <c r="R40" s="636">
        <v>0</v>
      </c>
      <c r="S40" s="636">
        <v>0</v>
      </c>
      <c r="T40" s="636">
        <v>0</v>
      </c>
      <c r="U40" s="636">
        <v>0</v>
      </c>
      <c r="V40" s="636">
        <v>0</v>
      </c>
      <c r="W40" s="636">
        <v>0</v>
      </c>
      <c r="X40" s="636">
        <v>1600</v>
      </c>
      <c r="Y40" s="636" t="s">
        <v>49</v>
      </c>
      <c r="Z40" s="638" t="s">
        <v>155</v>
      </c>
    </row>
    <row r="41" spans="1:26" s="590" customFormat="1" ht="25.5">
      <c r="A41" s="589"/>
      <c r="B41" s="787">
        <v>46003</v>
      </c>
      <c r="C41" s="787">
        <v>9120</v>
      </c>
      <c r="D41" s="637" t="s">
        <v>921</v>
      </c>
      <c r="E41" s="636"/>
      <c r="F41" s="636" t="s">
        <v>922</v>
      </c>
      <c r="G41" s="636" t="s">
        <v>877</v>
      </c>
      <c r="H41" s="636" t="s">
        <v>878</v>
      </c>
      <c r="I41" s="636" t="s">
        <v>923</v>
      </c>
      <c r="J41" s="786">
        <v>42361</v>
      </c>
      <c r="K41" s="786">
        <v>42377</v>
      </c>
      <c r="L41" s="636" t="s">
        <v>883</v>
      </c>
      <c r="M41" s="636">
        <v>2004</v>
      </c>
      <c r="N41" s="636">
        <v>9018</v>
      </c>
      <c r="O41" s="636">
        <v>12882.857142857143</v>
      </c>
      <c r="P41" s="636">
        <v>25765.714285714286</v>
      </c>
      <c r="Q41" s="636">
        <v>0</v>
      </c>
      <c r="R41" s="636">
        <v>0</v>
      </c>
      <c r="S41" s="636">
        <v>0</v>
      </c>
      <c r="T41" s="636">
        <v>0</v>
      </c>
      <c r="U41" s="636">
        <v>0</v>
      </c>
      <c r="V41" s="636">
        <v>0</v>
      </c>
      <c r="W41" s="636">
        <v>0</v>
      </c>
      <c r="X41" s="636">
        <v>400</v>
      </c>
      <c r="Y41" s="636" t="s">
        <v>36</v>
      </c>
      <c r="Z41" s="638" t="s">
        <v>379</v>
      </c>
    </row>
    <row r="42" spans="1:26" s="590" customFormat="1" ht="25.5">
      <c r="A42" s="589"/>
      <c r="B42" s="787">
        <v>46003</v>
      </c>
      <c r="C42" s="787">
        <v>9120</v>
      </c>
      <c r="D42" s="637" t="s">
        <v>924</v>
      </c>
      <c r="E42" s="636"/>
      <c r="F42" s="636" t="s">
        <v>925</v>
      </c>
      <c r="G42" s="636" t="s">
        <v>926</v>
      </c>
      <c r="H42" s="636" t="s">
        <v>878</v>
      </c>
      <c r="I42" s="636" t="s">
        <v>927</v>
      </c>
      <c r="J42" s="786">
        <v>42277</v>
      </c>
      <c r="K42" s="786">
        <v>42277</v>
      </c>
      <c r="L42" s="636" t="s">
        <v>883</v>
      </c>
      <c r="M42" s="636">
        <v>2987</v>
      </c>
      <c r="N42" s="636">
        <v>13441.5</v>
      </c>
      <c r="O42" s="636">
        <v>19202.142857142859</v>
      </c>
      <c r="P42" s="636">
        <v>38404.285714285717</v>
      </c>
      <c r="Q42" s="636">
        <v>0</v>
      </c>
      <c r="R42" s="636">
        <v>0</v>
      </c>
      <c r="S42" s="636">
        <v>0</v>
      </c>
      <c r="T42" s="636">
        <v>0</v>
      </c>
      <c r="U42" s="636">
        <v>0</v>
      </c>
      <c r="V42" s="636">
        <v>0</v>
      </c>
      <c r="W42" s="636">
        <v>0</v>
      </c>
      <c r="X42" s="636">
        <v>16000</v>
      </c>
      <c r="Y42" s="636" t="s">
        <v>32</v>
      </c>
      <c r="Z42" s="638" t="s">
        <v>379</v>
      </c>
    </row>
    <row r="43" spans="1:26" s="590" customFormat="1" ht="25.5">
      <c r="A43" s="589"/>
      <c r="B43" s="787">
        <v>46003</v>
      </c>
      <c r="C43" s="787">
        <v>9120</v>
      </c>
      <c r="D43" s="637" t="s">
        <v>928</v>
      </c>
      <c r="E43" s="636"/>
      <c r="F43" s="636" t="s">
        <v>929</v>
      </c>
      <c r="G43" s="636" t="s">
        <v>926</v>
      </c>
      <c r="H43" s="636" t="s">
        <v>878</v>
      </c>
      <c r="I43" s="636" t="s">
        <v>930</v>
      </c>
      <c r="J43" s="786">
        <v>42401</v>
      </c>
      <c r="K43" s="786">
        <v>42401</v>
      </c>
      <c r="L43" s="636" t="s">
        <v>883</v>
      </c>
      <c r="M43" s="636">
        <v>9.5399999999999991</v>
      </c>
      <c r="N43" s="636">
        <v>42.93</v>
      </c>
      <c r="O43" s="636">
        <v>61.328571428571429</v>
      </c>
      <c r="P43" s="636">
        <v>122.65714285714286</v>
      </c>
      <c r="Q43" s="636">
        <v>0</v>
      </c>
      <c r="R43" s="636">
        <v>0</v>
      </c>
      <c r="S43" s="636">
        <v>0</v>
      </c>
      <c r="T43" s="636">
        <v>0</v>
      </c>
      <c r="U43" s="636">
        <v>0</v>
      </c>
      <c r="V43" s="636">
        <v>0</v>
      </c>
      <c r="W43" s="636">
        <v>0</v>
      </c>
      <c r="X43" s="636">
        <v>1100</v>
      </c>
      <c r="Y43" s="636" t="s">
        <v>160</v>
      </c>
      <c r="Z43" s="638" t="s">
        <v>155</v>
      </c>
    </row>
    <row r="44" spans="1:26" s="590" customFormat="1" ht="25.5">
      <c r="A44" s="589"/>
      <c r="B44" s="787">
        <v>46003</v>
      </c>
      <c r="C44" s="787">
        <v>9120</v>
      </c>
      <c r="D44" s="637" t="s">
        <v>931</v>
      </c>
      <c r="E44" s="636" t="s">
        <v>932</v>
      </c>
      <c r="F44" s="636" t="s">
        <v>933</v>
      </c>
      <c r="G44" s="636" t="s">
        <v>926</v>
      </c>
      <c r="H44" s="636" t="s">
        <v>878</v>
      </c>
      <c r="I44" s="636" t="s">
        <v>934</v>
      </c>
      <c r="J44" s="786">
        <v>43364</v>
      </c>
      <c r="K44" s="786">
        <v>43385</v>
      </c>
      <c r="L44" s="636" t="s">
        <v>883</v>
      </c>
      <c r="M44" s="636">
        <v>1501</v>
      </c>
      <c r="N44" s="636">
        <v>6754.4999999999991</v>
      </c>
      <c r="O44" s="636">
        <v>9649.2857142857138</v>
      </c>
      <c r="P44" s="636">
        <v>0</v>
      </c>
      <c r="Q44" s="636">
        <v>19298.571428571428</v>
      </c>
      <c r="R44" s="636">
        <v>0</v>
      </c>
      <c r="S44" s="636">
        <v>0</v>
      </c>
      <c r="T44" s="636">
        <v>0</v>
      </c>
      <c r="U44" s="636">
        <v>0</v>
      </c>
      <c r="V44" s="636">
        <v>0</v>
      </c>
      <c r="W44" s="636">
        <v>0</v>
      </c>
      <c r="X44" s="636">
        <v>10</v>
      </c>
      <c r="Y44" s="636" t="s">
        <v>111</v>
      </c>
      <c r="Z44" s="638" t="s">
        <v>111</v>
      </c>
    </row>
    <row r="45" spans="1:26" s="590" customFormat="1" ht="25.5">
      <c r="A45" s="589"/>
      <c r="B45" s="787">
        <v>46003</v>
      </c>
      <c r="C45" s="787">
        <v>9120</v>
      </c>
      <c r="D45" s="637" t="s">
        <v>935</v>
      </c>
      <c r="E45" s="636"/>
      <c r="F45" s="636" t="s">
        <v>936</v>
      </c>
      <c r="G45" s="636" t="s">
        <v>926</v>
      </c>
      <c r="H45" s="636" t="s">
        <v>878</v>
      </c>
      <c r="I45" s="636" t="s">
        <v>937</v>
      </c>
      <c r="J45" s="786">
        <v>43451</v>
      </c>
      <c r="K45" s="786">
        <v>43453</v>
      </c>
      <c r="L45" s="636" t="s">
        <v>938</v>
      </c>
      <c r="M45" s="636">
        <v>2027</v>
      </c>
      <c r="N45" s="636">
        <v>9121.5</v>
      </c>
      <c r="O45" s="636">
        <v>13030.714285714286</v>
      </c>
      <c r="P45" s="636">
        <v>26061.428571428572</v>
      </c>
      <c r="Q45" s="636">
        <v>0</v>
      </c>
      <c r="R45" s="636">
        <v>0</v>
      </c>
      <c r="S45" s="636">
        <v>0</v>
      </c>
      <c r="T45" s="636">
        <v>0</v>
      </c>
      <c r="U45" s="636">
        <v>0</v>
      </c>
      <c r="V45" s="636">
        <v>0</v>
      </c>
      <c r="W45" s="636">
        <v>0</v>
      </c>
      <c r="X45" s="636">
        <v>300</v>
      </c>
      <c r="Y45" s="636" t="s">
        <v>33</v>
      </c>
      <c r="Z45" s="638" t="s">
        <v>379</v>
      </c>
    </row>
    <row r="46" spans="1:26" s="590" customFormat="1" ht="25.5">
      <c r="A46" s="589"/>
      <c r="B46" s="787">
        <v>46003</v>
      </c>
      <c r="C46" s="787">
        <v>9120</v>
      </c>
      <c r="D46" s="637" t="s">
        <v>939</v>
      </c>
      <c r="E46" s="636"/>
      <c r="F46" s="636" t="s">
        <v>940</v>
      </c>
      <c r="G46" s="636" t="s">
        <v>926</v>
      </c>
      <c r="H46" s="636" t="s">
        <v>878</v>
      </c>
      <c r="I46" s="636" t="s">
        <v>941</v>
      </c>
      <c r="J46" s="786">
        <v>43391</v>
      </c>
      <c r="K46" s="786">
        <v>43391</v>
      </c>
      <c r="L46" s="636" t="s">
        <v>883</v>
      </c>
      <c r="M46" s="636">
        <v>1013</v>
      </c>
      <c r="N46" s="636">
        <v>4558.5</v>
      </c>
      <c r="O46" s="636">
        <v>6512.1428571428569</v>
      </c>
      <c r="P46" s="636">
        <v>13024.285714285716</v>
      </c>
      <c r="Q46" s="636">
        <v>0</v>
      </c>
      <c r="R46" s="636">
        <v>0</v>
      </c>
      <c r="S46" s="636">
        <v>0</v>
      </c>
      <c r="T46" s="636">
        <v>0</v>
      </c>
      <c r="U46" s="636">
        <v>0</v>
      </c>
      <c r="V46" s="636">
        <v>0</v>
      </c>
      <c r="W46" s="636">
        <v>0</v>
      </c>
      <c r="X46" s="636">
        <v>10</v>
      </c>
      <c r="Y46" s="636" t="s">
        <v>111</v>
      </c>
      <c r="Z46" s="638" t="s">
        <v>111</v>
      </c>
    </row>
    <row r="47" spans="1:26" s="590" customFormat="1" ht="25.5">
      <c r="A47" s="589"/>
      <c r="B47" s="787">
        <v>46003</v>
      </c>
      <c r="C47" s="787">
        <v>9120</v>
      </c>
      <c r="D47" s="637" t="s">
        <v>942</v>
      </c>
      <c r="E47" s="636"/>
      <c r="F47" s="636" t="s">
        <v>943</v>
      </c>
      <c r="G47" s="636" t="s">
        <v>926</v>
      </c>
      <c r="H47" s="636" t="s">
        <v>878</v>
      </c>
      <c r="I47" s="636" t="s">
        <v>944</v>
      </c>
      <c r="J47" s="786">
        <v>43553</v>
      </c>
      <c r="K47" s="786">
        <v>43553</v>
      </c>
      <c r="L47" s="636" t="s">
        <v>883</v>
      </c>
      <c r="M47" s="636">
        <v>3360</v>
      </c>
      <c r="N47" s="636">
        <v>11340</v>
      </c>
      <c r="O47" s="636">
        <v>16200</v>
      </c>
      <c r="P47" s="636">
        <v>32400.000000000004</v>
      </c>
      <c r="Q47" s="636">
        <v>0</v>
      </c>
      <c r="R47" s="636">
        <v>0</v>
      </c>
      <c r="S47" s="636">
        <v>0</v>
      </c>
      <c r="T47" s="636">
        <v>0</v>
      </c>
      <c r="U47" s="636">
        <v>0</v>
      </c>
      <c r="V47" s="636">
        <v>0</v>
      </c>
      <c r="W47" s="636">
        <v>0</v>
      </c>
      <c r="X47" s="636">
        <v>300</v>
      </c>
      <c r="Y47" s="636" t="s">
        <v>33</v>
      </c>
      <c r="Z47" s="638" t="s">
        <v>379</v>
      </c>
    </row>
    <row r="48" spans="1:26" s="570" customFormat="1">
      <c r="A48" s="592" t="s">
        <v>275</v>
      </c>
      <c r="B48" s="593"/>
      <c r="C48" s="593"/>
      <c r="D48" s="593"/>
      <c r="E48" s="593"/>
      <c r="F48" s="593"/>
      <c r="G48" s="593"/>
      <c r="H48" s="593"/>
      <c r="I48" s="593"/>
      <c r="J48" s="593"/>
      <c r="K48" s="593"/>
      <c r="L48" s="594"/>
      <c r="M48" s="594">
        <f>SUM(M28:M47)</f>
        <v>37142.240000000005</v>
      </c>
      <c r="N48" s="594">
        <f>SUM(N28:N47)</f>
        <v>163360.07999999999</v>
      </c>
      <c r="O48" s="594">
        <f>SUM(O28:O47)</f>
        <v>233371.54285714289</v>
      </c>
      <c r="P48" s="594">
        <f>SUM(P28:P47)</f>
        <v>326796.94285714289</v>
      </c>
      <c r="Q48" s="594">
        <f>SUM(Q28:Q47)</f>
        <v>139946.14285714287</v>
      </c>
      <c r="R48" s="594">
        <f>SUM(R28:R47)</f>
        <v>0</v>
      </c>
      <c r="S48" s="594">
        <f>SUM(S28:S47)</f>
        <v>0</v>
      </c>
      <c r="T48" s="594">
        <f>SUM(T28:T47)</f>
        <v>0</v>
      </c>
      <c r="U48" s="594">
        <f>SUM(U28:U47)</f>
        <v>0</v>
      </c>
      <c r="V48" s="594">
        <f>SUM(V28:V47)</f>
        <v>0</v>
      </c>
      <c r="W48" s="594">
        <f>SUM(W28:W47)</f>
        <v>0</v>
      </c>
      <c r="X48" s="595"/>
      <c r="Y48" s="595"/>
      <c r="Z48" s="596"/>
    </row>
    <row r="49" spans="1:27" s="570" customFormat="1">
      <c r="A49" s="592" t="s">
        <v>282</v>
      </c>
      <c r="B49" s="593"/>
      <c r="C49" s="593"/>
      <c r="D49" s="593"/>
      <c r="E49" s="593"/>
      <c r="F49" s="593"/>
      <c r="G49" s="593"/>
      <c r="H49" s="593"/>
      <c r="I49" s="593"/>
      <c r="J49" s="593"/>
      <c r="K49" s="593"/>
      <c r="L49" s="594"/>
      <c r="M49" s="594">
        <f>SUMIF($Z$28:$Z$47,"industrie",M28:M47)</f>
        <v>11567</v>
      </c>
      <c r="N49" s="594">
        <f>SUMIF($Z$28:$Z$47,"industrie",N28:N47)</f>
        <v>48271.5</v>
      </c>
      <c r="O49" s="594">
        <f>SUMIF($Z$28:$Z$47,"industrie",O28:O47)</f>
        <v>68959.285714285725</v>
      </c>
      <c r="P49" s="594">
        <f>SUMIF($Z$28:$Z$47,"industrie",P28:P47)</f>
        <v>122631.42857142858</v>
      </c>
      <c r="Q49" s="594">
        <f>SUMIF($Z$28:$Z$47,"industrie",Q28:Q47)</f>
        <v>15287.142857142859</v>
      </c>
      <c r="R49" s="594">
        <f>SUMIF($Z$28:$Z$47,"industrie",R28:R47)</f>
        <v>0</v>
      </c>
      <c r="S49" s="594">
        <f>SUMIF($Z$28:$Z$47,"industrie",S28:S47)</f>
        <v>0</v>
      </c>
      <c r="T49" s="594">
        <f>SUMIF($Z$28:$Z$47,"industrie",T28:T47)</f>
        <v>0</v>
      </c>
      <c r="U49" s="594">
        <f>SUMIF($Z$28:$Z$47,"industrie",U28:U47)</f>
        <v>0</v>
      </c>
      <c r="V49" s="594">
        <f>SUMIF($Z$28:$Z$47,"industrie",V28:V47)</f>
        <v>0</v>
      </c>
      <c r="W49" s="594">
        <f>SUMIF($Z$28:$Z$47,"industrie",W28:W47)</f>
        <v>0</v>
      </c>
      <c r="X49" s="595"/>
      <c r="Y49" s="595"/>
      <c r="Z49" s="596"/>
    </row>
    <row r="50" spans="1:27" s="570" customFormat="1">
      <c r="A50" s="592" t="s">
        <v>283</v>
      </c>
      <c r="B50" s="593"/>
      <c r="C50" s="593"/>
      <c r="D50" s="593"/>
      <c r="E50" s="593"/>
      <c r="F50" s="593"/>
      <c r="G50" s="593"/>
      <c r="H50" s="593"/>
      <c r="I50" s="593"/>
      <c r="J50" s="593"/>
      <c r="K50" s="593"/>
      <c r="L50" s="594"/>
      <c r="M50" s="594">
        <f ca="1">SUMIF($Z$28:AC47,"tertiair",M28:M47)</f>
        <v>5376.54</v>
      </c>
      <c r="N50" s="594">
        <f ca="1">SUMIF($Z$28:AD47,"tertiair",N28:N47)</f>
        <v>24194.43</v>
      </c>
      <c r="O50" s="594">
        <f ca="1">SUMIF($Z$28:AE47,"tertiair",O28:O47)</f>
        <v>34563.471428571429</v>
      </c>
      <c r="P50" s="594">
        <f ca="1">SUMIF($Z$28:AF47,"tertiair",P28:P47)</f>
        <v>30889.800000000007</v>
      </c>
      <c r="Q50" s="594">
        <f ca="1">SUMIF($Z$28:AG47,"tertiair",Q28:Q47)</f>
        <v>38237.142857142862</v>
      </c>
      <c r="R50" s="594">
        <f ca="1">SUMIF($Z$28:AH47,"tertiair",R28:R47)</f>
        <v>0</v>
      </c>
      <c r="S50" s="594">
        <f ca="1">SUMIF($Z$28:AI47,"tertiair",S28:S47)</f>
        <v>0</v>
      </c>
      <c r="T50" s="594">
        <f ca="1">SUMIF($Z$28:AJ47,"tertiair",T28:T47)</f>
        <v>0</v>
      </c>
      <c r="U50" s="594">
        <f ca="1">SUMIF($Z$28:AK47,"tertiair",U28:U47)</f>
        <v>0</v>
      </c>
      <c r="V50" s="594">
        <f ca="1">SUMIF($Z$28:AL47,"tertiair",V28:V47)</f>
        <v>0</v>
      </c>
      <c r="W50" s="594">
        <f ca="1">SUMIF($Z$28:AM47,"tertiair",W28:W47)</f>
        <v>0</v>
      </c>
      <c r="X50" s="595"/>
      <c r="Y50" s="595"/>
      <c r="Z50" s="596"/>
    </row>
    <row r="51" spans="1:27" s="570" customFormat="1" ht="15.75" thickBot="1">
      <c r="A51" s="597" t="s">
        <v>284</v>
      </c>
      <c r="B51" s="598"/>
      <c r="C51" s="598"/>
      <c r="D51" s="598"/>
      <c r="E51" s="598"/>
      <c r="F51" s="598"/>
      <c r="G51" s="598"/>
      <c r="H51" s="598"/>
      <c r="I51" s="598"/>
      <c r="J51" s="598"/>
      <c r="K51" s="598"/>
      <c r="L51" s="599"/>
      <c r="M51" s="599">
        <f>SUMIF($Z$28:$Z$47,"landbouw",M28:M47)</f>
        <v>20198.7</v>
      </c>
      <c r="N51" s="599">
        <f>SUMIF($Z$28:$Z$47,"landbouw",N28:N47)</f>
        <v>90894.15</v>
      </c>
      <c r="O51" s="599">
        <f>SUMIF($Z$28:$Z$47,"landbouw",O28:O47)</f>
        <v>129848.78571428571</v>
      </c>
      <c r="P51" s="599">
        <f>SUMIF($Z$28:$Z$47,"landbouw",P28:P47)</f>
        <v>173275.71428571432</v>
      </c>
      <c r="Q51" s="599">
        <f>SUMIF($Z$28:$Z$47,"landbouw",Q28:Q47)</f>
        <v>86421.857142857159</v>
      </c>
      <c r="R51" s="599">
        <f>SUMIF($Z$28:$Z$47,"landbouw",R28:R47)</f>
        <v>0</v>
      </c>
      <c r="S51" s="599">
        <f>SUMIF($Z$28:$Z$47,"landbouw",S28:S47)</f>
        <v>0</v>
      </c>
      <c r="T51" s="599">
        <f>SUMIF($Z$28:$Z$47,"landbouw",T28:T47)</f>
        <v>0</v>
      </c>
      <c r="U51" s="599">
        <f>SUMIF($Z$28:$Z$47,"landbouw",U28:U47)</f>
        <v>0</v>
      </c>
      <c r="V51" s="599">
        <f>SUMIF($Z$28:$Z$47,"landbouw",V28:V47)</f>
        <v>0</v>
      </c>
      <c r="W51" s="599">
        <f>SUMIF($Z$28:$Z$47,"landbouw",W28:W47)</f>
        <v>0</v>
      </c>
      <c r="X51" s="600"/>
      <c r="Y51" s="600"/>
      <c r="Z51" s="601"/>
    </row>
    <row r="52" spans="1:27" s="531" customFormat="1" ht="15.75" thickBot="1">
      <c r="A52" s="602"/>
      <c r="B52" s="603"/>
      <c r="C52" s="603"/>
      <c r="D52" s="603"/>
      <c r="E52" s="603"/>
      <c r="F52" s="603"/>
      <c r="G52" s="603"/>
      <c r="H52" s="603"/>
      <c r="I52" s="603"/>
      <c r="J52" s="603"/>
      <c r="K52" s="603"/>
      <c r="L52" s="586"/>
      <c r="M52" s="586"/>
      <c r="N52" s="586"/>
      <c r="O52" s="587"/>
      <c r="P52" s="587"/>
    </row>
    <row r="53" spans="1:27" s="531" customFormat="1" ht="45">
      <c r="A53" s="604" t="s">
        <v>276</v>
      </c>
      <c r="B53" s="633" t="s">
        <v>89</v>
      </c>
      <c r="C53" s="633" t="s">
        <v>90</v>
      </c>
      <c r="D53" s="633" t="s">
        <v>91</v>
      </c>
      <c r="E53" s="633" t="s">
        <v>92</v>
      </c>
      <c r="F53" s="633" t="s">
        <v>93</v>
      </c>
      <c r="G53" s="633" t="s">
        <v>94</v>
      </c>
      <c r="H53" s="633" t="s">
        <v>95</v>
      </c>
      <c r="I53" s="633" t="s">
        <v>96</v>
      </c>
      <c r="J53" s="633" t="s">
        <v>97</v>
      </c>
      <c r="K53" s="633" t="s">
        <v>98</v>
      </c>
      <c r="L53" s="633" t="s">
        <v>99</v>
      </c>
      <c r="M53" s="634" t="s">
        <v>293</v>
      </c>
      <c r="N53" s="634" t="s">
        <v>100</v>
      </c>
      <c r="O53" s="634" t="s">
        <v>101</v>
      </c>
      <c r="P53" s="634" t="s">
        <v>517</v>
      </c>
      <c r="Q53" s="634" t="s">
        <v>102</v>
      </c>
      <c r="R53" s="634" t="s">
        <v>103</v>
      </c>
      <c r="S53" s="634" t="s">
        <v>104</v>
      </c>
      <c r="T53" s="634" t="s">
        <v>105</v>
      </c>
      <c r="U53" s="634" t="s">
        <v>106</v>
      </c>
      <c r="V53" s="634" t="s">
        <v>107</v>
      </c>
      <c r="W53" s="633" t="s">
        <v>108</v>
      </c>
      <c r="X53" s="633" t="s">
        <v>294</v>
      </c>
      <c r="Y53" s="633" t="s">
        <v>109</v>
      </c>
      <c r="Z53" s="635" t="s">
        <v>295</v>
      </c>
    </row>
    <row r="54" spans="1:27" s="605" customFormat="1" ht="12.75">
      <c r="A54" s="591"/>
      <c r="B54" s="787"/>
      <c r="C54" s="787"/>
      <c r="D54" s="639"/>
      <c r="E54" s="639"/>
      <c r="F54" s="639"/>
      <c r="G54" s="639"/>
      <c r="H54" s="639"/>
      <c r="I54" s="639"/>
      <c r="J54" s="786"/>
      <c r="K54" s="786"/>
      <c r="L54" s="639"/>
      <c r="M54" s="639"/>
      <c r="N54" s="639"/>
      <c r="O54" s="639"/>
      <c r="P54" s="639"/>
      <c r="Q54" s="639"/>
      <c r="R54" s="639"/>
      <c r="S54" s="639"/>
      <c r="T54" s="639"/>
      <c r="U54" s="639"/>
      <c r="V54" s="639"/>
      <c r="W54" s="639"/>
      <c r="X54" s="639"/>
      <c r="Y54" s="639"/>
      <c r="Z54" s="640"/>
    </row>
    <row r="55" spans="1:27" s="570" customFormat="1">
      <c r="A55" s="592" t="s">
        <v>275</v>
      </c>
      <c r="B55" s="593"/>
      <c r="C55" s="593"/>
      <c r="D55" s="593"/>
      <c r="E55" s="593"/>
      <c r="F55" s="593"/>
      <c r="G55" s="593"/>
      <c r="H55" s="593"/>
      <c r="I55" s="593"/>
      <c r="J55" s="593"/>
      <c r="K55" s="593"/>
      <c r="L55" s="594"/>
      <c r="M55" s="594">
        <f>SUM(M54:M54)</f>
        <v>0</v>
      </c>
      <c r="N55" s="594">
        <f>SUM(N54:N54)</f>
        <v>0</v>
      </c>
      <c r="O55" s="594">
        <f>SUM(O54:O54)</f>
        <v>0</v>
      </c>
      <c r="P55" s="594">
        <f>SUM(P54:P54)</f>
        <v>0</v>
      </c>
      <c r="Q55" s="594">
        <f>SUM(Q54:Q54)</f>
        <v>0</v>
      </c>
      <c r="R55" s="594">
        <f>SUM(R54:R54)</f>
        <v>0</v>
      </c>
      <c r="S55" s="594">
        <f>SUM(S54:S54)</f>
        <v>0</v>
      </c>
      <c r="T55" s="594">
        <f>SUM(T54:T54)</f>
        <v>0</v>
      </c>
      <c r="U55" s="594">
        <f>SUM(U54:U54)</f>
        <v>0</v>
      </c>
      <c r="V55" s="594">
        <f>SUM(V54:V54)</f>
        <v>0</v>
      </c>
      <c r="W55" s="594">
        <f>SUM(W54:W54)</f>
        <v>0</v>
      </c>
      <c r="X55" s="595"/>
      <c r="Y55" s="595"/>
      <c r="Z55" s="596"/>
    </row>
    <row r="56" spans="1:27" s="570" customFormat="1">
      <c r="A56" s="592" t="s">
        <v>282</v>
      </c>
      <c r="B56" s="593"/>
      <c r="C56" s="593"/>
      <c r="D56" s="593"/>
      <c r="E56" s="593"/>
      <c r="F56" s="593"/>
      <c r="G56" s="593"/>
      <c r="H56" s="593"/>
      <c r="I56" s="593"/>
      <c r="J56" s="593"/>
      <c r="K56" s="593"/>
      <c r="L56" s="594"/>
      <c r="M56" s="594">
        <f>SUMIF($Z$54:$Z$54,"industrie",M54:M54)</f>
        <v>0</v>
      </c>
      <c r="N56" s="594">
        <f>SUMIF($Z$54:$Z$54,"industrie",N54:N54)</f>
        <v>0</v>
      </c>
      <c r="O56" s="594">
        <f>SUMIF($Z$54:$Z$54,"industrie",O54:O54)</f>
        <v>0</v>
      </c>
      <c r="P56" s="594">
        <f>SUMIF($Z$54:$Z$54,"industrie",P54:P54)</f>
        <v>0</v>
      </c>
      <c r="Q56" s="594">
        <f>SUMIF($Z$54:$Z$54,"industrie",Q54:Q54)</f>
        <v>0</v>
      </c>
      <c r="R56" s="594">
        <f>SUMIF($Z$54:$Z$54,"industrie",R54:R54)</f>
        <v>0</v>
      </c>
      <c r="S56" s="594">
        <f>SUMIF($Z$54:$Z$54,"industrie",S54:S54)</f>
        <v>0</v>
      </c>
      <c r="T56" s="594">
        <f>SUMIF($Z$54:$Z$54,"industrie",T54:T54)</f>
        <v>0</v>
      </c>
      <c r="U56" s="594">
        <f>SUMIF($Z$54:$Z$54,"industrie",U54:U54)</f>
        <v>0</v>
      </c>
      <c r="V56" s="594">
        <f>SUMIF($Z$54:$Z$54,"industrie",V54:V54)</f>
        <v>0</v>
      </c>
      <c r="W56" s="594">
        <f>SUMIF($Z$54:$Z$54,"industrie",W54:W54)</f>
        <v>0</v>
      </c>
      <c r="X56" s="595"/>
      <c r="Y56" s="595"/>
      <c r="Z56" s="596"/>
    </row>
    <row r="57" spans="1:27" s="570" customFormat="1">
      <c r="A57" s="592" t="s">
        <v>283</v>
      </c>
      <c r="B57" s="593"/>
      <c r="C57" s="593"/>
      <c r="D57" s="593"/>
      <c r="E57" s="593"/>
      <c r="F57" s="593"/>
      <c r="G57" s="593"/>
      <c r="H57" s="593"/>
      <c r="I57" s="593"/>
      <c r="J57" s="593"/>
      <c r="K57" s="593"/>
      <c r="L57" s="594"/>
      <c r="M57" s="594">
        <f>SUMIF($Z$54:$Z$55,"tertiair",M54:M55)</f>
        <v>0</v>
      </c>
      <c r="N57" s="594">
        <f>SUMIF($Z$54:$Z$55,"tertiair",N54:N55)</f>
        <v>0</v>
      </c>
      <c r="O57" s="594">
        <f>SUMIF($Z$54:$Z$55,"tertiair",O54:O55)</f>
        <v>0</v>
      </c>
      <c r="P57" s="594">
        <f>SUMIF($Z$54:$Z$55,"tertiair",P54:P55)</f>
        <v>0</v>
      </c>
      <c r="Q57" s="594">
        <f>SUMIF($Z$54:$Z$55,"tertiair",Q54:Q55)</f>
        <v>0</v>
      </c>
      <c r="R57" s="594">
        <f>SUMIF($Z$54:$Z$55,"tertiair",R54:R55)</f>
        <v>0</v>
      </c>
      <c r="S57" s="594">
        <f>SUMIF($Z$54:$Z$55,"tertiair",S54:S55)</f>
        <v>0</v>
      </c>
      <c r="T57" s="594">
        <f>SUMIF($Z$54:$Z$55,"tertiair",T54:T55)</f>
        <v>0</v>
      </c>
      <c r="U57" s="594">
        <f>SUMIF($Z$54:$Z$55,"tertiair",U54:U55)</f>
        <v>0</v>
      </c>
      <c r="V57" s="594">
        <f>SUMIF($Z$54:$Z$55,"tertiair",V54:V55)</f>
        <v>0</v>
      </c>
      <c r="W57" s="594">
        <f>SUMIF($Z$54:$Z$55,"tertiair",W54:W55)</f>
        <v>0</v>
      </c>
      <c r="X57" s="595"/>
      <c r="Y57" s="595"/>
      <c r="Z57" s="596"/>
    </row>
    <row r="58" spans="1:27" s="570" customFormat="1" ht="15.75" thickBot="1">
      <c r="A58" s="597" t="s">
        <v>284</v>
      </c>
      <c r="B58" s="598"/>
      <c r="C58" s="598"/>
      <c r="D58" s="598"/>
      <c r="E58" s="598"/>
      <c r="F58" s="598"/>
      <c r="G58" s="598"/>
      <c r="H58" s="598"/>
      <c r="I58" s="598"/>
      <c r="J58" s="598"/>
      <c r="K58" s="598"/>
      <c r="L58" s="599"/>
      <c r="M58" s="599">
        <f>SUMIF($Z$54:$Z$56,"landbouw",M54:M56)</f>
        <v>0</v>
      </c>
      <c r="N58" s="599">
        <f>SUMIF($Z$54:$Z$56,"landbouw",N54:N56)</f>
        <v>0</v>
      </c>
      <c r="O58" s="599">
        <f>SUMIF($Z$54:$Z$56,"landbouw",O54:O56)</f>
        <v>0</v>
      </c>
      <c r="P58" s="599">
        <f>SUMIF($Z$54:$Z$56,"landbouw",P54:P56)</f>
        <v>0</v>
      </c>
      <c r="Q58" s="599">
        <f>SUMIF($Z$54:$Z$56,"landbouw",Q54:Q56)</f>
        <v>0</v>
      </c>
      <c r="R58" s="599">
        <f>SUMIF($Z$54:$Z$56,"landbouw",R54:R56)</f>
        <v>0</v>
      </c>
      <c r="S58" s="599">
        <f>SUMIF($Z$54:$Z$56,"landbouw",S54:S56)</f>
        <v>0</v>
      </c>
      <c r="T58" s="599">
        <f>SUMIF($Z$54:$Z$56,"landbouw",T54:T56)</f>
        <v>0</v>
      </c>
      <c r="U58" s="599">
        <f>SUMIF($Z$54:$Z$56,"landbouw",U54:U56)</f>
        <v>0</v>
      </c>
      <c r="V58" s="599">
        <f>SUMIF($Z$54:$Z$56,"landbouw",V54:V56)</f>
        <v>0</v>
      </c>
      <c r="W58" s="599">
        <f>SUMIF($Z$54:$Z$56,"landbouw",W54:W56)</f>
        <v>0</v>
      </c>
      <c r="X58" s="600"/>
      <c r="Y58" s="600"/>
      <c r="Z58" s="601"/>
    </row>
    <row r="59" spans="1:27" s="606" customFormat="1">
      <c r="A59" s="602"/>
      <c r="B59" s="586"/>
      <c r="C59" s="586"/>
      <c r="D59" s="586"/>
      <c r="E59" s="586"/>
      <c r="F59" s="586"/>
      <c r="G59" s="586"/>
      <c r="H59" s="586"/>
      <c r="I59" s="586"/>
      <c r="J59" s="586"/>
      <c r="K59" s="586"/>
      <c r="L59" s="586"/>
      <c r="M59" s="586"/>
      <c r="N59" s="586"/>
      <c r="O59" s="586"/>
      <c r="P59" s="586"/>
      <c r="Q59" s="586"/>
      <c r="R59" s="586"/>
      <c r="S59" s="586"/>
      <c r="T59" s="586"/>
      <c r="U59" s="586"/>
      <c r="V59" s="586"/>
      <c r="W59" s="586"/>
      <c r="X59" s="586"/>
      <c r="Y59" s="586"/>
    </row>
    <row r="60" spans="1:27" s="606" customFormat="1" ht="15.75" thickBot="1">
      <c r="A60" s="602"/>
      <c r="B60" s="586"/>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row>
    <row r="61" spans="1:27">
      <c r="A61" s="607" t="s">
        <v>277</v>
      </c>
      <c r="B61" s="608"/>
      <c r="C61" s="608"/>
      <c r="D61" s="608"/>
      <c r="E61" s="608"/>
      <c r="F61" s="608"/>
      <c r="G61" s="608"/>
      <c r="H61" s="608"/>
      <c r="I61" s="609"/>
      <c r="J61" s="610"/>
      <c r="K61" s="610"/>
      <c r="L61" s="611"/>
      <c r="M61" s="611"/>
      <c r="N61" s="611"/>
      <c r="O61" s="611"/>
      <c r="P61" s="611"/>
    </row>
    <row r="62" spans="1:27">
      <c r="A62" s="613"/>
      <c r="B62" s="603"/>
      <c r="C62" s="603"/>
      <c r="D62" s="603"/>
      <c r="E62" s="603"/>
      <c r="F62" s="603"/>
      <c r="G62" s="603"/>
      <c r="H62" s="603"/>
      <c r="I62" s="614"/>
      <c r="J62" s="603"/>
      <c r="K62" s="603"/>
      <c r="L62" s="611"/>
      <c r="M62" s="611"/>
      <c r="N62" s="611"/>
      <c r="O62" s="611"/>
      <c r="P62" s="611"/>
    </row>
    <row r="63" spans="1:27">
      <c r="A63" s="615"/>
      <c r="B63" s="616" t="s">
        <v>278</v>
      </c>
      <c r="C63" s="616" t="s">
        <v>279</v>
      </c>
      <c r="D63" s="616"/>
      <c r="E63" s="616"/>
      <c r="F63" s="616"/>
      <c r="G63" s="616"/>
      <c r="H63" s="616"/>
      <c r="I63" s="617"/>
      <c r="J63" s="616"/>
      <c r="K63" s="616"/>
      <c r="L63" s="616"/>
      <c r="M63" s="616"/>
      <c r="N63" s="616"/>
      <c r="O63" s="616"/>
      <c r="P63" s="611"/>
    </row>
    <row r="64" spans="1:27">
      <c r="A64" s="613" t="s">
        <v>275</v>
      </c>
      <c r="B64" s="618">
        <f>IF(ISERROR(O48/(O48+N48)),0,O48/(O48+N48))</f>
        <v>0.58823529411764708</v>
      </c>
      <c r="C64" s="619">
        <f>IF(ISERROR(N48/(O48+N48)),0,N48/(N48+O48))</f>
        <v>0.41176470588235287</v>
      </c>
      <c r="D64" s="586"/>
      <c r="E64" s="586"/>
      <c r="F64" s="586"/>
      <c r="G64" s="586"/>
      <c r="H64" s="586"/>
      <c r="I64" s="620"/>
      <c r="J64" s="586"/>
      <c r="K64" s="586"/>
      <c r="L64" s="621"/>
      <c r="M64" s="621"/>
      <c r="N64" s="621"/>
      <c r="O64" s="621"/>
      <c r="P64" s="611"/>
    </row>
    <row r="65" spans="1:16">
      <c r="A65" s="613"/>
      <c r="B65" s="622"/>
      <c r="C65" s="622"/>
      <c r="D65" s="622"/>
      <c r="E65" s="622"/>
      <c r="F65" s="622"/>
      <c r="G65" s="622"/>
      <c r="H65" s="622"/>
      <c r="I65" s="623"/>
      <c r="J65" s="622"/>
      <c r="K65" s="622"/>
      <c r="L65" s="624"/>
      <c r="M65" s="624"/>
      <c r="N65" s="624"/>
      <c r="O65" s="624"/>
      <c r="P65" s="611"/>
    </row>
    <row r="66" spans="1:16" ht="30">
      <c r="A66" s="625"/>
      <c r="B66" s="626" t="s">
        <v>517</v>
      </c>
      <c r="C66" s="626" t="s">
        <v>102</v>
      </c>
      <c r="D66" s="626" t="s">
        <v>103</v>
      </c>
      <c r="E66" s="626" t="s">
        <v>104</v>
      </c>
      <c r="F66" s="626" t="s">
        <v>105</v>
      </c>
      <c r="G66" s="626" t="s">
        <v>106</v>
      </c>
      <c r="H66" s="626" t="s">
        <v>107</v>
      </c>
      <c r="I66" s="627" t="s">
        <v>108</v>
      </c>
      <c r="J66" s="616"/>
      <c r="K66" s="616"/>
      <c r="L66" s="624"/>
      <c r="M66" s="624"/>
      <c r="N66" s="624"/>
      <c r="O66" s="611"/>
      <c r="P66" s="611"/>
    </row>
    <row r="67" spans="1:16">
      <c r="A67" s="615" t="s">
        <v>280</v>
      </c>
      <c r="B67" s="628">
        <f t="shared" ref="B67:I67" si="2">$C$64*P48</f>
        <v>134563.44705882351</v>
      </c>
      <c r="C67" s="628">
        <f t="shared" si="2"/>
        <v>57624.882352941167</v>
      </c>
      <c r="D67" s="628">
        <f t="shared" si="2"/>
        <v>0</v>
      </c>
      <c r="E67" s="628">
        <f t="shared" si="2"/>
        <v>0</v>
      </c>
      <c r="F67" s="628">
        <f t="shared" si="2"/>
        <v>0</v>
      </c>
      <c r="G67" s="628">
        <f t="shared" si="2"/>
        <v>0</v>
      </c>
      <c r="H67" s="628">
        <f t="shared" si="2"/>
        <v>0</v>
      </c>
      <c r="I67" s="629">
        <f t="shared" si="2"/>
        <v>0</v>
      </c>
      <c r="J67" s="586"/>
      <c r="K67" s="586"/>
      <c r="L67" s="624"/>
      <c r="M67" s="624"/>
      <c r="N67" s="624"/>
      <c r="O67" s="611"/>
      <c r="P67" s="611"/>
    </row>
    <row r="68" spans="1:16" ht="15.75" thickBot="1">
      <c r="A68" s="630" t="s">
        <v>281</v>
      </c>
      <c r="B68" s="631">
        <f t="shared" ref="B68:I68" si="3">$B$64*P48</f>
        <v>192233.49579831935</v>
      </c>
      <c r="C68" s="631">
        <f t="shared" si="3"/>
        <v>82321.260504201695</v>
      </c>
      <c r="D68" s="631">
        <f t="shared" si="3"/>
        <v>0</v>
      </c>
      <c r="E68" s="631">
        <f t="shared" si="3"/>
        <v>0</v>
      </c>
      <c r="F68" s="631">
        <f t="shared" si="3"/>
        <v>0</v>
      </c>
      <c r="G68" s="631">
        <f t="shared" si="3"/>
        <v>0</v>
      </c>
      <c r="H68" s="631">
        <f t="shared" si="3"/>
        <v>0</v>
      </c>
      <c r="I68" s="632">
        <f t="shared" si="3"/>
        <v>0</v>
      </c>
      <c r="J68" s="586"/>
      <c r="K68" s="586"/>
      <c r="L68" s="624"/>
      <c r="M68" s="624"/>
      <c r="N68" s="624"/>
      <c r="O68" s="611"/>
      <c r="P68" s="611"/>
    </row>
    <row r="69" spans="1:16">
      <c r="J69" s="566"/>
      <c r="K69" s="566"/>
      <c r="L69" s="566"/>
      <c r="M69" s="566"/>
      <c r="N69" s="566"/>
    </row>
    <row r="70" spans="1:16">
      <c r="J70" s="566"/>
      <c r="K70" s="566"/>
      <c r="L70" s="566"/>
      <c r="M70" s="566"/>
      <c r="N70"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2021-06-29T14:21:00Z</dcterms:modified>
</cp:coreProperties>
</file>