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S40" i="18"/>
  <c r="R40" i="18"/>
  <c r="Q40" i="18"/>
  <c r="P40" i="18"/>
  <c r="O40" i="18"/>
  <c r="N40" i="18"/>
  <c r="M40" i="18"/>
  <c r="W39" i="18"/>
  <c r="V39" i="18"/>
  <c r="U39" i="18"/>
  <c r="T39" i="18"/>
  <c r="S39" i="18"/>
  <c r="R39" i="18"/>
  <c r="Q39" i="18"/>
  <c r="P39" i="18"/>
  <c r="O39" i="18"/>
  <c r="C13" i="15" s="1"/>
  <c r="N39" i="18"/>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8" i="17" s="1"/>
  <c r="D12" i="17" s="1"/>
  <c r="E54" i="14" s="1"/>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9" i="20"/>
  <c r="C20" i="16"/>
  <c r="C22" i="16" s="1"/>
  <c r="D43" i="14" s="1"/>
  <c r="C10" i="17"/>
  <c r="C12" i="17" s="1"/>
  <c r="D54" i="14" s="1"/>
  <c r="D56" i="14" s="1"/>
  <c r="C18" i="15"/>
  <c r="C20" i="15" s="1"/>
  <c r="D40" i="14" s="1"/>
  <c r="C22" i="59"/>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30" i="48"/>
  <c r="C27" i="48"/>
  <c r="C29" i="48"/>
  <c r="C32" i="48"/>
  <c r="C25" i="48"/>
  <c r="C31" i="48"/>
  <c r="C26" i="48"/>
  <c r="C22" i="48"/>
  <c r="C23" i="48"/>
  <c r="F27" i="14"/>
  <c r="F63" i="14" s="1"/>
  <c r="C78" i="14"/>
  <c r="B78" i="14"/>
  <c r="C28"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<sst xmlns="http://schemas.openxmlformats.org/spreadsheetml/2006/main" count="2507" uniqueCount="911">
  <si>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</si>
  <si>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</si>
  <si>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</si>
  <si>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</si>
  <si>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</si>
  <si>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</si>
  <si>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</si>
  <si>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</si>
  <si>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</si>
  <si>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</si>
  <si>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</si>
  <si>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</si>
  <si>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</si>
  <si>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</si>
  <si>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</si>
  <si>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</si>
  <si>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</si>
  <si>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</si>
  <si>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</si>
  <si>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</si>
  <si>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</si>
  <si>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</si>
  <si>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</si>
  <si>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</si>
  <si>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</si>
  <si>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</si>
  <si>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</si>
  <si>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</si>
  <si>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</si>
  <si>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</si>
  <si>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</si>
  <si>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</si>
  <si>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</si>
  <si>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</si>
  <si>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</si>
  <si>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</si>
  <si>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</si>
  <si>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</si>
  <si>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</si>
  <si>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</si>
  <si>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</si>
  <si>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</si>
  <si>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</si>
  <si>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</si>
  <si>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</si>
  <si>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</si>
  <si>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</si>
  <si>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</si>
  <si>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</si>
  <si>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</si>
  <si>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</si>
  <si>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</si>
  <si>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</si>
  <si>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</si>
  <si>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</si>
  <si>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</si>
  <si>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</si>
  <si>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</si>
  <si>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</si>
  <si>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</si>
  <si>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</si>
  <si>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</si>
  <si>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</si>
  <si>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</si>
  <si>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</si>
  <si>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</si>
  <si>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</si>
  <si>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</si>
  <si>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</si>
  <si>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</si>
  <si>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</si>
  <si>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</si>
  <si>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</si>
  <si>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</si>
  <si>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</si>
  <si>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</si>
  <si>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</si>
  <si>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</si>
  <si>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</si>
  <si>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</si>
  <si>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</si>
  <si>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</si>
  <si>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</si>
  <si>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</si>
  <si>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</si>
  <si>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</si>
  <si>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</si>
  <si>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</si>
  <si>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</si>
  <si>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</si>
  <si>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</si>
  <si>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</si>
  <si>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</si>
  <si>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</si>
  <si>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</si>
  <si>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</si>
  <si>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</si>
  <si>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</si>
  <si>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</si>
  <si>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</si>
  <si>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</si>
  <si>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</si>
  <si>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</si>
  <si>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</si>
  <si>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</si>
  <si>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</si>
  <si>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</si>
  <si>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</si>
  <si>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</si>
  <si>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</si>
  <si>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</si>
  <si>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</si>
  <si>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</si>
  <si>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</si>
  <si>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</si>
  <si>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</si>
  <si>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</si>
  <si>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</si>
  <si>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</si>
  <si>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</si>
  <si>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</si>
  <si>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</si>
  <si>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</si>
  <si>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</si>
  <si>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</si>
  <si>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</si>
  <si>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</si>
  <si>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</si>
  <si>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</si>
  <si>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</si>
  <si>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</si>
  <si>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</si>
  <si>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</si>
  <si>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</si>
  <si>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</si>
  <si>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</si>
  <si>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</si>
  <si>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</si>
  <si>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</si>
  <si>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</si>
  <si>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</si>
  <si>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</si>
  <si>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</si>
  <si>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</si>
  <si>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</si>
  <si>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</si>
  <si>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</si>
  <si>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</si>
  <si>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</si>
  <si>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</si>
  <si>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</si>
  <si>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</si>
  <si>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</si>
  <si>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</si>
  <si>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</si>
  <si>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</si>
  <si>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</si>
  <si>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</si>
  <si>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</si>
  <si>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</si>
  <si>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</si>
  <si>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</si>
  <si>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</si>
  <si>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</si>
  <si>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</si>
  <si>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</si>
  <si>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</si>
  <si>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</si>
  <si>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</si>
  <si>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</si>
  <si>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</si>
  <si>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</si>
  <si>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</si>
  <si>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</si>
  <si>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</si>
  <si>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</si>
  <si>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</si>
  <si>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</si>
  <si>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</si>
  <si>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</si>
  <si>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</si>
  <si>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</si>
  <si>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</si>
  <si>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</si>
  <si>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</si>
  <si>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</si>
  <si>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</si>
  <si>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</si>
  <si>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</si>
  <si>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</si>
  <si>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</si>
  <si>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</si>
  <si>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</si>
  <si>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</si>
  <si>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</si>
  <si>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</si>
  <si>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</si>
  <si>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</si>
  <si>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</si>
  <si>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</si>
  <si>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</si>
  <si>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</si>
  <si>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</si>
  <si>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</si>
  <si>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</si>
  <si>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</si>
  <si>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</si>
  <si>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</si>
  <si>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</si>
  <si>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</si>
  <si>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</si>
  <si>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</si>
  <si>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</si>
  <si>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</si>
  <si>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</si>
  <si>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</si>
  <si>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</si>
  <si>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</si>
  <si>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</si>
  <si>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</si>
  <si>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</si>
  <si>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</si>
  <si>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</si>
  <si>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</si>
  <si>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</si>
  <si>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</si>
  <si>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</si>
  <si>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</si>
  <si>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</si>
  <si>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</si>
  <si>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</si>
  <si>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</si>
  <si>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</si>
  <si>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</si>
  <si>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</si>
  <si>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</si>
  <si>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</si>
  <si>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</si>
  <si>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</si>
  <si>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</si>
  <si>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</si>
  <si>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</si>
  <si>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</si>
  <si>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</si>
  <si>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</si>
  <si>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</si>
  <si>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</si>
  <si>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</si>
  <si>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</si>
  <si>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</si>
  <si>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</si>
  <si>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</si>
  <si>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</si>
  <si>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</si>
  <si>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</si>
  <si>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</si>
  <si>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</si>
  <si>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</si>
  <si>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</si>
  <si>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</si>
  <si>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</si>
  <si>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</si>
  <si>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</si>
  <si>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</si>
  <si>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</si>
  <si>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</si>
  <si>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</si>
  <si>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</si>
  <si>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</si>
  <si>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</si>
  <si>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</si>
  <si>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</si>
  <si>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</si>
  <si>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</si>
  <si>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</si>
  <si>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</si>
  <si>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</si>
  <si>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</si>
  <si>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</si>
  <si>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</si>
  <si>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</si>
  <si>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</si>
  <si>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</si>
  <si>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</si>
  <si>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</si>
  <si>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</si>
  <si>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</si>
  <si>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</si>
  <si>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</si>
  <si>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</si>
  <si>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</si>
  <si>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</si>
  <si>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</si>
  <si>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</si>
  <si>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</si>
  <si>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</si>
  <si>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</si>
  <si>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</si>
  <si>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</si>
  <si>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</si>
  <si>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</si>
  <si>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</si>
  <si>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</si>
  <si>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</si>
  <si>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</si>
  <si>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</si>
  <si>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</si>
  <si>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</si>
  <si>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</si>
  <si>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</si>
  <si>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</si>
  <si>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</si>
  <si>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</si>
  <si>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</si>
  <si>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</si>
  <si>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</si>
  <si>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</si>
  <si>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</si>
  <si>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</si>
  <si>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</si>
  <si>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</si>
  <si>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</si>
  <si>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</si>
  <si>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</si>
  <si>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</si>
  <si>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</si>
  <si>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</si>
  <si>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</si>
  <si>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</si>
  <si>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</si>
  <si>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</si>
  <si>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</si>
  <si>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</si>
  <si>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</si>
  <si>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</si>
  <si>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</si>
  <si>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</si>
  <si>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</si>
  <si>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</si>
  <si>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</si>
  <si>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</si>
  <si>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</si>
  <si>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</si>
  <si>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</si>
  <si>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</si>
  <si>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</si>
  <si>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</si>
  <si>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</si>
  <si>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</si>
  <si>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</si>
  <si>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</si>
  <si>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</si>
  <si>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</si>
  <si>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</si>
  <si>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</si>
  <si>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</si>
  <si>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</si>
  <si>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</si>
  <si>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</si>
  <si>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</si>
  <si>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</si>
  <si>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</si>
  <si>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</si>
  <si>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</si>
  <si>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</si>
  <si>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</si>
  <si>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</si>
  <si>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</si>
  <si>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</si>
  <si>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</si>
  <si>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</si>
  <si>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</si>
  <si>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</si>
  <si>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</si>
  <si>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</si>
  <si>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</si>
  <si>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</si>
  <si>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</si>
  <si>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</si>
  <si>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</si>
  <si>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</si>
  <si>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</si>
  <si>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</si>
  <si>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</si>
  <si>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</si>
  <si>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</si>
  <si>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</si>
  <si>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</si>
  <si>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</si>
  <si>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</si>
  <si>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</si>
  <si>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</si>
  <si>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</si>
  <si>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</si>
  <si>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</si>
  <si>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</si>
  <si>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</si>
  <si>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</si>
  <si>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</si>
  <si>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</si>
  <si>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</si>
  <si>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</si>
  <si>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</si>
  <si>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</si>
  <si>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</si>
  <si>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</si>
  <si>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</si>
  <si>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</si>
  <si>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</si>
  <si>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</si>
  <si>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</si>
  <si>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</si>
  <si>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</si>
  <si>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</si>
  <si>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</si>
  <si>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</si>
  <si>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</si>
  <si>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</si>
  <si>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</si>
  <si>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</si>
  <si>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</si>
  <si>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</si>
  <si>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</si>
  <si>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</si>
  <si>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</si>
  <si>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</si>
  <si>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</si>
  <si>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</si>
  <si>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</si>
  <si>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</si>
  <si>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</si>
  <si>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</si>
  <si>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</si>
  <si>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</si>
  <si>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</si>
  <si>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</si>
  <si>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</si>
  <si>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</si>
  <si>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</si>
  <si>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</si>
  <si>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</si>
  <si>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</si>
  <si>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</si>
  <si>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</si>
  <si>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</si>
  <si>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</si>
  <si>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</si>
  <si>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</si>
  <si>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</si>
  <si>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</si>
  <si>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</si>
  <si>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</si>
  <si>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</si>
  <si>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</si>
  <si>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</si>
  <si>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</si>
  <si>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</si>
  <si>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</si>
  <si>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</si>
  <si>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</si>
  <si>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</si>
  <si>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</si>
  <si>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</si>
  <si>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</si>
  <si>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</si>
  <si>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</si>
  <si>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</si>
  <si>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</si>
  <si>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</si>
  <si>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</si>
  <si>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</si>
  <si>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</si>
  <si>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</si>
  <si>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</si>
  <si>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</si>
  <si>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</si>
  <si>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</si>
  <si>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</si>
  <si>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</si>
  <si>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</si>
  <si>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</si>
  <si>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</si>
  <si>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</si>
  <si>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</si>
  <si>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</si>
  <si>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</si>
  <si>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</si>
  <si>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</si>
  <si>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</si>
  <si>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</si>
  <si>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</si>
  <si>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</si>
  <si>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</si>
  <si>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</si>
  <si>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</si>
  <si>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</si>
  <si>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</si>
  <si>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</si>
  <si>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</si>
  <si>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</si>
  <si>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</si>
  <si>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</si>
  <si>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</si>
  <si>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</si>
  <si>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</si>
  <si>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</si>
  <si>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</si>
  <si>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</si>
  <si>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</si>
  <si>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</si>
  <si>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</si>
  <si>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</si>
  <si>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</si>
  <si>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</si>
  <si>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</si>
  <si>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</si>
  <si>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</si>
  <si>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</si>
  <si>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</si>
  <si>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</si>
  <si>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</si>
  <si>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</si>
  <si>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</si>
  <si>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</si>
  <si>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</si>
  <si>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</si>
  <si>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</si>
  <si>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</si>
  <si>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</si>
  <si>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</si>
  <si>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</si>
  <si>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</si>
  <si>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</si>
  <si>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</si>
  <si>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</si>
  <si>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</si>
  <si>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</si>
  <si>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</si>
  <si>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</si>
  <si>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</si>
  <si>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</si>
  <si>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</si>
  <si>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</si>
  <si>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</si>
  <si>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</si>
  <si>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</si>
  <si>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</si>
  <si>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</si>
  <si>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</si>
  <si>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</si>
  <si>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</si>
  <si>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</si>
  <si>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</si>
  <si>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</si>
  <si>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</si>
  <si>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</si>
  <si>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</si>
  <si>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</si>
  <si>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</si>
  <si>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</si>
  <si>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</si>
  <si>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</si>
  <si>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</si>
  <si>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</si>
  <si>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</si>
  <si>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</si>
  <si>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</si>
  <si>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</si>
  <si>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</si>
  <si>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</si>
  <si>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</si>
  <si>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</si>
  <si>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</si>
  <si>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</si>
  <si>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</si>
  <si>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</si>
  <si>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</si>
  <si>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</si>
  <si>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</si>
  <si>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</si>
  <si>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</si>
  <si>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</si>
  <si>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</si>
  <si>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</si>
  <si>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</si>
  <si>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</si>
  <si>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</si>
  <si>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</si>
  <si>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</si>
  <si>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</si>
  <si>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</si>
  <si>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</si>
  <si>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</si>
  <si>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</si>
  <si>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</si>
  <si>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</si>
  <si>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</si>
  <si>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</si>
  <si>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</si>
  <si>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</si>
  <si>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</si>
  <si>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</si>
  <si>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</si>
  <si>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</si>
  <si>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</si>
  <si>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</si>
  <si>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</si>
  <si>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</si>
  <si>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</si>
  <si>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</si>
  <si>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</si>
  <si>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</si>
  <si>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</si>
  <si>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</si>
  <si>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</si>
  <si>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</si>
  <si>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</si>
  <si>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</si>
  <si>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</si>
  <si>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</si>
  <si>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</si>
  <si>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</si>
  <si>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</si>
  <si>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</si>
  <si>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</si>
  <si>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</si>
  <si>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</si>
  <si>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</si>
  <si>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</si>
  <si>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</si>
  <si>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</si>
  <si>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</si>
  <si>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</si>
  <si>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</si>
  <si>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</si>
  <si>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</si>
  <si>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</si>
  <si>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</si>
  <si>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</si>
  <si>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</si>
  <si>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</si>
  <si>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</si>
  <si>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</si>
  <si>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</si>
  <si>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</si>
  <si>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</si>
  <si>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</si>
  <si>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</si>
  <si>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</si>
  <si>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</si>
  <si>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</si>
  <si>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</si>
  <si>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</si>
  <si>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</si>
  <si>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</si>
  <si>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</si>
  <si>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</si>
  <si>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</si>
  <si>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</si>
  <si>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</si>
  <si>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</si>
  <si>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</si>
  <si>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</si>
  <si>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</si>
  <si>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</si>
  <si>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</si>
  <si>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</si>
  <si>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</si>
  <si>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</si>
  <si>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</si>
  <si>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</si>
  <si>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</si>
  <si>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</si>
  <si>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</si>
  <si>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</si>
  <si>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</si>
  <si>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</si>
  <si>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</si>
  <si>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</si>
  <si>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</si>
  <si>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</si>
  <si>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</si>
  <si>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</si>
  <si>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</si>
  <si>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</si>
  <si>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</si>
  <si>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</si>
  <si>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</si>
  <si>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</si>
  <si>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</si>
  <si>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</si>
  <si>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</si>
  <si>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</si>
  <si>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</si>
  <si>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</si>
  <si>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</si>
  <si>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</si>
  <si>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</si>
  <si>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</si>
  <si>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</si>
  <si>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</si>
  <si>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</si>
  <si>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</si>
  <si>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</si>
  <si>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</si>
  <si>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</si>
  <si>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</si>
  <si>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</si>
  <si>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</si>
  <si>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</si>
  <si>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</si>
  <si>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</si>
  <si>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</si>
  <si>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</si>
  <si>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</si>
  <si>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</si>
  <si>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</si>
  <si>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</si>
  <si>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</si>
  <si>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</si>
  <si>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</si>
  <si>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</si>
  <si>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</si>
  <si>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</si>
  <si>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</si>
  <si>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</si>
  <si>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</si>
  <si>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</si>
  <si>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</si>
  <si>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</si>
  <si>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</si>
  <si>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</si>
  <si>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</si>
  <si>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</si>
  <si>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</si>
  <si>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</si>
  <si>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</si>
  <si>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</si>
  <si>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</si>
  <si>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</si>
  <si>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</si>
  <si>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</si>
  <si>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</si>
  <si>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</si>
  <si>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</si>
  <si>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</si>
  <si>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</si>
  <si>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</si>
  <si>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</si>
  <si>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</si>
  <si>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</si>
  <si>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</si>
  <si>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</si>
  <si>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</si>
  <si>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</si>
  <si>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</si>
  <si>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</si>
  <si>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</si>
  <si>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</si>
  <si>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</si>
  <si>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</si>
  <si>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</si>
  <si>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</si>
  <si>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</si>
  <si>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</si>
  <si>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</si>
  <si>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</si>
  <si>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</si>
  <si>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</si>
  <si>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</si>
  <si>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</si>
  <si>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</si>
  <si>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</si>
  <si>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</si>
  <si>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</si>
  <si>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</si>
  <si>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</si>
  <si>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</si>
  <si>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</si>
  <si>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</si>
  <si>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</si>
  <si>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</si>
  <si>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</si>
  <si>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</si>
  <si>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</si>
  <si>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</si>
  <si>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</si>
  <si>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</si>
  <si>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</si>
  <si>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</si>
  <si>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</si>
  <si>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</si>
  <si>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</si>
  <si>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</si>
  <si>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</si>
  <si>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</si>
  <si>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</si>
  <si>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</si>
  <si>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</si>
  <si>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</si>
  <si>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</si>
  <si>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</si>
  <si>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</si>
  <si>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</si>
  <si>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</si>
  <si>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</si>
  <si>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</si>
  <si>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</si>
  <si>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</si>
  <si>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</si>
  <si>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</si>
  <si>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</si>
  <si>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</si>
  <si>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</si>
  <si>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</si>
  <si>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</si>
  <si>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</si>
  <si>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</si>
  <si>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</si>
  <si>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</si>
  <si>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</si>
  <si>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</si>
  <si>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</si>
  <si>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</si>
  <si>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</si>
  <si>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</si>
  <si>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</si>
  <si>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</si>
  <si>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</si>
  <si>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</si>
  <si>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</si>
  <si>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</si>
  <si>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</si>
  <si>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</si>
  <si>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</si>
  <si>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</si>
  <si>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</si>
  <si>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</si>
  <si>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</si>
  <si>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</si>
  <si>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</si>
  <si>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</si>
  <si>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</si>
  <si>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</si>
  <si>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</si>
  <si>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</si>
  <si>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</si>
  <si>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</si>
  <si>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</si>
  <si>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</si>
  <si>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</si>
  <si>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</si>
  <si>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</si>
  <si>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</si>
  <si>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</si>
  <si>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</si>
  <si>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</si>
  <si>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</si>
  <si>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</si>
  <si>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</si>
  <si>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</si>
  <si>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</si>
  <si>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</si>
  <si>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</si>
  <si>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</si>
  <si>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</si>
  <si>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</si>
  <si>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</si>
  <si>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</si>
  <si>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</si>
  <si>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44083</t>
  </si>
  <si>
    <t>DEINZE</t>
  </si>
  <si>
    <t>referentietaak LNE (2017); Jaarverslag De Lijn</t>
  </si>
  <si>
    <t>waterkracht</t>
  </si>
  <si>
    <t>Vlaemynck</t>
  </si>
  <si>
    <t>Nieuwe Kerkstraat 8, 9850 Nevele</t>
  </si>
  <si>
    <t>WKK-0111 Vlaemynck</t>
  </si>
  <si>
    <t>interne verbrandingsmotor</t>
  </si>
  <si>
    <t>WKK interne verbrandinsgmotor (gas)</t>
  </si>
  <si>
    <t>IMEWO (via EANDIS)</t>
  </si>
  <si>
    <t>Gemapa bvba</t>
  </si>
  <si>
    <t>Veldeken 25, 9850 Nevele</t>
  </si>
  <si>
    <t>WKK-0117 Gemapa</t>
  </si>
  <si>
    <t>Tonny De Smet</t>
  </si>
  <si>
    <t>Graaf van Hoornestraat 77, 9850 Nevele</t>
  </si>
  <si>
    <t>WKK-0159 Tonny De Smet</t>
  </si>
  <si>
    <t>Patoma bvba</t>
  </si>
  <si>
    <t>Wierookstraat 2 , 9800 Deinze</t>
  </si>
  <si>
    <t>WKK-0184 Patoma</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</si>
  <si>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</si>
  <si>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</si>
  <si>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</si>
  <si>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</si>
  <si>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</si>
  <si>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</si>
  <si>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</si>
  <si>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</si>
  <si>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</si>
  <si>
    <t>Patoma II</t>
  </si>
  <si>
    <t>WKK-0699</t>
  </si>
  <si>
    <t>Interne verbrandingsmotor</t>
  </si>
  <si>
    <t>Wierookstraat 2</t>
  </si>
  <si>
    <t>Gaselwest (via EANDIS)</t>
  </si>
  <si>
    <t>Langeraert</t>
  </si>
  <si>
    <t>WKK-0849</t>
  </si>
  <si>
    <t>Brandstofcel</t>
  </si>
  <si>
    <t>brandstofcel</t>
  </si>
  <si>
    <t>Eikendreef 3</t>
  </si>
  <si>
    <t>TomatoMasters</t>
  </si>
  <si>
    <t>WKK-0717</t>
  </si>
  <si>
    <t>Stokstormestraat 14 /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</si>
</sst>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355347.03757278551</c:v>
                </c:pt>
                <c:pt idx="1">
                  <c:v>305925.3488892747</c:v>
                </c:pt>
                <c:pt idx="2">
                  <c:v>3183.442</c:v>
                </c:pt>
                <c:pt idx="3">
                  <c:v>222436.90815225145</c:v>
                </c:pt>
                <c:pt idx="4">
                  <c:v>184803.02148426714</c:v>
                </c:pt>
                <c:pt idx="5">
                  <c:v>431079.98990047135</c:v>
                </c:pt>
                <c:pt idx="6">
                  <c:v>2142.5424433661424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355347.03757278551</c:v>
                </c:pt>
                <c:pt idx="1">
                  <c:v>305925.3488892747</c:v>
                </c:pt>
                <c:pt idx="2">
                  <c:v>3183.442</c:v>
                </c:pt>
                <c:pt idx="3">
                  <c:v>222436.90815225145</c:v>
                </c:pt>
                <c:pt idx="4">
                  <c:v>184803.02148426714</c:v>
                </c:pt>
                <c:pt idx="5">
                  <c:v>431079.98990047135</c:v>
                </c:pt>
                <c:pt idx="6">
                  <c:v>2142.5424433661424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72105.207343373564</c:v>
                </c:pt>
                <c:pt idx="1">
                  <c:v>60755.535274630172</c:v>
                </c:pt>
                <c:pt idx="2">
                  <c:v>591.09572617963033</c:v>
                </c:pt>
                <c:pt idx="3">
                  <c:v>44954.413322500332</c:v>
                </c:pt>
                <c:pt idx="4">
                  <c:v>36313.967359754773</c:v>
                </c:pt>
                <c:pt idx="5">
                  <c:v>107055.15114541954</c:v>
                </c:pt>
                <c:pt idx="6">
                  <c:v>538.86541472153237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72105.207343373564</c:v>
                </c:pt>
                <c:pt idx="1">
                  <c:v>60755.535274630172</c:v>
                </c:pt>
                <c:pt idx="2">
                  <c:v>591.09572617963033</c:v>
                </c:pt>
                <c:pt idx="3">
                  <c:v>44954.413322500332</c:v>
                </c:pt>
                <c:pt idx="4">
                  <c:v>36313.967359754773</c:v>
                </c:pt>
                <c:pt idx="5">
                  <c:v>107055.15114541954</c:v>
                </c:pt>
                <c:pt idx="6">
                  <c:v>538.86541472153237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44083</v>
      </c>
      <c r="B6" s="386"/>
      <c r="C6" s="387"/>
    </row>
    <row r="7" spans="1:7" s="384" customFormat="1" ht="15.75" customHeight="1">
      <c r="A7" s="388" t="str">
        <f>txtMunicipality</f>
        <v>DEINZE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67990.828667684371</v>
      </c>
      <c r="D10" s="683">
        <f ca="1">tertiair!C16</f>
        <v>12.175675675675675</v>
      </c>
      <c r="E10" s="683">
        <f ca="1">tertiair!D16</f>
        <v>224280.42908423592</v>
      </c>
      <c r="F10" s="683">
        <f>tertiair!E16</f>
        <v>262.63107019149197</v>
      </c>
      <c r="G10" s="683">
        <f ca="1">tertiair!F16</f>
        <v>12567.821765287488</v>
      </c>
      <c r="H10" s="683">
        <f>tertiair!G16</f>
        <v>0</v>
      </c>
      <c r="I10" s="683">
        <f>tertiair!H16</f>
        <v>0</v>
      </c>
      <c r="J10" s="683">
        <f>tertiair!I16</f>
        <v>0</v>
      </c>
      <c r="K10" s="683">
        <f>tertiair!J16</f>
        <v>8.2223083274356443E-2</v>
      </c>
      <c r="L10" s="683">
        <f>tertiair!K16</f>
        <v>0</v>
      </c>
      <c r="M10" s="683">
        <f ca="1">tertiair!L16</f>
        <v>0</v>
      </c>
      <c r="N10" s="683">
        <f>tertiair!M16</f>
        <v>0</v>
      </c>
      <c r="O10" s="683">
        <f ca="1">tertiair!N16</f>
        <v>3215.19911993294</v>
      </c>
      <c r="P10" s="683">
        <f>tertiair!O16</f>
        <v>44.075346892570387</v>
      </c>
      <c r="Q10" s="684">
        <f>tertiair!P16</f>
        <v>735.54793629093024</v>
      </c>
      <c r="R10" s="686">
        <f ca="1">SUM(C10:Q10)</f>
        <v>309108.79088927474</v>
      </c>
      <c r="S10" s="67"/>
    </row>
    <row r="11" spans="1:19" s="445" customFormat="1">
      <c r="A11" s="804" t="s">
        <v>220</v>
      </c>
      <c r="B11" s="809"/>
      <c r="C11" s="683">
        <f>huishoudens!B8</f>
        <v>78730.156019879374</v>
      </c>
      <c r="D11" s="683">
        <f>huishoudens!C8</f>
        <v>0</v>
      </c>
      <c r="E11" s="683">
        <f>huishoudens!D8</f>
        <v>130756.88567142971</v>
      </c>
      <c r="F11" s="683">
        <f>huishoudens!E8</f>
        <v>5077.2099362154795</v>
      </c>
      <c r="G11" s="683">
        <f>huishoudens!F8</f>
        <v>111224.43397355932</v>
      </c>
      <c r="H11" s="683">
        <f>huishoudens!G8</f>
        <v>0</v>
      </c>
      <c r="I11" s="683">
        <f>huishoudens!H8</f>
        <v>0</v>
      </c>
      <c r="J11" s="683">
        <f>huishoudens!I8</f>
        <v>0</v>
      </c>
      <c r="K11" s="683">
        <f>huishoudens!J8</f>
        <v>633.88021424966723</v>
      </c>
      <c r="L11" s="683">
        <f>huishoudens!K8</f>
        <v>0</v>
      </c>
      <c r="M11" s="683">
        <f>huishoudens!L8</f>
        <v>0</v>
      </c>
      <c r="N11" s="683">
        <f>huishoudens!M8</f>
        <v>0</v>
      </c>
      <c r="O11" s="683">
        <f>huishoudens!N8</f>
        <v>25009.393274668924</v>
      </c>
      <c r="P11" s="683">
        <f>huishoudens!O8</f>
        <v>1418.5301268617277</v>
      </c>
      <c r="Q11" s="684">
        <f>huishoudens!P8</f>
        <v>2496.5483559213508</v>
      </c>
      <c r="R11" s="686">
        <f>SUM(C11:Q11)</f>
        <v>355347.03757278551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79738.933185986738</v>
      </c>
      <c r="D13" s="683">
        <f>industrie!C18</f>
        <v>0</v>
      </c>
      <c r="E13" s="683">
        <f>industrie!D18</f>
        <v>83286.557671449322</v>
      </c>
      <c r="F13" s="683">
        <f>industrie!E18</f>
        <v>281.87227724042901</v>
      </c>
      <c r="G13" s="683">
        <f>industrie!F18</f>
        <v>17138.170749704062</v>
      </c>
      <c r="H13" s="683">
        <f>industrie!G18</f>
        <v>0</v>
      </c>
      <c r="I13" s="683">
        <f>industrie!H18</f>
        <v>0</v>
      </c>
      <c r="J13" s="683">
        <f>industrie!I18</f>
        <v>0</v>
      </c>
      <c r="K13" s="683">
        <f>industrie!J18</f>
        <v>125.49685408078444</v>
      </c>
      <c r="L13" s="683">
        <f>industrie!K18</f>
        <v>0</v>
      </c>
      <c r="M13" s="683">
        <f>industrie!L18</f>
        <v>0</v>
      </c>
      <c r="N13" s="683">
        <f>industrie!M18</f>
        <v>0</v>
      </c>
      <c r="O13" s="683">
        <f>industrie!N18</f>
        <v>4231.9907458057896</v>
      </c>
      <c r="P13" s="683">
        <f>industrie!O18</f>
        <v>0</v>
      </c>
      <c r="Q13" s="684">
        <f>industrie!P18</f>
        <v>0</v>
      </c>
      <c r="R13" s="686">
        <f>SUM(C13:Q13)</f>
        <v>184803.02148426714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226459.91787355047</v>
      </c>
      <c r="D16" s="719">
        <f t="shared" ref="D16:R16" ca="1" si="0">SUM(D9:D15)</f>
        <v>12.175675675675675</v>
      </c>
      <c r="E16" s="719">
        <f t="shared" ca="1" si="0"/>
        <v>438323.87242711493</v>
      </c>
      <c r="F16" s="719">
        <f t="shared" si="0"/>
        <v>5621.7132836474002</v>
      </c>
      <c r="G16" s="719">
        <f t="shared" ca="1" si="0"/>
        <v>140930.42648855087</v>
      </c>
      <c r="H16" s="719">
        <f t="shared" si="0"/>
        <v>0</v>
      </c>
      <c r="I16" s="719">
        <f t="shared" si="0"/>
        <v>0</v>
      </c>
      <c r="J16" s="719">
        <f t="shared" si="0"/>
        <v>0</v>
      </c>
      <c r="K16" s="719">
        <f t="shared" si="0"/>
        <v>759.45929141372608</v>
      </c>
      <c r="L16" s="719">
        <f t="shared" si="0"/>
        <v>0</v>
      </c>
      <c r="M16" s="719">
        <f t="shared" ca="1" si="0"/>
        <v>0</v>
      </c>
      <c r="N16" s="719">
        <f t="shared" si="0"/>
        <v>0</v>
      </c>
      <c r="O16" s="719">
        <f t="shared" ca="1" si="0"/>
        <v>32456.583140407653</v>
      </c>
      <c r="P16" s="719">
        <f t="shared" si="0"/>
        <v>1462.6054737542981</v>
      </c>
      <c r="Q16" s="719">
        <f t="shared" si="0"/>
        <v>3232.0962922122808</v>
      </c>
      <c r="R16" s="719">
        <f t="shared" ca="1" si="0"/>
        <v>849258.84994632751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31.884234431278241</v>
      </c>
      <c r="D19" s="683">
        <f>transport!C54</f>
        <v>0</v>
      </c>
      <c r="E19" s="683">
        <f>transport!D54</f>
        <v>0</v>
      </c>
      <c r="F19" s="683">
        <f>transport!E54</f>
        <v>0</v>
      </c>
      <c r="G19" s="683">
        <f>transport!F54</f>
        <v>0</v>
      </c>
      <c r="H19" s="683">
        <f>transport!G54</f>
        <v>1996.049468189701</v>
      </c>
      <c r="I19" s="683">
        <f>transport!H54</f>
        <v>0</v>
      </c>
      <c r="J19" s="683">
        <f>transport!I54</f>
        <v>0</v>
      </c>
      <c r="K19" s="683">
        <f>transport!J54</f>
        <v>0</v>
      </c>
      <c r="L19" s="683">
        <f>transport!K54</f>
        <v>0</v>
      </c>
      <c r="M19" s="683">
        <f>transport!L54</f>
        <v>0</v>
      </c>
      <c r="N19" s="683">
        <f>transport!M54</f>
        <v>114.60874074516312</v>
      </c>
      <c r="O19" s="683">
        <f>transport!N54</f>
        <v>0</v>
      </c>
      <c r="P19" s="683">
        <f>transport!O54</f>
        <v>0</v>
      </c>
      <c r="Q19" s="684">
        <f>transport!P54</f>
        <v>0</v>
      </c>
      <c r="R19" s="686">
        <f>SUM(C19:Q19)</f>
        <v>2142.5424433661424</v>
      </c>
      <c r="S19" s="67"/>
    </row>
    <row r="20" spans="1:19" s="445" customFormat="1">
      <c r="A20" s="804" t="s">
        <v>302</v>
      </c>
      <c r="B20" s="809"/>
      <c r="C20" s="683">
        <f>transport!B14</f>
        <v>924.7256563928247</v>
      </c>
      <c r="D20" s="683">
        <f>transport!C14</f>
        <v>0</v>
      </c>
      <c r="E20" s="683">
        <f>transport!D14</f>
        <v>1532.7575049563595</v>
      </c>
      <c r="F20" s="683">
        <f>transport!E14</f>
        <v>655.04127390678673</v>
      </c>
      <c r="G20" s="683">
        <f>transport!F14</f>
        <v>0</v>
      </c>
      <c r="H20" s="683">
        <f>transport!G14</f>
        <v>327246.14591586811</v>
      </c>
      <c r="I20" s="683">
        <f>transport!H14</f>
        <v>76507.700486230839</v>
      </c>
      <c r="J20" s="683">
        <f>transport!I14</f>
        <v>0</v>
      </c>
      <c r="K20" s="683">
        <f>transport!J14</f>
        <v>0</v>
      </c>
      <c r="L20" s="683">
        <f>transport!K14</f>
        <v>0</v>
      </c>
      <c r="M20" s="683">
        <f>transport!L14</f>
        <v>0</v>
      </c>
      <c r="N20" s="683">
        <f>transport!M14</f>
        <v>24213.619063116461</v>
      </c>
      <c r="O20" s="683">
        <f>transport!N14</f>
        <v>0</v>
      </c>
      <c r="P20" s="683">
        <f>transport!O14</f>
        <v>0</v>
      </c>
      <c r="Q20" s="684">
        <f>transport!P14</f>
        <v>0</v>
      </c>
      <c r="R20" s="686">
        <f>SUM(C20:Q20)</f>
        <v>431079.98990047135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956.60989082410299</v>
      </c>
      <c r="D22" s="807">
        <f t="shared" ref="D22:R22" si="1">SUM(D18:D21)</f>
        <v>0</v>
      </c>
      <c r="E22" s="807">
        <f t="shared" si="1"/>
        <v>1532.7575049563595</v>
      </c>
      <c r="F22" s="807">
        <f t="shared" si="1"/>
        <v>655.04127390678673</v>
      </c>
      <c r="G22" s="807">
        <f t="shared" si="1"/>
        <v>0</v>
      </c>
      <c r="H22" s="807">
        <f t="shared" si="1"/>
        <v>329242.19538405782</v>
      </c>
      <c r="I22" s="807">
        <f t="shared" si="1"/>
        <v>76507.700486230839</v>
      </c>
      <c r="J22" s="807">
        <f t="shared" si="1"/>
        <v>0</v>
      </c>
      <c r="K22" s="807">
        <f t="shared" si="1"/>
        <v>0</v>
      </c>
      <c r="L22" s="807">
        <f t="shared" si="1"/>
        <v>0</v>
      </c>
      <c r="M22" s="807">
        <f t="shared" si="1"/>
        <v>0</v>
      </c>
      <c r="N22" s="807">
        <f t="shared" si="1"/>
        <v>24328.227803861624</v>
      </c>
      <c r="O22" s="807">
        <f t="shared" si="1"/>
        <v>0</v>
      </c>
      <c r="P22" s="807">
        <f t="shared" si="1"/>
        <v>0</v>
      </c>
      <c r="Q22" s="807">
        <f t="shared" si="1"/>
        <v>0</v>
      </c>
      <c r="R22" s="807">
        <f t="shared" si="1"/>
        <v>433222.53234383749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9398.5644841610901</v>
      </c>
      <c r="D24" s="683">
        <f>+landbouw!C8</f>
        <v>180628.39285714284</v>
      </c>
      <c r="E24" s="683">
        <f>+landbouw!D8</f>
        <v>0</v>
      </c>
      <c r="F24" s="683">
        <f>+landbouw!E8</f>
        <v>269.19079210941146</v>
      </c>
      <c r="G24" s="683">
        <f>+landbouw!F8</f>
        <v>29751.000207922069</v>
      </c>
      <c r="H24" s="683">
        <f>+landbouw!G8</f>
        <v>0</v>
      </c>
      <c r="I24" s="683">
        <f>+landbouw!H8</f>
        <v>0</v>
      </c>
      <c r="J24" s="683">
        <f>+landbouw!I8</f>
        <v>0</v>
      </c>
      <c r="K24" s="683">
        <f>+landbouw!J8</f>
        <v>2389.7598109160258</v>
      </c>
      <c r="L24" s="683">
        <f>+landbouw!K8</f>
        <v>0</v>
      </c>
      <c r="M24" s="683">
        <f>+landbouw!L8</f>
        <v>0</v>
      </c>
      <c r="N24" s="683">
        <f>+landbouw!M8</f>
        <v>0</v>
      </c>
      <c r="O24" s="683">
        <f>+landbouw!N8</f>
        <v>0</v>
      </c>
      <c r="P24" s="683">
        <f>+landbouw!O8</f>
        <v>0</v>
      </c>
      <c r="Q24" s="684">
        <f>+landbouw!P8</f>
        <v>0</v>
      </c>
      <c r="R24" s="686">
        <f>SUM(C24:Q24)</f>
        <v>222436.90815225145</v>
      </c>
      <c r="S24" s="67"/>
    </row>
    <row r="25" spans="1:19" s="445" customFormat="1" ht="15" thickBot="1">
      <c r="A25" s="826" t="s">
        <v>696</v>
      </c>
      <c r="B25" s="939"/>
      <c r="C25" s="940">
        <f>IF(Onbekend_ele_kWh="---",0,Onbekend_ele_kWh)/1000+IF(REST_rest_ele_kWh="---",0,REST_rest_ele_kWh)/1000</f>
        <v>2156.4618879883601</v>
      </c>
      <c r="D25" s="940"/>
      <c r="E25" s="940">
        <f>IF(onbekend_gas_kWh="---",0,onbekend_gas_kWh)/1000+IF(REST_rest_gas_kWh="---",0,REST_rest_gas_kWh)/1000</f>
        <v>4009.5221236081702</v>
      </c>
      <c r="F25" s="940"/>
      <c r="G25" s="940"/>
      <c r="H25" s="940"/>
      <c r="I25" s="940"/>
      <c r="J25" s="940"/>
      <c r="K25" s="940"/>
      <c r="L25" s="940"/>
      <c r="M25" s="940"/>
      <c r="N25" s="940"/>
      <c r="O25" s="940"/>
      <c r="P25" s="940"/>
      <c r="Q25" s="941"/>
      <c r="R25" s="686">
        <f>SUM(C25:Q25)</f>
        <v>6165.9840115965308</v>
      </c>
      <c r="S25" s="67"/>
    </row>
    <row r="26" spans="1:19" s="445" customFormat="1" ht="15.75" thickBot="1">
      <c r="A26" s="691" t="s">
        <v>697</v>
      </c>
      <c r="B26" s="812"/>
      <c r="C26" s="807">
        <f>SUM(C24:C25)</f>
        <v>11555.02637214945</v>
      </c>
      <c r="D26" s="807">
        <f t="shared" ref="D26:R26" si="2">SUM(D24:D25)</f>
        <v>180628.39285714284</v>
      </c>
      <c r="E26" s="807">
        <f t="shared" si="2"/>
        <v>4009.5221236081702</v>
      </c>
      <c r="F26" s="807">
        <f t="shared" si="2"/>
        <v>269.19079210941146</v>
      </c>
      <c r="G26" s="807">
        <f t="shared" si="2"/>
        <v>29751.000207922069</v>
      </c>
      <c r="H26" s="807">
        <f t="shared" si="2"/>
        <v>0</v>
      </c>
      <c r="I26" s="807">
        <f t="shared" si="2"/>
        <v>0</v>
      </c>
      <c r="J26" s="807">
        <f t="shared" si="2"/>
        <v>0</v>
      </c>
      <c r="K26" s="807">
        <f t="shared" si="2"/>
        <v>2389.7598109160258</v>
      </c>
      <c r="L26" s="807">
        <f t="shared" si="2"/>
        <v>0</v>
      </c>
      <c r="M26" s="807">
        <f t="shared" si="2"/>
        <v>0</v>
      </c>
      <c r="N26" s="807">
        <f t="shared" si="2"/>
        <v>0</v>
      </c>
      <c r="O26" s="807">
        <f t="shared" si="2"/>
        <v>0</v>
      </c>
      <c r="P26" s="807">
        <f t="shared" si="2"/>
        <v>0</v>
      </c>
      <c r="Q26" s="807">
        <f t="shared" si="2"/>
        <v>0</v>
      </c>
      <c r="R26" s="807">
        <f t="shared" si="2"/>
        <v>228602.89216384798</v>
      </c>
      <c r="S26" s="67"/>
    </row>
    <row r="27" spans="1:19" s="445" customFormat="1" ht="17.25" thickTop="1" thickBot="1">
      <c r="A27" s="692" t="s">
        <v>115</v>
      </c>
      <c r="B27" s="799"/>
      <c r="C27" s="693">
        <f ca="1">C22+C16+C26</f>
        <v>238971.55413652401</v>
      </c>
      <c r="D27" s="693">
        <f t="shared" ref="D27:R27" ca="1" si="3">D22+D16+D26</f>
        <v>180640.56853281852</v>
      </c>
      <c r="E27" s="693">
        <f t="shared" ca="1" si="3"/>
        <v>443866.15205567941</v>
      </c>
      <c r="F27" s="693">
        <f t="shared" si="3"/>
        <v>6545.9453496635988</v>
      </c>
      <c r="G27" s="693">
        <f t="shared" ca="1" si="3"/>
        <v>170681.42669647295</v>
      </c>
      <c r="H27" s="693">
        <f t="shared" si="3"/>
        <v>329242.19538405782</v>
      </c>
      <c r="I27" s="693">
        <f t="shared" si="3"/>
        <v>76507.700486230839</v>
      </c>
      <c r="J27" s="693">
        <f t="shared" si="3"/>
        <v>0</v>
      </c>
      <c r="K27" s="693">
        <f t="shared" si="3"/>
        <v>3149.2191023297519</v>
      </c>
      <c r="L27" s="693">
        <f t="shared" si="3"/>
        <v>0</v>
      </c>
      <c r="M27" s="693">
        <f t="shared" ca="1" si="3"/>
        <v>0</v>
      </c>
      <c r="N27" s="693">
        <f t="shared" si="3"/>
        <v>24328.227803861624</v>
      </c>
      <c r="O27" s="693">
        <f t="shared" ca="1" si="3"/>
        <v>32456.583140407653</v>
      </c>
      <c r="P27" s="693">
        <f t="shared" si="3"/>
        <v>1462.6054737542981</v>
      </c>
      <c r="Q27" s="693">
        <f t="shared" si="3"/>
        <v>3232.0962922122808</v>
      </c>
      <c r="R27" s="693">
        <f t="shared" ca="1" si="3"/>
        <v>1511084.274454013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12624.413526264878</v>
      </c>
      <c r="D40" s="683">
        <f ca="1">tertiair!C20</f>
        <v>2.3160282925538809</v>
      </c>
      <c r="E40" s="683">
        <f ca="1">tertiair!D20</f>
        <v>45304.646675015661</v>
      </c>
      <c r="F40" s="683">
        <f>tertiair!E20</f>
        <v>59.617252933468677</v>
      </c>
      <c r="G40" s="683">
        <f ca="1">tertiair!F20</f>
        <v>3355.6084113317597</v>
      </c>
      <c r="H40" s="683">
        <f>tertiair!G20</f>
        <v>0</v>
      </c>
      <c r="I40" s="683">
        <f>tertiair!H20</f>
        <v>0</v>
      </c>
      <c r="J40" s="683">
        <f>tertiair!I20</f>
        <v>0</v>
      </c>
      <c r="K40" s="683">
        <f>tertiair!J20</f>
        <v>2.9106971479122178E-2</v>
      </c>
      <c r="L40" s="683">
        <f>tertiair!K20</f>
        <v>0</v>
      </c>
      <c r="M40" s="683">
        <f ca="1">tertiair!L20</f>
        <v>0</v>
      </c>
      <c r="N40" s="683">
        <f>tertiair!M20</f>
        <v>0</v>
      </c>
      <c r="O40" s="683">
        <f ca="1">tertiair!N20</f>
        <v>0</v>
      </c>
      <c r="P40" s="683">
        <f>tertiair!O20</f>
        <v>0</v>
      </c>
      <c r="Q40" s="766">
        <f>tertiair!P20</f>
        <v>0</v>
      </c>
      <c r="R40" s="845">
        <f t="shared" ca="1" si="4"/>
        <v>61346.631000809801</v>
      </c>
    </row>
    <row r="41" spans="1:18">
      <c r="A41" s="817" t="s">
        <v>220</v>
      </c>
      <c r="B41" s="824"/>
      <c r="C41" s="683">
        <f ca="1">huishoudens!B12</f>
        <v>14618.472315439134</v>
      </c>
      <c r="D41" s="683">
        <f ca="1">huishoudens!C12</f>
        <v>0</v>
      </c>
      <c r="E41" s="683">
        <f>huishoudens!D12</f>
        <v>26412.890905628803</v>
      </c>
      <c r="F41" s="683">
        <f>huishoudens!E12</f>
        <v>1152.5266555209139</v>
      </c>
      <c r="G41" s="683">
        <f>huishoudens!F12</f>
        <v>29696.92387094034</v>
      </c>
      <c r="H41" s="683">
        <f>huishoudens!G12</f>
        <v>0</v>
      </c>
      <c r="I41" s="683">
        <f>huishoudens!H12</f>
        <v>0</v>
      </c>
      <c r="J41" s="683">
        <f>huishoudens!I12</f>
        <v>0</v>
      </c>
      <c r="K41" s="683">
        <f>huishoudens!J12</f>
        <v>224.39359584438219</v>
      </c>
      <c r="L41" s="683">
        <f>huishoudens!K12</f>
        <v>0</v>
      </c>
      <c r="M41" s="683">
        <f>huishoudens!L12</f>
        <v>0</v>
      </c>
      <c r="N41" s="683">
        <f>huishoudens!M12</f>
        <v>0</v>
      </c>
      <c r="O41" s="683">
        <f>huishoudens!N12</f>
        <v>0</v>
      </c>
      <c r="P41" s="683">
        <f>huishoudens!O12</f>
        <v>0</v>
      </c>
      <c r="Q41" s="766">
        <f>huishoudens!P12</f>
        <v>0</v>
      </c>
      <c r="R41" s="845">
        <f t="shared" ca="1" si="4"/>
        <v>72105.207343373564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14805.780226672843</v>
      </c>
      <c r="D43" s="683">
        <f ca="1">industrie!C22</f>
        <v>0</v>
      </c>
      <c r="E43" s="683">
        <f>industrie!D22</f>
        <v>16823.884649632764</v>
      </c>
      <c r="F43" s="683">
        <f>industrie!E22</f>
        <v>63.985006933577388</v>
      </c>
      <c r="G43" s="683">
        <f>industrie!F22</f>
        <v>4575.8915901709852</v>
      </c>
      <c r="H43" s="683">
        <f>industrie!G22</f>
        <v>0</v>
      </c>
      <c r="I43" s="683">
        <f>industrie!H22</f>
        <v>0</v>
      </c>
      <c r="J43" s="683">
        <f>industrie!I22</f>
        <v>0</v>
      </c>
      <c r="K43" s="683">
        <f>industrie!J22</f>
        <v>44.425886344597693</v>
      </c>
      <c r="L43" s="683">
        <f>industrie!K22</f>
        <v>0</v>
      </c>
      <c r="M43" s="683">
        <f>industrie!L22</f>
        <v>0</v>
      </c>
      <c r="N43" s="683">
        <f>industrie!M22</f>
        <v>0</v>
      </c>
      <c r="O43" s="683">
        <f>industrie!N22</f>
        <v>0</v>
      </c>
      <c r="P43" s="683">
        <f>industrie!O22</f>
        <v>0</v>
      </c>
      <c r="Q43" s="766">
        <f>industrie!P22</f>
        <v>0</v>
      </c>
      <c r="R43" s="844">
        <f t="shared" ca="1" si="4"/>
        <v>36313.967359754773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42048.666068376857</v>
      </c>
      <c r="D46" s="719">
        <f t="shared" ref="D46:Q46" ca="1" si="5">SUM(D39:D45)</f>
        <v>2.3160282925538809</v>
      </c>
      <c r="E46" s="719">
        <f t="shared" ca="1" si="5"/>
        <v>88541.422230277225</v>
      </c>
      <c r="F46" s="719">
        <f t="shared" si="5"/>
        <v>1276.12891538796</v>
      </c>
      <c r="G46" s="719">
        <f t="shared" ca="1" si="5"/>
        <v>37628.423872443083</v>
      </c>
      <c r="H46" s="719">
        <f t="shared" si="5"/>
        <v>0</v>
      </c>
      <c r="I46" s="719">
        <f t="shared" si="5"/>
        <v>0</v>
      </c>
      <c r="J46" s="719">
        <f t="shared" si="5"/>
        <v>0</v>
      </c>
      <c r="K46" s="719">
        <f t="shared" si="5"/>
        <v>268.84858916045897</v>
      </c>
      <c r="L46" s="719">
        <f t="shared" si="5"/>
        <v>0</v>
      </c>
      <c r="M46" s="719">
        <f t="shared" ca="1" si="5"/>
        <v>0</v>
      </c>
      <c r="N46" s="719">
        <f t="shared" si="5"/>
        <v>0</v>
      </c>
      <c r="O46" s="719">
        <f t="shared" ca="1" si="5"/>
        <v>0</v>
      </c>
      <c r="P46" s="719">
        <f t="shared" si="5"/>
        <v>0</v>
      </c>
      <c r="Q46" s="719">
        <f t="shared" si="5"/>
        <v>0</v>
      </c>
      <c r="R46" s="719">
        <f ca="1">SUM(R39:R45)</f>
        <v>169765.80570393815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5.9202067148821884</v>
      </c>
      <c r="D49" s="683">
        <f ca="1">transport!C58</f>
        <v>0</v>
      </c>
      <c r="E49" s="683">
        <f>transport!D58</f>
        <v>0</v>
      </c>
      <c r="F49" s="683">
        <f>transport!E58</f>
        <v>0</v>
      </c>
      <c r="G49" s="683">
        <f>transport!F58</f>
        <v>0</v>
      </c>
      <c r="H49" s="683">
        <f>transport!G58</f>
        <v>532.9452080066502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538.86541472153237</v>
      </c>
    </row>
    <row r="50" spans="1:18">
      <c r="A50" s="820" t="s">
        <v>302</v>
      </c>
      <c r="B50" s="830"/>
      <c r="C50" s="689">
        <f ca="1">transport!B18</f>
        <v>171.70137963325607</v>
      </c>
      <c r="D50" s="689">
        <f>transport!C18</f>
        <v>0</v>
      </c>
      <c r="E50" s="689">
        <f>transport!D18</f>
        <v>309.61701600118465</v>
      </c>
      <c r="F50" s="689">
        <f>transport!E18</f>
        <v>148.69436917684058</v>
      </c>
      <c r="G50" s="689">
        <f>transport!F18</f>
        <v>0</v>
      </c>
      <c r="H50" s="689">
        <f>transport!G18</f>
        <v>87374.720959536789</v>
      </c>
      <c r="I50" s="689">
        <f>transport!H18</f>
        <v>19050.417421071477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107055.15114541954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177.62158634813827</v>
      </c>
      <c r="D52" s="719">
        <f t="shared" ref="D52:Q52" ca="1" si="6">SUM(D48:D51)</f>
        <v>0</v>
      </c>
      <c r="E52" s="719">
        <f t="shared" si="6"/>
        <v>309.61701600118465</v>
      </c>
      <c r="F52" s="719">
        <f t="shared" si="6"/>
        <v>148.69436917684058</v>
      </c>
      <c r="G52" s="719">
        <f t="shared" si="6"/>
        <v>0</v>
      </c>
      <c r="H52" s="719">
        <f t="shared" si="6"/>
        <v>87907.666167543444</v>
      </c>
      <c r="I52" s="719">
        <f t="shared" si="6"/>
        <v>19050.417421071477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107594.01656014107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1745.1083760317549</v>
      </c>
      <c r="D54" s="689">
        <f ca="1">+landbouw!C12</f>
        <v>34358.706608080276</v>
      </c>
      <c r="E54" s="689">
        <f>+landbouw!D12</f>
        <v>0</v>
      </c>
      <c r="F54" s="689">
        <f>+landbouw!E12</f>
        <v>61.106309808836407</v>
      </c>
      <c r="G54" s="689">
        <f>+landbouw!F12</f>
        <v>7943.5170555151926</v>
      </c>
      <c r="H54" s="689">
        <f>+landbouw!G12</f>
        <v>0</v>
      </c>
      <c r="I54" s="689">
        <f>+landbouw!H12</f>
        <v>0</v>
      </c>
      <c r="J54" s="689">
        <f>+landbouw!I12</f>
        <v>0</v>
      </c>
      <c r="K54" s="689">
        <f>+landbouw!J12</f>
        <v>845.97497306427306</v>
      </c>
      <c r="L54" s="689">
        <f>+landbouw!K12</f>
        <v>0</v>
      </c>
      <c r="M54" s="689">
        <f>+landbouw!L12</f>
        <v>0</v>
      </c>
      <c r="N54" s="689">
        <f>+landbouw!M12</f>
        <v>0</v>
      </c>
      <c r="O54" s="689">
        <f>+landbouw!N12</f>
        <v>0</v>
      </c>
      <c r="P54" s="689">
        <f>+landbouw!O12</f>
        <v>0</v>
      </c>
      <c r="Q54" s="690">
        <f>+landbouw!P12</f>
        <v>0</v>
      </c>
      <c r="R54" s="718">
        <f ca="1">SUM(C54:Q54)</f>
        <v>44954.413322500332</v>
      </c>
    </row>
    <row r="55" spans="1:18" ht="15" thickBot="1">
      <c r="A55" s="820" t="s">
        <v>696</v>
      </c>
      <c r="B55" s="830"/>
      <c r="C55" s="689">
        <f ca="1">C25*'EF ele_warmte'!B12</f>
        <v>400.40792502554666</v>
      </c>
      <c r="D55" s="689"/>
      <c r="E55" s="689">
        <f>E25*EF_CO2_aardgas</f>
        <v>809.92346896885044</v>
      </c>
      <c r="F55" s="689"/>
      <c r="G55" s="689"/>
      <c r="H55" s="689"/>
      <c r="I55" s="689"/>
      <c r="J55" s="689"/>
      <c r="K55" s="689"/>
      <c r="L55" s="689"/>
      <c r="M55" s="689"/>
      <c r="N55" s="689"/>
      <c r="O55" s="689"/>
      <c r="P55" s="689"/>
      <c r="Q55" s="690"/>
      <c r="R55" s="718">
        <f ca="1">SUM(C55:Q55)</f>
        <v>1210.3313939943971</v>
      </c>
    </row>
    <row r="56" spans="1:18" ht="15.75" thickBot="1">
      <c r="A56" s="818" t="s">
        <v>697</v>
      </c>
      <c r="B56" s="831"/>
      <c r="C56" s="719">
        <f ca="1">SUM(C54:C55)</f>
        <v>2145.5163010573015</v>
      </c>
      <c r="D56" s="719">
        <f t="shared" ref="D56:Q56" ca="1" si="7">SUM(D54:D55)</f>
        <v>34358.706608080276</v>
      </c>
      <c r="E56" s="719">
        <f t="shared" si="7"/>
        <v>809.92346896885044</v>
      </c>
      <c r="F56" s="719">
        <f t="shared" si="7"/>
        <v>61.106309808836407</v>
      </c>
      <c r="G56" s="719">
        <f t="shared" si="7"/>
        <v>7943.5170555151926</v>
      </c>
      <c r="H56" s="719">
        <f t="shared" si="7"/>
        <v>0</v>
      </c>
      <c r="I56" s="719">
        <f t="shared" si="7"/>
        <v>0</v>
      </c>
      <c r="J56" s="719">
        <f t="shared" si="7"/>
        <v>0</v>
      </c>
      <c r="K56" s="719">
        <f t="shared" si="7"/>
        <v>845.97497306427306</v>
      </c>
      <c r="L56" s="719">
        <f t="shared" si="7"/>
        <v>0</v>
      </c>
      <c r="M56" s="719">
        <f t="shared" si="7"/>
        <v>0</v>
      </c>
      <c r="N56" s="719">
        <f t="shared" si="7"/>
        <v>0</v>
      </c>
      <c r="O56" s="719">
        <f t="shared" si="7"/>
        <v>0</v>
      </c>
      <c r="P56" s="719">
        <f t="shared" si="7"/>
        <v>0</v>
      </c>
      <c r="Q56" s="720">
        <f t="shared" si="7"/>
        <v>0</v>
      </c>
      <c r="R56" s="721">
        <f ca="1">SUM(R54:R55)</f>
        <v>46164.74471649473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44371.803955782299</v>
      </c>
      <c r="D61" s="727">
        <f t="shared" ref="D61:Q61" ca="1" si="8">D46+D52+D56</f>
        <v>34361.022636372829</v>
      </c>
      <c r="E61" s="727">
        <f t="shared" ca="1" si="8"/>
        <v>89660.962715247253</v>
      </c>
      <c r="F61" s="727">
        <f t="shared" si="8"/>
        <v>1485.929594373637</v>
      </c>
      <c r="G61" s="727">
        <f t="shared" ca="1" si="8"/>
        <v>45571.940927958276</v>
      </c>
      <c r="H61" s="727">
        <f t="shared" si="8"/>
        <v>87907.666167543444</v>
      </c>
      <c r="I61" s="727">
        <f t="shared" si="8"/>
        <v>19050.417421071477</v>
      </c>
      <c r="J61" s="727">
        <f t="shared" si="8"/>
        <v>0</v>
      </c>
      <c r="K61" s="727">
        <f t="shared" si="8"/>
        <v>1114.8235622247321</v>
      </c>
      <c r="L61" s="727">
        <f t="shared" si="8"/>
        <v>0</v>
      </c>
      <c r="M61" s="727">
        <f t="shared" ca="1" si="8"/>
        <v>0</v>
      </c>
      <c r="N61" s="727">
        <f t="shared" si="8"/>
        <v>0</v>
      </c>
      <c r="O61" s="727">
        <f t="shared" ca="1" si="8"/>
        <v>0</v>
      </c>
      <c r="P61" s="727">
        <f t="shared" si="8"/>
        <v>0</v>
      </c>
      <c r="Q61" s="727">
        <f t="shared" si="8"/>
        <v>0</v>
      </c>
      <c r="R61" s="727">
        <f ca="1">R46+R52+R56</f>
        <v>323524.56698057399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0.18567818297918742</v>
      </c>
      <c r="D63" s="773">
        <f t="shared" ca="1" si="9"/>
        <v>0.19021764000997465</v>
      </c>
      <c r="E63" s="965">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20581.584203555627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25236.091697193024</v>
      </c>
      <c r="C76" s="740">
        <f>'lokale energieproductie'!B8*IFERROR(SUM(D76:H76)/SUM(D76:O76),0)</f>
        <v>101212.28330280697</v>
      </c>
      <c r="D76" s="948">
        <f>'lokale energieproductie'!C8</f>
        <v>119072.82908711029</v>
      </c>
      <c r="E76" s="949">
        <f>'lokale energieproductie'!D8</f>
        <v>0</v>
      </c>
      <c r="F76" s="949">
        <f>'lokale energieproductie'!E8</f>
        <v>0</v>
      </c>
      <c r="G76" s="949">
        <f>'lokale energieproductie'!F8</f>
        <v>0</v>
      </c>
      <c r="H76" s="949">
        <f>'lokale energieproductie'!G8</f>
        <v>0</v>
      </c>
      <c r="I76" s="949">
        <f>'lokale energieproductie'!I8</f>
        <v>0</v>
      </c>
      <c r="J76" s="949">
        <f>'lokale energieproductie'!J8</f>
        <v>29689.408591804498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24052.711475596279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45817.675900748654</v>
      </c>
      <c r="C78" s="745">
        <f>SUM(C72:C77)</f>
        <v>101212.28330280697</v>
      </c>
      <c r="D78" s="746">
        <f t="shared" ref="D78:H78" si="10">SUM(D76:D77)</f>
        <v>119072.82908711029</v>
      </c>
      <c r="E78" s="746">
        <f t="shared" si="10"/>
        <v>0</v>
      </c>
      <c r="F78" s="746">
        <f t="shared" si="10"/>
        <v>0</v>
      </c>
      <c r="G78" s="746">
        <f t="shared" si="10"/>
        <v>0</v>
      </c>
      <c r="H78" s="746">
        <f t="shared" si="10"/>
        <v>0</v>
      </c>
      <c r="I78" s="746">
        <f>SUM(I76:I77)</f>
        <v>0</v>
      </c>
      <c r="J78" s="746">
        <f>SUM(J76:J77)</f>
        <v>29689.408591804498</v>
      </c>
      <c r="K78" s="746">
        <f t="shared" ref="K78:L78" si="11">SUM(K76:K77)</f>
        <v>0</v>
      </c>
      <c r="L78" s="746">
        <f t="shared" si="11"/>
        <v>0</v>
      </c>
      <c r="M78" s="746">
        <f>SUM(M76:M77)</f>
        <v>0</v>
      </c>
      <c r="N78" s="746">
        <f>SUM(N76:N77)</f>
        <v>0</v>
      </c>
      <c r="O78" s="855">
        <f>SUM(O76:O77)</f>
        <v>0</v>
      </c>
      <c r="P78" s="747">
        <v>0</v>
      </c>
      <c r="Q78" s="747">
        <f>SUM(Q76:Q77)</f>
        <v>24052.711475596279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36051.566117218106</v>
      </c>
      <c r="C87" s="758">
        <f>'lokale energieproductie'!B17*IFERROR(SUM(D87:H87)/SUM(D87:O87),0)</f>
        <v>144589.00241560041</v>
      </c>
      <c r="D87" s="769">
        <f>'lokale energieproductie'!C17</f>
        <v>170104.07245729124</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42413.448551052643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34361.022636372836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36051.566117218106</v>
      </c>
      <c r="C90" s="745">
        <f>SUM(C87:C89)</f>
        <v>144589.00241560041</v>
      </c>
      <c r="D90" s="745">
        <f t="shared" ref="D90:H90" si="12">SUM(D87:D89)</f>
        <v>170104.07245729124</v>
      </c>
      <c r="E90" s="745">
        <f t="shared" si="12"/>
        <v>0</v>
      </c>
      <c r="F90" s="745">
        <f t="shared" si="12"/>
        <v>0</v>
      </c>
      <c r="G90" s="745">
        <f t="shared" si="12"/>
        <v>0</v>
      </c>
      <c r="H90" s="745">
        <f t="shared" si="12"/>
        <v>0</v>
      </c>
      <c r="I90" s="745">
        <f>SUM(I87:I89)</f>
        <v>0</v>
      </c>
      <c r="J90" s="745">
        <f>SUM(J87:J89)</f>
        <v>42413.448551052643</v>
      </c>
      <c r="K90" s="745">
        <f t="shared" ref="K90:L90" si="13">SUM(K87:K89)</f>
        <v>0</v>
      </c>
      <c r="L90" s="745">
        <f t="shared" si="13"/>
        <v>0</v>
      </c>
      <c r="M90" s="745">
        <f>SUM(M87:M89)</f>
        <v>0</v>
      </c>
      <c r="N90" s="745">
        <f>SUM(N87:N89)</f>
        <v>0</v>
      </c>
      <c r="O90" s="745">
        <f>SUM(O87:O89)</f>
        <v>0</v>
      </c>
      <c r="P90" s="745">
        <v>0</v>
      </c>
      <c r="Q90" s="745">
        <f>SUM(Q87:Q89)</f>
        <v>34361.022636372836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78730.156019879374</v>
      </c>
      <c r="C4" s="449">
        <f>huishoudens!C8</f>
        <v>0</v>
      </c>
      <c r="D4" s="449">
        <f>huishoudens!D8</f>
        <v>130756.88567142971</v>
      </c>
      <c r="E4" s="449">
        <f>huishoudens!E8</f>
        <v>5077.2099362154795</v>
      </c>
      <c r="F4" s="449">
        <f>huishoudens!F8</f>
        <v>111224.43397355932</v>
      </c>
      <c r="G4" s="449">
        <f>huishoudens!G8</f>
        <v>0</v>
      </c>
      <c r="H4" s="449">
        <f>huishoudens!H8</f>
        <v>0</v>
      </c>
      <c r="I4" s="449">
        <f>huishoudens!I8</f>
        <v>0</v>
      </c>
      <c r="J4" s="449">
        <f>huishoudens!J8</f>
        <v>633.88021424966723</v>
      </c>
      <c r="K4" s="449">
        <f>huishoudens!K8</f>
        <v>0</v>
      </c>
      <c r="L4" s="449">
        <f>huishoudens!L8</f>
        <v>0</v>
      </c>
      <c r="M4" s="449">
        <f>huishoudens!M8</f>
        <v>0</v>
      </c>
      <c r="N4" s="449">
        <f>huishoudens!N8</f>
        <v>25009.393274668924</v>
      </c>
      <c r="O4" s="449">
        <f>huishoudens!O8</f>
        <v>1418.5301268617277</v>
      </c>
      <c r="P4" s="450">
        <f>huishoudens!P8</f>
        <v>2496.5483559213508</v>
      </c>
      <c r="Q4" s="451">
        <f>SUM(B4:P4)</f>
        <v>355347.03757278551</v>
      </c>
    </row>
    <row r="5" spans="1:17">
      <c r="A5" s="448" t="s">
        <v>155</v>
      </c>
      <c r="B5" s="449">
        <f ca="1">tertiair!B16</f>
        <v>64807.386667684368</v>
      </c>
      <c r="C5" s="449">
        <f ca="1">tertiair!C16</f>
        <v>12.175675675675675</v>
      </c>
      <c r="D5" s="449">
        <f ca="1">tertiair!D16</f>
        <v>224280.42908423592</v>
      </c>
      <c r="E5" s="449">
        <f>tertiair!E16</f>
        <v>262.63107019149197</v>
      </c>
      <c r="F5" s="449">
        <f ca="1">tertiair!F16</f>
        <v>12567.821765287488</v>
      </c>
      <c r="G5" s="449">
        <f>tertiair!G16</f>
        <v>0</v>
      </c>
      <c r="H5" s="449">
        <f>tertiair!H16</f>
        <v>0</v>
      </c>
      <c r="I5" s="449">
        <f>tertiair!I16</f>
        <v>0</v>
      </c>
      <c r="J5" s="449">
        <f>tertiair!J16</f>
        <v>8.2223083274356443E-2</v>
      </c>
      <c r="K5" s="449">
        <f>tertiair!K16</f>
        <v>0</v>
      </c>
      <c r="L5" s="449">
        <f ca="1">tertiair!L16</f>
        <v>0</v>
      </c>
      <c r="M5" s="449">
        <f>tertiair!M16</f>
        <v>0</v>
      </c>
      <c r="N5" s="449">
        <f ca="1">tertiair!N16</f>
        <v>3215.19911993294</v>
      </c>
      <c r="O5" s="449">
        <f>tertiair!O16</f>
        <v>44.075346892570387</v>
      </c>
      <c r="P5" s="450">
        <f>tertiair!P16</f>
        <v>735.54793629093024</v>
      </c>
      <c r="Q5" s="448">
        <f t="shared" ref="Q5:Q14" ca="1" si="0">SUM(B5:P5)</f>
        <v>305925.3488892747</v>
      </c>
    </row>
    <row r="6" spans="1:17">
      <c r="A6" s="448" t="s">
        <v>193</v>
      </c>
      <c r="B6" s="449">
        <f>'openbare verlichting'!B8</f>
        <v>3183.442</v>
      </c>
      <c r="C6" s="449"/>
      <c r="D6" s="449"/>
      <c r="E6" s="449"/>
      <c r="F6" s="449"/>
      <c r="G6" s="449"/>
      <c r="H6" s="449"/>
      <c r="I6" s="449"/>
      <c r="J6" s="449"/>
      <c r="K6" s="449"/>
      <c r="L6" s="449"/>
      <c r="M6" s="449"/>
      <c r="N6" s="449"/>
      <c r="O6" s="449"/>
      <c r="P6" s="450"/>
      <c r="Q6" s="448">
        <f t="shared" si="0"/>
        <v>3183.442</v>
      </c>
    </row>
    <row r="7" spans="1:17">
      <c r="A7" s="448" t="s">
        <v>111</v>
      </c>
      <c r="B7" s="449">
        <f>landbouw!B8</f>
        <v>9398.5644841610901</v>
      </c>
      <c r="C7" s="449">
        <f>landbouw!C8</f>
        <v>180628.39285714284</v>
      </c>
      <c r="D7" s="449">
        <f>landbouw!D8</f>
        <v>0</v>
      </c>
      <c r="E7" s="449">
        <f>landbouw!E8</f>
        <v>269.19079210941146</v>
      </c>
      <c r="F7" s="449">
        <f>landbouw!F8</f>
        <v>29751.000207922069</v>
      </c>
      <c r="G7" s="449">
        <f>landbouw!G8</f>
        <v>0</v>
      </c>
      <c r="H7" s="449">
        <f>landbouw!H8</f>
        <v>0</v>
      </c>
      <c r="I7" s="449">
        <f>landbouw!I8</f>
        <v>0</v>
      </c>
      <c r="J7" s="449">
        <f>landbouw!J8</f>
        <v>2389.7598109160258</v>
      </c>
      <c r="K7" s="449">
        <f>landbouw!K8</f>
        <v>0</v>
      </c>
      <c r="L7" s="449">
        <f>landbouw!L8</f>
        <v>0</v>
      </c>
      <c r="M7" s="449">
        <f>landbouw!M8</f>
        <v>0</v>
      </c>
      <c r="N7" s="449">
        <f>landbouw!N8</f>
        <v>0</v>
      </c>
      <c r="O7" s="449">
        <f>landbouw!O8</f>
        <v>0</v>
      </c>
      <c r="P7" s="450">
        <f>landbouw!P8</f>
        <v>0</v>
      </c>
      <c r="Q7" s="448">
        <f t="shared" si="0"/>
        <v>222436.90815225145</v>
      </c>
    </row>
    <row r="8" spans="1:17">
      <c r="A8" s="448" t="s">
        <v>617</v>
      </c>
      <c r="B8" s="449">
        <f>industrie!B18</f>
        <v>79738.933185986738</v>
      </c>
      <c r="C8" s="449">
        <f>industrie!C18</f>
        <v>0</v>
      </c>
      <c r="D8" s="449">
        <f>industrie!D18</f>
        <v>83286.557671449322</v>
      </c>
      <c r="E8" s="449">
        <f>industrie!E18</f>
        <v>281.87227724042901</v>
      </c>
      <c r="F8" s="449">
        <f>industrie!F18</f>
        <v>17138.170749704062</v>
      </c>
      <c r="G8" s="449">
        <f>industrie!G18</f>
        <v>0</v>
      </c>
      <c r="H8" s="449">
        <f>industrie!H18</f>
        <v>0</v>
      </c>
      <c r="I8" s="449">
        <f>industrie!I18</f>
        <v>0</v>
      </c>
      <c r="J8" s="449">
        <f>industrie!J18</f>
        <v>125.49685408078444</v>
      </c>
      <c r="K8" s="449">
        <f>industrie!K18</f>
        <v>0</v>
      </c>
      <c r="L8" s="449">
        <f>industrie!L18</f>
        <v>0</v>
      </c>
      <c r="M8" s="449">
        <f>industrie!M18</f>
        <v>0</v>
      </c>
      <c r="N8" s="449">
        <f>industrie!N18</f>
        <v>4231.9907458057896</v>
      </c>
      <c r="O8" s="449">
        <f>industrie!O18</f>
        <v>0</v>
      </c>
      <c r="P8" s="450">
        <f>industrie!P18</f>
        <v>0</v>
      </c>
      <c r="Q8" s="448">
        <f t="shared" si="0"/>
        <v>184803.02148426714</v>
      </c>
    </row>
    <row r="9" spans="1:17" s="454" customFormat="1">
      <c r="A9" s="452" t="s">
        <v>543</v>
      </c>
      <c r="B9" s="453">
        <f>transport!B14</f>
        <v>924.7256563928247</v>
      </c>
      <c r="C9" s="453">
        <f>transport!C14</f>
        <v>0</v>
      </c>
      <c r="D9" s="453">
        <f>transport!D14</f>
        <v>1532.7575049563595</v>
      </c>
      <c r="E9" s="453">
        <f>transport!E14</f>
        <v>655.04127390678673</v>
      </c>
      <c r="F9" s="453">
        <f>transport!F14</f>
        <v>0</v>
      </c>
      <c r="G9" s="453">
        <f>transport!G14</f>
        <v>327246.14591586811</v>
      </c>
      <c r="H9" s="453">
        <f>transport!H14</f>
        <v>76507.700486230839</v>
      </c>
      <c r="I9" s="453">
        <f>transport!I14</f>
        <v>0</v>
      </c>
      <c r="J9" s="453">
        <f>transport!J14</f>
        <v>0</v>
      </c>
      <c r="K9" s="453">
        <f>transport!K14</f>
        <v>0</v>
      </c>
      <c r="L9" s="453">
        <f>transport!L14</f>
        <v>0</v>
      </c>
      <c r="M9" s="453">
        <f>transport!M14</f>
        <v>24213.619063116461</v>
      </c>
      <c r="N9" s="453">
        <f>transport!N14</f>
        <v>0</v>
      </c>
      <c r="O9" s="453">
        <f>transport!O14</f>
        <v>0</v>
      </c>
      <c r="P9" s="453">
        <f>transport!P14</f>
        <v>0</v>
      </c>
      <c r="Q9" s="452">
        <f>SUM(B9:P9)</f>
        <v>431079.98990047135</v>
      </c>
    </row>
    <row r="10" spans="1:17">
      <c r="A10" s="448" t="s">
        <v>533</v>
      </c>
      <c r="B10" s="449">
        <f>transport!B54</f>
        <v>31.884234431278241</v>
      </c>
      <c r="C10" s="449">
        <f>transport!C54</f>
        <v>0</v>
      </c>
      <c r="D10" s="449">
        <f>transport!D54</f>
        <v>0</v>
      </c>
      <c r="E10" s="449">
        <f>transport!E54</f>
        <v>0</v>
      </c>
      <c r="F10" s="449">
        <f>transport!F54</f>
        <v>0</v>
      </c>
      <c r="G10" s="449">
        <f>transport!G54</f>
        <v>1996.049468189701</v>
      </c>
      <c r="H10" s="449">
        <f>transport!H54</f>
        <v>0</v>
      </c>
      <c r="I10" s="449">
        <f>transport!I54</f>
        <v>0</v>
      </c>
      <c r="J10" s="449">
        <f>transport!J54</f>
        <v>0</v>
      </c>
      <c r="K10" s="449">
        <f>transport!K54</f>
        <v>0</v>
      </c>
      <c r="L10" s="449">
        <f>transport!L54</f>
        <v>0</v>
      </c>
      <c r="M10" s="449">
        <f>transport!M54</f>
        <v>114.60874074516312</v>
      </c>
      <c r="N10" s="449">
        <f>transport!N54</f>
        <v>0</v>
      </c>
      <c r="O10" s="449">
        <f>transport!O54</f>
        <v>0</v>
      </c>
      <c r="P10" s="450">
        <f>transport!P54</f>
        <v>0</v>
      </c>
      <c r="Q10" s="448">
        <f t="shared" si="0"/>
        <v>2142.5424433661424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2156.4618879883601</v>
      </c>
      <c r="C14" s="456"/>
      <c r="D14" s="456">
        <f>'SEAP template'!E25</f>
        <v>4009.5221236081702</v>
      </c>
      <c r="E14" s="456"/>
      <c r="F14" s="456"/>
      <c r="G14" s="456"/>
      <c r="H14" s="456"/>
      <c r="I14" s="456"/>
      <c r="J14" s="456"/>
      <c r="K14" s="456"/>
      <c r="L14" s="456"/>
      <c r="M14" s="456"/>
      <c r="N14" s="456"/>
      <c r="O14" s="456"/>
      <c r="P14" s="457"/>
      <c r="Q14" s="448">
        <f t="shared" si="0"/>
        <v>6165.9840115965308</v>
      </c>
    </row>
    <row r="15" spans="1:17" s="460" customFormat="1">
      <c r="A15" s="458" t="s">
        <v>537</v>
      </c>
      <c r="B15" s="459">
        <f ca="1">SUM(B4:B14)</f>
        <v>238971.55413652406</v>
      </c>
      <c r="C15" s="459">
        <f t="shared" ref="C15:Q15" ca="1" si="1">SUM(C4:C14)</f>
        <v>180640.56853281852</v>
      </c>
      <c r="D15" s="459">
        <f t="shared" ca="1" si="1"/>
        <v>443866.15205567941</v>
      </c>
      <c r="E15" s="459">
        <f t="shared" si="1"/>
        <v>6545.9453496635988</v>
      </c>
      <c r="F15" s="459">
        <f t="shared" ca="1" si="1"/>
        <v>170681.42669647295</v>
      </c>
      <c r="G15" s="459">
        <f t="shared" si="1"/>
        <v>329242.19538405782</v>
      </c>
      <c r="H15" s="459">
        <f t="shared" si="1"/>
        <v>76507.700486230839</v>
      </c>
      <c r="I15" s="459">
        <f t="shared" si="1"/>
        <v>0</v>
      </c>
      <c r="J15" s="459">
        <f t="shared" si="1"/>
        <v>3149.2191023297519</v>
      </c>
      <c r="K15" s="459">
        <f t="shared" si="1"/>
        <v>0</v>
      </c>
      <c r="L15" s="459">
        <f t="shared" ca="1" si="1"/>
        <v>0</v>
      </c>
      <c r="M15" s="459">
        <f t="shared" si="1"/>
        <v>24328.227803861624</v>
      </c>
      <c r="N15" s="459">
        <f t="shared" ca="1" si="1"/>
        <v>32456.583140407653</v>
      </c>
      <c r="O15" s="459">
        <f t="shared" si="1"/>
        <v>1462.6054737542981</v>
      </c>
      <c r="P15" s="459">
        <f t="shared" si="1"/>
        <v>3232.0962922122808</v>
      </c>
      <c r="Q15" s="459">
        <f t="shared" ca="1" si="1"/>
        <v>1511084.2744540132</v>
      </c>
    </row>
    <row r="17" spans="1:17">
      <c r="A17" s="461" t="s">
        <v>538</v>
      </c>
      <c r="B17" s="778">
        <f ca="1">huishoudens!B10</f>
        <v>0.1856781829791874</v>
      </c>
      <c r="C17" s="778">
        <f ca="1">huishoudens!C10</f>
        <v>0.19021764000997468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14618.472315439134</v>
      </c>
      <c r="C22" s="449">
        <f t="shared" ref="C22:C32" ca="1" si="3">C4*$C$17</f>
        <v>0</v>
      </c>
      <c r="D22" s="449">
        <f t="shared" ref="D22:D32" si="4">D4*$D$17</f>
        <v>26412.890905628803</v>
      </c>
      <c r="E22" s="449">
        <f t="shared" ref="E22:E32" si="5">E4*$E$17</f>
        <v>1152.5266555209139</v>
      </c>
      <c r="F22" s="449">
        <f t="shared" ref="F22:F32" si="6">F4*$F$17</f>
        <v>29696.92387094034</v>
      </c>
      <c r="G22" s="449">
        <f t="shared" ref="G22:G32" si="7">G4*$G$17</f>
        <v>0</v>
      </c>
      <c r="H22" s="449">
        <f t="shared" ref="H22:H32" si="8">H4*$H$17</f>
        <v>0</v>
      </c>
      <c r="I22" s="449">
        <f t="shared" ref="I22:I32" si="9">I4*$I$17</f>
        <v>0</v>
      </c>
      <c r="J22" s="449">
        <f t="shared" ref="J22:J32" si="10">J4*$J$17</f>
        <v>224.39359584438219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72105.207343373564</v>
      </c>
    </row>
    <row r="23" spans="1:17">
      <c r="A23" s="448" t="s">
        <v>155</v>
      </c>
      <c r="B23" s="449">
        <f t="shared" ca="1" si="2"/>
        <v>12033.317800085248</v>
      </c>
      <c r="C23" s="449">
        <f t="shared" ca="1" si="3"/>
        <v>2.3160282925538809</v>
      </c>
      <c r="D23" s="449">
        <f t="shared" ca="1" si="4"/>
        <v>45304.646675015661</v>
      </c>
      <c r="E23" s="449">
        <f t="shared" si="5"/>
        <v>59.617252933468677</v>
      </c>
      <c r="F23" s="449">
        <f t="shared" ca="1" si="6"/>
        <v>3355.6084113317597</v>
      </c>
      <c r="G23" s="449">
        <f t="shared" si="7"/>
        <v>0</v>
      </c>
      <c r="H23" s="449">
        <f t="shared" si="8"/>
        <v>0</v>
      </c>
      <c r="I23" s="449">
        <f t="shared" si="9"/>
        <v>0</v>
      </c>
      <c r="J23" s="449">
        <f t="shared" si="10"/>
        <v>2.9106971479122178E-2</v>
      </c>
      <c r="K23" s="449">
        <f t="shared" si="11"/>
        <v>0</v>
      </c>
      <c r="L23" s="449">
        <f t="shared" ca="1" si="12"/>
        <v>0</v>
      </c>
      <c r="M23" s="449">
        <f t="shared" si="13"/>
        <v>0</v>
      </c>
      <c r="N23" s="449">
        <f t="shared" ca="1" si="14"/>
        <v>0</v>
      </c>
      <c r="O23" s="449">
        <f t="shared" si="15"/>
        <v>0</v>
      </c>
      <c r="P23" s="450">
        <f t="shared" si="16"/>
        <v>0</v>
      </c>
      <c r="Q23" s="448">
        <f t="shared" ref="Q23:Q31" ca="1" si="17">SUM(B23:P23)</f>
        <v>60755.535274630172</v>
      </c>
    </row>
    <row r="24" spans="1:17">
      <c r="A24" s="448" t="s">
        <v>193</v>
      </c>
      <c r="B24" s="449">
        <f t="shared" ca="1" si="2"/>
        <v>591.09572617963033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591.09572617963033</v>
      </c>
    </row>
    <row r="25" spans="1:17">
      <c r="A25" s="448" t="s">
        <v>111</v>
      </c>
      <c r="B25" s="449">
        <f t="shared" ca="1" si="2"/>
        <v>1745.1083760317549</v>
      </c>
      <c r="C25" s="449">
        <f t="shared" ca="1" si="3"/>
        <v>34358.706608080276</v>
      </c>
      <c r="D25" s="449">
        <f t="shared" si="4"/>
        <v>0</v>
      </c>
      <c r="E25" s="449">
        <f t="shared" si="5"/>
        <v>61.106309808836407</v>
      </c>
      <c r="F25" s="449">
        <f t="shared" si="6"/>
        <v>7943.5170555151926</v>
      </c>
      <c r="G25" s="449">
        <f t="shared" si="7"/>
        <v>0</v>
      </c>
      <c r="H25" s="449">
        <f t="shared" si="8"/>
        <v>0</v>
      </c>
      <c r="I25" s="449">
        <f t="shared" si="9"/>
        <v>0</v>
      </c>
      <c r="J25" s="449">
        <f t="shared" si="10"/>
        <v>845.97497306427306</v>
      </c>
      <c r="K25" s="449">
        <f t="shared" si="11"/>
        <v>0</v>
      </c>
      <c r="L25" s="449">
        <f t="shared" si="12"/>
        <v>0</v>
      </c>
      <c r="M25" s="449">
        <f t="shared" si="13"/>
        <v>0</v>
      </c>
      <c r="N25" s="449">
        <f t="shared" si="14"/>
        <v>0</v>
      </c>
      <c r="O25" s="449">
        <f t="shared" si="15"/>
        <v>0</v>
      </c>
      <c r="P25" s="450">
        <f t="shared" si="16"/>
        <v>0</v>
      </c>
      <c r="Q25" s="448">
        <f t="shared" ca="1" si="17"/>
        <v>44954.413322500332</v>
      </c>
    </row>
    <row r="26" spans="1:17">
      <c r="A26" s="448" t="s">
        <v>617</v>
      </c>
      <c r="B26" s="449">
        <f t="shared" ca="1" si="2"/>
        <v>14805.780226672843</v>
      </c>
      <c r="C26" s="449">
        <f t="shared" ca="1" si="3"/>
        <v>0</v>
      </c>
      <c r="D26" s="449">
        <f t="shared" si="4"/>
        <v>16823.884649632764</v>
      </c>
      <c r="E26" s="449">
        <f t="shared" si="5"/>
        <v>63.985006933577388</v>
      </c>
      <c r="F26" s="449">
        <f t="shared" si="6"/>
        <v>4575.8915901709852</v>
      </c>
      <c r="G26" s="449">
        <f t="shared" si="7"/>
        <v>0</v>
      </c>
      <c r="H26" s="449">
        <f t="shared" si="8"/>
        <v>0</v>
      </c>
      <c r="I26" s="449">
        <f t="shared" si="9"/>
        <v>0</v>
      </c>
      <c r="J26" s="449">
        <f t="shared" si="10"/>
        <v>44.425886344597693</v>
      </c>
      <c r="K26" s="449">
        <f t="shared" si="11"/>
        <v>0</v>
      </c>
      <c r="L26" s="449">
        <f t="shared" si="12"/>
        <v>0</v>
      </c>
      <c r="M26" s="449">
        <f t="shared" si="13"/>
        <v>0</v>
      </c>
      <c r="N26" s="449">
        <f t="shared" si="14"/>
        <v>0</v>
      </c>
      <c r="O26" s="449">
        <f t="shared" si="15"/>
        <v>0</v>
      </c>
      <c r="P26" s="450">
        <f t="shared" si="16"/>
        <v>0</v>
      </c>
      <c r="Q26" s="448">
        <f t="shared" ca="1" si="17"/>
        <v>36313.967359754773</v>
      </c>
    </row>
    <row r="27" spans="1:17" s="454" customFormat="1">
      <c r="A27" s="452" t="s">
        <v>543</v>
      </c>
      <c r="B27" s="772">
        <f t="shared" ca="1" si="2"/>
        <v>171.70137963325607</v>
      </c>
      <c r="C27" s="453">
        <f t="shared" ca="1" si="3"/>
        <v>0</v>
      </c>
      <c r="D27" s="453">
        <f t="shared" si="4"/>
        <v>309.61701600118465</v>
      </c>
      <c r="E27" s="453">
        <f t="shared" si="5"/>
        <v>148.69436917684058</v>
      </c>
      <c r="F27" s="453">
        <f t="shared" si="6"/>
        <v>0</v>
      </c>
      <c r="G27" s="453">
        <f t="shared" si="7"/>
        <v>87374.720959536789</v>
      </c>
      <c r="H27" s="453">
        <f t="shared" si="8"/>
        <v>19050.417421071477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107055.15114541954</v>
      </c>
    </row>
    <row r="28" spans="1:17" ht="16.5" customHeight="1">
      <c r="A28" s="448" t="s">
        <v>533</v>
      </c>
      <c r="B28" s="449">
        <f t="shared" ca="1" si="2"/>
        <v>5.9202067148821884</v>
      </c>
      <c r="C28" s="449">
        <f t="shared" ca="1" si="3"/>
        <v>0</v>
      </c>
      <c r="D28" s="449">
        <f t="shared" si="4"/>
        <v>0</v>
      </c>
      <c r="E28" s="449">
        <f t="shared" si="5"/>
        <v>0</v>
      </c>
      <c r="F28" s="449">
        <f t="shared" si="6"/>
        <v>0</v>
      </c>
      <c r="G28" s="449">
        <f t="shared" si="7"/>
        <v>532.9452080066502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538.86541472153237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400.40792502554666</v>
      </c>
      <c r="C32" s="449">
        <f t="shared" ca="1" si="3"/>
        <v>0</v>
      </c>
      <c r="D32" s="449">
        <f t="shared" si="4"/>
        <v>809.92346896885044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1210.3313939943971</v>
      </c>
    </row>
    <row r="33" spans="1:17" s="460" customFormat="1">
      <c r="A33" s="458" t="s">
        <v>537</v>
      </c>
      <c r="B33" s="459">
        <f ca="1">SUM(B22:B32)</f>
        <v>44371.803955782292</v>
      </c>
      <c r="C33" s="459">
        <f t="shared" ref="C33:Q33" ca="1" si="19">SUM(C22:C32)</f>
        <v>34361.022636372829</v>
      </c>
      <c r="D33" s="459">
        <f t="shared" ca="1" si="19"/>
        <v>89660.962715247253</v>
      </c>
      <c r="E33" s="459">
        <f t="shared" si="19"/>
        <v>1485.929594373637</v>
      </c>
      <c r="F33" s="459">
        <f t="shared" ca="1" si="19"/>
        <v>45571.940927958276</v>
      </c>
      <c r="G33" s="459">
        <f t="shared" si="19"/>
        <v>87907.666167543444</v>
      </c>
      <c r="H33" s="459">
        <f t="shared" si="19"/>
        <v>19050.417421071477</v>
      </c>
      <c r="I33" s="459">
        <f t="shared" si="19"/>
        <v>0</v>
      </c>
      <c r="J33" s="459">
        <f t="shared" si="19"/>
        <v>1114.8235622247321</v>
      </c>
      <c r="K33" s="459">
        <f t="shared" si="19"/>
        <v>0</v>
      </c>
      <c r="L33" s="459">
        <f t="shared" ca="1" si="19"/>
        <v>0</v>
      </c>
      <c r="M33" s="459">
        <f t="shared" si="19"/>
        <v>0</v>
      </c>
      <c r="N33" s="459">
        <f t="shared" ca="1" si="19"/>
        <v>0</v>
      </c>
      <c r="O33" s="459">
        <f t="shared" si="19"/>
        <v>0</v>
      </c>
      <c r="P33" s="459">
        <f t="shared" si="19"/>
        <v>0</v>
      </c>
      <c r="Q33" s="459">
        <f t="shared" ca="1" si="19"/>
        <v>323524.56698057393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20581.584203555627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25236.091697193024</v>
      </c>
      <c r="C8" s="1016">
        <f>'SEAP template'!C76</f>
        <v>101212.28330280697</v>
      </c>
      <c r="D8" s="1016">
        <f>'SEAP template'!D76</f>
        <v>119072.82908711029</v>
      </c>
      <c r="E8" s="1016">
        <f>'SEAP template'!E76</f>
        <v>0</v>
      </c>
      <c r="F8" s="1016">
        <f>'SEAP template'!F76</f>
        <v>0</v>
      </c>
      <c r="G8" s="1016">
        <f>'SEAP template'!G76</f>
        <v>0</v>
      </c>
      <c r="H8" s="1016">
        <f>'SEAP template'!H76</f>
        <v>0</v>
      </c>
      <c r="I8" s="1016">
        <f>'SEAP template'!I76</f>
        <v>0</v>
      </c>
      <c r="J8" s="1016">
        <f>'SEAP template'!J76</f>
        <v>29689.408591804498</v>
      </c>
      <c r="K8" s="1016">
        <f>'SEAP template'!K76</f>
        <v>0</v>
      </c>
      <c r="L8" s="1016">
        <f>'SEAP template'!L76</f>
        <v>0</v>
      </c>
      <c r="M8" s="1016">
        <f>'SEAP template'!M76</f>
        <v>0</v>
      </c>
      <c r="N8" s="1016">
        <f>'SEAP template'!N76</f>
        <v>0</v>
      </c>
      <c r="O8" s="1016">
        <f>'SEAP template'!O76</f>
        <v>0</v>
      </c>
      <c r="P8" s="1017">
        <f>'SEAP template'!Q76</f>
        <v>24052.711475596279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45817.675900748654</v>
      </c>
      <c r="C10" s="1018">
        <f>SUM(C4:C9)</f>
        <v>101212.28330280697</v>
      </c>
      <c r="D10" s="1018">
        <f t="shared" ref="D10:H10" si="0">SUM(D8:D9)</f>
        <v>119072.82908711029</v>
      </c>
      <c r="E10" s="1018">
        <f t="shared" si="0"/>
        <v>0</v>
      </c>
      <c r="F10" s="1018">
        <f t="shared" si="0"/>
        <v>0</v>
      </c>
      <c r="G10" s="1018">
        <f t="shared" si="0"/>
        <v>0</v>
      </c>
      <c r="H10" s="1018">
        <f t="shared" si="0"/>
        <v>0</v>
      </c>
      <c r="I10" s="1018">
        <f>SUM(I8:I9)</f>
        <v>0</v>
      </c>
      <c r="J10" s="1018">
        <f>SUM(J8:J9)</f>
        <v>29689.408591804498</v>
      </c>
      <c r="K10" s="1018">
        <f t="shared" ref="K10:L10" si="1">SUM(K8:K9)</f>
        <v>0</v>
      </c>
      <c r="L10" s="1018">
        <f t="shared" si="1"/>
        <v>0</v>
      </c>
      <c r="M10" s="1018">
        <f>SUM(M8:M9)</f>
        <v>0</v>
      </c>
      <c r="N10" s="1018">
        <f>SUM(N8:N9)</f>
        <v>0</v>
      </c>
      <c r="O10" s="1018">
        <f>SUM(O8:O9)</f>
        <v>0</v>
      </c>
      <c r="P10" s="1018">
        <f>SUM(P8:P9)</f>
        <v>24052.711475596279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0.1856781829791874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36051.566117218106</v>
      </c>
      <c r="C17" s="1019">
        <f>'SEAP template'!C87</f>
        <v>144589.00241560041</v>
      </c>
      <c r="D17" s="1017">
        <f>'SEAP template'!D87</f>
        <v>170104.07245729124</v>
      </c>
      <c r="E17" s="1017">
        <f>'SEAP template'!E87</f>
        <v>0</v>
      </c>
      <c r="F17" s="1017">
        <f>'SEAP template'!F87</f>
        <v>0</v>
      </c>
      <c r="G17" s="1017">
        <f>'SEAP template'!G87</f>
        <v>0</v>
      </c>
      <c r="H17" s="1017">
        <f>'SEAP template'!H87</f>
        <v>0</v>
      </c>
      <c r="I17" s="1017">
        <f>'SEAP template'!I87</f>
        <v>0</v>
      </c>
      <c r="J17" s="1017">
        <f>'SEAP template'!J87</f>
        <v>42413.448551052643</v>
      </c>
      <c r="K17" s="1017">
        <f>'SEAP template'!K87</f>
        <v>0</v>
      </c>
      <c r="L17" s="1017">
        <f>'SEAP template'!L87</f>
        <v>0</v>
      </c>
      <c r="M17" s="1017">
        <f>'SEAP template'!M87</f>
        <v>0</v>
      </c>
      <c r="N17" s="1017">
        <f>'SEAP template'!N87</f>
        <v>0</v>
      </c>
      <c r="O17" s="1017">
        <f>'SEAP template'!O87</f>
        <v>0</v>
      </c>
      <c r="P17" s="1017">
        <f>'SEAP template'!Q87</f>
        <v>34361.022636372836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36051.566117218106</v>
      </c>
      <c r="C20" s="1018">
        <f>SUM(C17:C19)</f>
        <v>144589.00241560041</v>
      </c>
      <c r="D20" s="1018">
        <f t="shared" ref="D20:H20" si="2">SUM(D17:D19)</f>
        <v>170104.07245729124</v>
      </c>
      <c r="E20" s="1018">
        <f t="shared" si="2"/>
        <v>0</v>
      </c>
      <c r="F20" s="1018">
        <f t="shared" si="2"/>
        <v>0</v>
      </c>
      <c r="G20" s="1018">
        <f t="shared" si="2"/>
        <v>0</v>
      </c>
      <c r="H20" s="1018">
        <f t="shared" si="2"/>
        <v>0</v>
      </c>
      <c r="I20" s="1018">
        <f>SUM(I17:I19)</f>
        <v>0</v>
      </c>
      <c r="J20" s="1018">
        <f>SUM(J17:J19)</f>
        <v>42413.448551052643</v>
      </c>
      <c r="K20" s="1018">
        <f t="shared" ref="K20:L20" si="3">SUM(K17:K19)</f>
        <v>0</v>
      </c>
      <c r="L20" s="1018">
        <f t="shared" si="3"/>
        <v>0</v>
      </c>
      <c r="M20" s="1018">
        <f>SUM(M17:M19)</f>
        <v>0</v>
      </c>
      <c r="N20" s="1018">
        <f>SUM(N17:N19)</f>
        <v>0</v>
      </c>
      <c r="O20" s="1018">
        <f>SUM(O17:O19)</f>
        <v>0</v>
      </c>
      <c r="P20" s="1018">
        <f>SUM(P17:P19)</f>
        <v>34361.022636372836</v>
      </c>
    </row>
    <row r="21" spans="1:16">
      <c r="B21" s="883"/>
    </row>
    <row r="22" spans="1:16">
      <c r="A22" s="461" t="s">
        <v>755</v>
      </c>
      <c r="B22" s="778" t="s">
        <v>753</v>
      </c>
      <c r="C22" s="778">
        <f ca="1">'EF ele_warmte'!B22</f>
        <v>0.19021764000997468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0.1856781829791874</v>
      </c>
      <c r="C17" s="498">
        <f ca="1">'EF ele_warmte'!B22</f>
        <v>0.19021764000997468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0.1856781829791874</v>
      </c>
      <c r="C17" s="498">
        <f ca="1">'EF ele_warmte'!B22</f>
        <v>0.19021764000997468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0.1856781829791874</v>
      </c>
      <c r="C29" s="499">
        <f ca="1">'EF ele_warmte'!B22</f>
        <v>0.19021764000997468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18543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8004.33</v>
      </c>
      <c r="C14" s="326"/>
      <c r="D14" s="326"/>
      <c r="E14" s="326"/>
      <c r="F14" s="326"/>
    </row>
    <row r="15" spans="1:6">
      <c r="A15" s="1312" t="s">
        <v>183</v>
      </c>
      <c r="B15" s="1313">
        <v>281</v>
      </c>
      <c r="C15" s="326"/>
      <c r="D15" s="326"/>
      <c r="E15" s="326"/>
      <c r="F15" s="326"/>
    </row>
    <row r="16" spans="1:6">
      <c r="A16" s="1312" t="s">
        <v>6</v>
      </c>
      <c r="B16" s="1313">
        <v>4340</v>
      </c>
      <c r="C16" s="326"/>
      <c r="D16" s="326"/>
      <c r="E16" s="326"/>
      <c r="F16" s="326"/>
    </row>
    <row r="17" spans="1:6">
      <c r="A17" s="1312" t="s">
        <v>7</v>
      </c>
      <c r="B17" s="1313">
        <v>2655</v>
      </c>
      <c r="C17" s="326"/>
      <c r="D17" s="326"/>
      <c r="E17" s="326"/>
      <c r="F17" s="326"/>
    </row>
    <row r="18" spans="1:6">
      <c r="A18" s="1312" t="s">
        <v>8</v>
      </c>
      <c r="B18" s="1313">
        <v>4179</v>
      </c>
      <c r="C18" s="326"/>
      <c r="D18" s="326"/>
      <c r="E18" s="326"/>
      <c r="F18" s="326"/>
    </row>
    <row r="19" spans="1:6">
      <c r="A19" s="1312" t="s">
        <v>9</v>
      </c>
      <c r="B19" s="1313">
        <v>4044</v>
      </c>
      <c r="C19" s="326"/>
      <c r="D19" s="326"/>
      <c r="E19" s="326"/>
      <c r="F19" s="326"/>
    </row>
    <row r="20" spans="1:6">
      <c r="A20" s="1312" t="s">
        <v>10</v>
      </c>
      <c r="B20" s="1313">
        <v>2347</v>
      </c>
      <c r="C20" s="326"/>
      <c r="D20" s="326"/>
      <c r="E20" s="326"/>
      <c r="F20" s="326"/>
    </row>
    <row r="21" spans="1:6">
      <c r="A21" s="1312" t="s">
        <v>11</v>
      </c>
      <c r="B21" s="1313">
        <v>14308</v>
      </c>
      <c r="C21" s="326"/>
      <c r="D21" s="326"/>
      <c r="E21" s="326"/>
      <c r="F21" s="326"/>
    </row>
    <row r="22" spans="1:6">
      <c r="A22" s="1312" t="s">
        <v>12</v>
      </c>
      <c r="B22" s="1313">
        <v>66024</v>
      </c>
      <c r="C22" s="326"/>
      <c r="D22" s="326"/>
      <c r="E22" s="326"/>
      <c r="F22" s="326"/>
    </row>
    <row r="23" spans="1:6">
      <c r="A23" s="1312" t="s">
        <v>13</v>
      </c>
      <c r="B23" s="1313">
        <v>657</v>
      </c>
      <c r="C23" s="326"/>
      <c r="D23" s="326"/>
      <c r="E23" s="326"/>
      <c r="F23" s="326"/>
    </row>
    <row r="24" spans="1:6">
      <c r="A24" s="1312" t="s">
        <v>14</v>
      </c>
      <c r="B24" s="1313">
        <v>40</v>
      </c>
      <c r="C24" s="326"/>
      <c r="D24" s="326"/>
      <c r="E24" s="326"/>
      <c r="F24" s="326"/>
    </row>
    <row r="25" spans="1:6">
      <c r="A25" s="1312" t="s">
        <v>15</v>
      </c>
      <c r="B25" s="1313">
        <v>3377</v>
      </c>
      <c r="C25" s="326"/>
      <c r="D25" s="326"/>
      <c r="E25" s="326"/>
      <c r="F25" s="326"/>
    </row>
    <row r="26" spans="1:6">
      <c r="A26" s="1312" t="s">
        <v>16</v>
      </c>
      <c r="B26" s="1313">
        <v>502</v>
      </c>
      <c r="C26" s="326"/>
      <c r="D26" s="326"/>
      <c r="E26" s="326"/>
      <c r="F26" s="326"/>
    </row>
    <row r="27" spans="1:6">
      <c r="A27" s="1312" t="s">
        <v>17</v>
      </c>
      <c r="B27" s="1313">
        <v>26</v>
      </c>
      <c r="C27" s="326"/>
      <c r="D27" s="326"/>
      <c r="E27" s="326"/>
      <c r="F27" s="326"/>
    </row>
    <row r="28" spans="1:6" s="43" customFormat="1">
      <c r="A28" s="1314" t="s">
        <v>18</v>
      </c>
      <c r="B28" s="1315">
        <v>747073</v>
      </c>
      <c r="C28" s="332"/>
      <c r="D28" s="332"/>
      <c r="E28" s="332"/>
      <c r="F28" s="332"/>
    </row>
    <row r="29" spans="1:6">
      <c r="A29" s="1314" t="s">
        <v>684</v>
      </c>
      <c r="B29" s="1315">
        <v>459</v>
      </c>
      <c r="C29" s="332"/>
      <c r="D29" s="332"/>
      <c r="E29" s="332"/>
      <c r="F29" s="332"/>
    </row>
    <row r="30" spans="1:6">
      <c r="A30" s="1307" t="s">
        <v>685</v>
      </c>
      <c r="B30" s="1316">
        <v>78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7</v>
      </c>
      <c r="F35" s="1313">
        <v>80566.336870036102</v>
      </c>
    </row>
    <row r="36" spans="1:6">
      <c r="A36" s="1312" t="s">
        <v>24</v>
      </c>
      <c r="B36" s="1312" t="s">
        <v>26</v>
      </c>
      <c r="C36" s="1313">
        <v>0</v>
      </c>
      <c r="D36" s="1313">
        <v>0</v>
      </c>
      <c r="E36" s="1313">
        <v>11</v>
      </c>
      <c r="F36" s="1313">
        <v>678679.31438049395</v>
      </c>
    </row>
    <row r="37" spans="1:6">
      <c r="A37" s="1312" t="s">
        <v>24</v>
      </c>
      <c r="B37" s="1312" t="s">
        <v>27</v>
      </c>
      <c r="C37" s="1313">
        <v>0</v>
      </c>
      <c r="D37" s="1313">
        <v>0</v>
      </c>
      <c r="E37" s="1313">
        <v>0</v>
      </c>
      <c r="F37" s="1313">
        <v>0</v>
      </c>
    </row>
    <row r="38" spans="1:6">
      <c r="A38" s="1312" t="s">
        <v>24</v>
      </c>
      <c r="B38" s="1312" t="s">
        <v>28</v>
      </c>
      <c r="C38" s="1313">
        <v>1</v>
      </c>
      <c r="D38" s="1313">
        <v>16726.5617143415</v>
      </c>
      <c r="E38" s="1313">
        <v>0</v>
      </c>
      <c r="F38" s="1313">
        <v>0</v>
      </c>
    </row>
    <row r="39" spans="1:6">
      <c r="A39" s="1312" t="s">
        <v>29</v>
      </c>
      <c r="B39" s="1312" t="s">
        <v>30</v>
      </c>
      <c r="C39" s="1313">
        <v>10850</v>
      </c>
      <c r="D39" s="1313">
        <v>144802752.681539</v>
      </c>
      <c r="E39" s="1313">
        <v>17786</v>
      </c>
      <c r="F39" s="1313">
        <v>64171889.666856401</v>
      </c>
    </row>
    <row r="40" spans="1:6">
      <c r="A40" s="1312" t="s">
        <v>29</v>
      </c>
      <c r="B40" s="1312" t="s">
        <v>28</v>
      </c>
      <c r="C40" s="1313">
        <v>0</v>
      </c>
      <c r="D40" s="1313">
        <v>0</v>
      </c>
      <c r="E40" s="1313">
        <v>0</v>
      </c>
      <c r="F40" s="1313">
        <v>0</v>
      </c>
    </row>
    <row r="41" spans="1:6">
      <c r="A41" s="1312" t="s">
        <v>31</v>
      </c>
      <c r="B41" s="1312" t="s">
        <v>32</v>
      </c>
      <c r="C41" s="1313">
        <v>223</v>
      </c>
      <c r="D41" s="1313">
        <v>4376812.0754063297</v>
      </c>
      <c r="E41" s="1313">
        <v>573</v>
      </c>
      <c r="F41" s="1313">
        <v>23946536.389541801</v>
      </c>
    </row>
    <row r="42" spans="1:6">
      <c r="A42" s="1312" t="s">
        <v>31</v>
      </c>
      <c r="B42" s="1312" t="s">
        <v>33</v>
      </c>
      <c r="C42" s="1313">
        <v>0</v>
      </c>
      <c r="D42" s="1313">
        <v>0</v>
      </c>
      <c r="E42" s="1313">
        <v>5</v>
      </c>
      <c r="F42" s="1313">
        <v>217090.685353173</v>
      </c>
    </row>
    <row r="43" spans="1:6">
      <c r="A43" s="1312" t="s">
        <v>31</v>
      </c>
      <c r="B43" s="1312" t="s">
        <v>34</v>
      </c>
      <c r="C43" s="1313">
        <v>0</v>
      </c>
      <c r="D43" s="1313">
        <v>0</v>
      </c>
      <c r="E43" s="1313">
        <v>0</v>
      </c>
      <c r="F43" s="1313">
        <v>0</v>
      </c>
    </row>
    <row r="44" spans="1:6">
      <c r="A44" s="1312" t="s">
        <v>31</v>
      </c>
      <c r="B44" s="1312" t="s">
        <v>35</v>
      </c>
      <c r="C44" s="1313">
        <v>20</v>
      </c>
      <c r="D44" s="1313">
        <v>2177359.7968921801</v>
      </c>
      <c r="E44" s="1313">
        <v>57</v>
      </c>
      <c r="F44" s="1313">
        <v>5096149.26278143</v>
      </c>
    </row>
    <row r="45" spans="1:6">
      <c r="A45" s="1312" t="s">
        <v>31</v>
      </c>
      <c r="B45" s="1312" t="s">
        <v>36</v>
      </c>
      <c r="C45" s="1313">
        <v>5</v>
      </c>
      <c r="D45" s="1313">
        <v>152106.70563494199</v>
      </c>
      <c r="E45" s="1313">
        <v>16</v>
      </c>
      <c r="F45" s="1313">
        <v>3355249.9284004699</v>
      </c>
    </row>
    <row r="46" spans="1:6">
      <c r="A46" s="1312" t="s">
        <v>31</v>
      </c>
      <c r="B46" s="1312" t="s">
        <v>37</v>
      </c>
      <c r="C46" s="1313">
        <v>0</v>
      </c>
      <c r="D46" s="1313">
        <v>0</v>
      </c>
      <c r="E46" s="1313">
        <v>0</v>
      </c>
      <c r="F46" s="1313">
        <v>0</v>
      </c>
    </row>
    <row r="47" spans="1:6">
      <c r="A47" s="1312" t="s">
        <v>31</v>
      </c>
      <c r="B47" s="1312" t="s">
        <v>38</v>
      </c>
      <c r="C47" s="1313">
        <v>10</v>
      </c>
      <c r="D47" s="1313">
        <v>496963.89912438003</v>
      </c>
      <c r="E47" s="1313">
        <v>16</v>
      </c>
      <c r="F47" s="1313">
        <v>6121723.7808407201</v>
      </c>
    </row>
    <row r="48" spans="1:6">
      <c r="A48" s="1312" t="s">
        <v>31</v>
      </c>
      <c r="B48" s="1312" t="s">
        <v>28</v>
      </c>
      <c r="C48" s="1313">
        <v>1</v>
      </c>
      <c r="D48" s="1313">
        <v>114706.09983659899</v>
      </c>
      <c r="E48" s="1313">
        <v>1</v>
      </c>
      <c r="F48" s="1313">
        <v>7127.5013347227004</v>
      </c>
    </row>
    <row r="49" spans="1:6">
      <c r="A49" s="1312" t="s">
        <v>31</v>
      </c>
      <c r="B49" s="1312" t="s">
        <v>39</v>
      </c>
      <c r="C49" s="1313">
        <v>9</v>
      </c>
      <c r="D49" s="1313">
        <v>20312205.303003501</v>
      </c>
      <c r="E49" s="1313">
        <v>21</v>
      </c>
      <c r="F49" s="1313">
        <v>7931141.8895095102</v>
      </c>
    </row>
    <row r="50" spans="1:6">
      <c r="A50" s="1312" t="s">
        <v>31</v>
      </c>
      <c r="B50" s="1312" t="s">
        <v>40</v>
      </c>
      <c r="C50" s="1313">
        <v>34</v>
      </c>
      <c r="D50" s="1313">
        <v>64603021.835992798</v>
      </c>
      <c r="E50" s="1313">
        <v>69</v>
      </c>
      <c r="F50" s="1313">
        <v>33063913.748224899</v>
      </c>
    </row>
    <row r="51" spans="1:6">
      <c r="A51" s="1312" t="s">
        <v>41</v>
      </c>
      <c r="B51" s="1312" t="s">
        <v>42</v>
      </c>
      <c r="C51" s="1313">
        <v>38</v>
      </c>
      <c r="D51" s="1313">
        <v>162872549.041814</v>
      </c>
      <c r="E51" s="1313">
        <v>375</v>
      </c>
      <c r="F51" s="1313">
        <v>9398564.4841610901</v>
      </c>
    </row>
    <row r="52" spans="1:6">
      <c r="A52" s="1312" t="s">
        <v>41</v>
      </c>
      <c r="B52" s="1312" t="s">
        <v>28</v>
      </c>
      <c r="C52" s="1313">
        <v>0</v>
      </c>
      <c r="D52" s="1313">
        <v>0</v>
      </c>
      <c r="E52" s="1313">
        <v>0</v>
      </c>
      <c r="F52" s="1313">
        <v>0</v>
      </c>
    </row>
    <row r="53" spans="1:6">
      <c r="A53" s="1312" t="s">
        <v>43</v>
      </c>
      <c r="B53" s="1312" t="s">
        <v>44</v>
      </c>
      <c r="C53" s="1313">
        <v>244</v>
      </c>
      <c r="D53" s="1313">
        <v>4009522.1236081701</v>
      </c>
      <c r="E53" s="1313">
        <v>665</v>
      </c>
      <c r="F53" s="1313">
        <v>2156461.8879883601</v>
      </c>
    </row>
    <row r="54" spans="1:6">
      <c r="A54" s="1312" t="s">
        <v>45</v>
      </c>
      <c r="B54" s="1312" t="s">
        <v>46</v>
      </c>
      <c r="C54" s="1313">
        <v>0</v>
      </c>
      <c r="D54" s="1313">
        <v>0</v>
      </c>
      <c r="E54" s="1313">
        <v>3</v>
      </c>
      <c r="F54" s="1313">
        <v>3183442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167</v>
      </c>
      <c r="D57" s="1313">
        <v>13648979.709555101</v>
      </c>
      <c r="E57" s="1313">
        <v>329</v>
      </c>
      <c r="F57" s="1313">
        <v>8129492.1935310401</v>
      </c>
    </row>
    <row r="58" spans="1:6">
      <c r="A58" s="1312" t="s">
        <v>48</v>
      </c>
      <c r="B58" s="1312" t="s">
        <v>50</v>
      </c>
      <c r="C58" s="1313">
        <v>135</v>
      </c>
      <c r="D58" s="1313">
        <v>17749554.393876199</v>
      </c>
      <c r="E58" s="1313">
        <v>204</v>
      </c>
      <c r="F58" s="1313">
        <v>8637397.4131439496</v>
      </c>
    </row>
    <row r="59" spans="1:6">
      <c r="A59" s="1312" t="s">
        <v>48</v>
      </c>
      <c r="B59" s="1312" t="s">
        <v>51</v>
      </c>
      <c r="C59" s="1313">
        <v>320</v>
      </c>
      <c r="D59" s="1313">
        <v>14252390.914344801</v>
      </c>
      <c r="E59" s="1313">
        <v>671</v>
      </c>
      <c r="F59" s="1313">
        <v>18985845.537275899</v>
      </c>
    </row>
    <row r="60" spans="1:6">
      <c r="A60" s="1312" t="s">
        <v>48</v>
      </c>
      <c r="B60" s="1312" t="s">
        <v>52</v>
      </c>
      <c r="C60" s="1313">
        <v>146</v>
      </c>
      <c r="D60" s="1313">
        <v>8130604.6661178097</v>
      </c>
      <c r="E60" s="1313">
        <v>208</v>
      </c>
      <c r="F60" s="1313">
        <v>4860547.2808371</v>
      </c>
    </row>
    <row r="61" spans="1:6">
      <c r="A61" s="1312" t="s">
        <v>48</v>
      </c>
      <c r="B61" s="1312" t="s">
        <v>53</v>
      </c>
      <c r="C61" s="1313">
        <v>505</v>
      </c>
      <c r="D61" s="1313">
        <v>190334500.88820499</v>
      </c>
      <c r="E61" s="1313">
        <v>1241</v>
      </c>
      <c r="F61" s="1313">
        <v>22960015.933701102</v>
      </c>
    </row>
    <row r="62" spans="1:6">
      <c r="A62" s="1312" t="s">
        <v>48</v>
      </c>
      <c r="B62" s="1312" t="s">
        <v>54</v>
      </c>
      <c r="C62" s="1313">
        <v>37</v>
      </c>
      <c r="D62" s="1313">
        <v>4281978.3506130399</v>
      </c>
      <c r="E62" s="1313">
        <v>50</v>
      </c>
      <c r="F62" s="1313">
        <v>1225588.3091952801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500007.87884430098</v>
      </c>
      <c r="E65" s="1313">
        <v>0</v>
      </c>
      <c r="F65" s="1313">
        <v>0</v>
      </c>
    </row>
    <row r="66" spans="1:6">
      <c r="A66" s="1312" t="s">
        <v>55</v>
      </c>
      <c r="B66" s="1312" t="s">
        <v>57</v>
      </c>
      <c r="C66" s="1313">
        <v>0</v>
      </c>
      <c r="D66" s="1313">
        <v>0</v>
      </c>
      <c r="E66" s="1313">
        <v>29</v>
      </c>
      <c r="F66" s="1313">
        <v>693105.45649106801</v>
      </c>
    </row>
    <row r="67" spans="1:6">
      <c r="A67" s="1314" t="s">
        <v>55</v>
      </c>
      <c r="B67" s="1314" t="s">
        <v>58</v>
      </c>
      <c r="C67" s="1313">
        <v>0</v>
      </c>
      <c r="D67" s="1313">
        <v>0</v>
      </c>
      <c r="E67" s="1313">
        <v>0</v>
      </c>
      <c r="F67" s="1313">
        <v>0</v>
      </c>
    </row>
    <row r="68" spans="1:6">
      <c r="A68" s="1307" t="s">
        <v>55</v>
      </c>
      <c r="B68" s="1307" t="s">
        <v>59</v>
      </c>
      <c r="C68" s="1316">
        <v>15</v>
      </c>
      <c r="D68" s="1316">
        <v>763998.79067396803</v>
      </c>
      <c r="E68" s="1316">
        <v>28</v>
      </c>
      <c r="F68" s="1316">
        <v>1416038.3852476601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159446639</v>
      </c>
      <c r="E73" s="447"/>
      <c r="F73" s="326"/>
    </row>
    <row r="74" spans="1:6">
      <c r="A74" s="1312" t="s">
        <v>63</v>
      </c>
      <c r="B74" s="1312" t="s">
        <v>638</v>
      </c>
      <c r="C74" s="1326" t="s">
        <v>640</v>
      </c>
      <c r="D74" s="1327">
        <v>17544714.790861309</v>
      </c>
      <c r="E74" s="447"/>
      <c r="F74" s="326"/>
    </row>
    <row r="75" spans="1:6">
      <c r="A75" s="1312" t="s">
        <v>64</v>
      </c>
      <c r="B75" s="1312" t="s">
        <v>637</v>
      </c>
      <c r="C75" s="1326" t="s">
        <v>641</v>
      </c>
      <c r="D75" s="1327">
        <v>71020583</v>
      </c>
      <c r="E75" s="447"/>
      <c r="F75" s="326"/>
    </row>
    <row r="76" spans="1:6">
      <c r="A76" s="1312" t="s">
        <v>64</v>
      </c>
      <c r="B76" s="1312" t="s">
        <v>638</v>
      </c>
      <c r="C76" s="1326" t="s">
        <v>642</v>
      </c>
      <c r="D76" s="1327">
        <v>4508533.7908613086</v>
      </c>
      <c r="E76" s="447"/>
      <c r="F76" s="326"/>
    </row>
    <row r="77" spans="1:6">
      <c r="A77" s="1312" t="s">
        <v>65</v>
      </c>
      <c r="B77" s="1312" t="s">
        <v>637</v>
      </c>
      <c r="C77" s="1326" t="s">
        <v>643</v>
      </c>
      <c r="D77" s="1327">
        <v>190240609</v>
      </c>
      <c r="E77" s="447"/>
      <c r="F77" s="326"/>
    </row>
    <row r="78" spans="1:6">
      <c r="A78" s="1307" t="s">
        <v>65</v>
      </c>
      <c r="B78" s="1307" t="s">
        <v>638</v>
      </c>
      <c r="C78" s="1307" t="s">
        <v>644</v>
      </c>
      <c r="D78" s="1328">
        <v>31722188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594710.41827738297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14558.266353022971</v>
      </c>
      <c r="C91" s="326"/>
      <c r="D91" s="326"/>
      <c r="E91" s="326"/>
      <c r="F91" s="326"/>
    </row>
    <row r="92" spans="1:6">
      <c r="A92" s="1307" t="s">
        <v>68</v>
      </c>
      <c r="B92" s="1308">
        <v>6023.3178505326568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3827</v>
      </c>
      <c r="C97" s="326"/>
      <c r="D97" s="326"/>
      <c r="E97" s="326"/>
      <c r="F97" s="326"/>
    </row>
    <row r="98" spans="1:6">
      <c r="A98" s="1312" t="s">
        <v>71</v>
      </c>
      <c r="B98" s="1313">
        <v>2</v>
      </c>
      <c r="C98" s="326"/>
      <c r="D98" s="326"/>
      <c r="E98" s="326"/>
      <c r="F98" s="326"/>
    </row>
    <row r="99" spans="1:6">
      <c r="A99" s="1312" t="s">
        <v>72</v>
      </c>
      <c r="B99" s="1313">
        <v>448</v>
      </c>
      <c r="C99" s="326"/>
      <c r="D99" s="326"/>
      <c r="E99" s="326"/>
      <c r="F99" s="326"/>
    </row>
    <row r="100" spans="1:6">
      <c r="A100" s="1312" t="s">
        <v>73</v>
      </c>
      <c r="B100" s="1313">
        <v>1971</v>
      </c>
      <c r="C100" s="326"/>
      <c r="D100" s="326"/>
      <c r="E100" s="326"/>
      <c r="F100" s="326"/>
    </row>
    <row r="101" spans="1:6">
      <c r="A101" s="1312" t="s">
        <v>74</v>
      </c>
      <c r="B101" s="1313">
        <v>308</v>
      </c>
      <c r="C101" s="326"/>
      <c r="D101" s="326"/>
      <c r="E101" s="326"/>
      <c r="F101" s="326"/>
    </row>
    <row r="102" spans="1:6">
      <c r="A102" s="1312" t="s">
        <v>75</v>
      </c>
      <c r="B102" s="1313">
        <v>295</v>
      </c>
      <c r="C102" s="326"/>
      <c r="D102" s="326"/>
      <c r="E102" s="326"/>
      <c r="F102" s="326"/>
    </row>
    <row r="103" spans="1:6">
      <c r="A103" s="1312" t="s">
        <v>76</v>
      </c>
      <c r="B103" s="1313">
        <v>586</v>
      </c>
      <c r="C103" s="326"/>
      <c r="D103" s="326"/>
      <c r="E103" s="326"/>
      <c r="F103" s="326"/>
    </row>
    <row r="104" spans="1:6">
      <c r="A104" s="1312" t="s">
        <v>77</v>
      </c>
      <c r="B104" s="1313">
        <v>7441</v>
      </c>
      <c r="C104" s="326"/>
      <c r="D104" s="326"/>
      <c r="E104" s="326"/>
      <c r="F104" s="326"/>
    </row>
    <row r="105" spans="1:6">
      <c r="A105" s="1307" t="s">
        <v>78</v>
      </c>
      <c r="B105" s="131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5</v>
      </c>
      <c r="C121" s="1313">
        <v>0</v>
      </c>
      <c r="D121" s="326"/>
      <c r="E121" s="326"/>
      <c r="F121" s="326"/>
    </row>
    <row r="122" spans="1:6">
      <c r="A122" s="1312" t="s">
        <v>86</v>
      </c>
      <c r="B122" s="1313">
        <v>0</v>
      </c>
      <c r="C122" s="1313">
        <v>0</v>
      </c>
      <c r="D122" s="326"/>
      <c r="E122" s="326"/>
      <c r="F122" s="326"/>
    </row>
    <row r="123" spans="1:6">
      <c r="A123" s="1312" t="s">
        <v>87</v>
      </c>
      <c r="B123" s="1313">
        <v>149</v>
      </c>
      <c r="C123" s="1313">
        <v>122</v>
      </c>
      <c r="D123" s="326"/>
      <c r="E123" s="326"/>
      <c r="F123" s="326"/>
    </row>
    <row r="124" spans="1:6" s="43" customFormat="1">
      <c r="A124" s="1314" t="s">
        <v>88</v>
      </c>
      <c r="B124" s="1335">
        <v>4</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592</v>
      </c>
      <c r="C129" s="326"/>
      <c r="D129" s="326"/>
      <c r="E129" s="326"/>
      <c r="F129" s="326"/>
    </row>
    <row r="130" spans="1:6">
      <c r="A130" s="1312" t="s">
        <v>290</v>
      </c>
      <c r="B130" s="1313">
        <v>9</v>
      </c>
      <c r="C130" s="326"/>
      <c r="D130" s="326"/>
      <c r="E130" s="326"/>
      <c r="F130" s="326"/>
    </row>
    <row r="131" spans="1:6">
      <c r="A131" s="1312" t="s">
        <v>291</v>
      </c>
      <c r="B131" s="1313">
        <v>9</v>
      </c>
      <c r="C131" s="326"/>
      <c r="D131" s="326"/>
      <c r="E131" s="326"/>
      <c r="F131" s="326"/>
    </row>
    <row r="132" spans="1:6">
      <c r="A132" s="1307" t="s">
        <v>292</v>
      </c>
      <c r="B132" s="1308">
        <v>84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238971.55413652401</v>
      </c>
      <c r="C3" s="43" t="s">
        <v>169</v>
      </c>
      <c r="D3" s="43"/>
      <c r="E3" s="154"/>
      <c r="F3" s="43"/>
      <c r="G3" s="43"/>
      <c r="H3" s="43"/>
      <c r="I3" s="43"/>
      <c r="J3" s="43"/>
      <c r="K3" s="96"/>
    </row>
    <row r="4" spans="1:11">
      <c r="A4" s="354" t="s">
        <v>170</v>
      </c>
      <c r="B4" s="49">
        <f>IF(ISERROR('SEAP template'!B78+'SEAP template'!C78),0,'SEAP template'!B78+'SEAP template'!C78)</f>
        <v>147029.95920355563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24052.711475596279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0.1856781829791874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34361.022636372836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180640.56853281852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0.19021764000997468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3183.442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3183.442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0.1856781829791874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591.09572617963033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64171.889666856398</v>
      </c>
      <c r="C5" s="17">
        <f>IF(ISERROR('Eigen informatie GS &amp; warmtenet'!B59),0,'Eigen informatie GS &amp; warmtenet'!B59)</f>
        <v>0</v>
      </c>
      <c r="D5" s="30">
        <f>(SUM(HH_hh_gas_kWh,HH_rest_gas_kWh)/1000)*0.903</f>
        <v>130756.88567142971</v>
      </c>
      <c r="E5" s="17">
        <f>B32*B41</f>
        <v>5077.2099362154795</v>
      </c>
      <c r="F5" s="17">
        <f>B36*B45</f>
        <v>111224.43397355932</v>
      </c>
      <c r="G5" s="18"/>
      <c r="H5" s="17"/>
      <c r="I5" s="17"/>
      <c r="J5" s="17">
        <f>B35*B44+C35*C44</f>
        <v>633.88021424966723</v>
      </c>
      <c r="K5" s="17"/>
      <c r="L5" s="17"/>
      <c r="M5" s="17"/>
      <c r="N5" s="17">
        <f>B34*B43+C34*C43</f>
        <v>25009.393274668924</v>
      </c>
      <c r="O5" s="17">
        <f>B52*B53*B54</f>
        <v>1418.5301268617277</v>
      </c>
      <c r="P5" s="17">
        <f>B60*B61*B62/1000-B60*B61*B62/1000/B63</f>
        <v>2496.5483559213508</v>
      </c>
    </row>
    <row r="6" spans="1:16">
      <c r="A6" s="16" t="s">
        <v>603</v>
      </c>
      <c r="B6" s="780">
        <f>kWh_PV_kleiner_dan_10kW</f>
        <v>14558.266353022971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78730.156019879374</v>
      </c>
      <c r="C8" s="21">
        <f>C5</f>
        <v>0</v>
      </c>
      <c r="D8" s="21">
        <f>D5</f>
        <v>130756.88567142971</v>
      </c>
      <c r="E8" s="21">
        <f>E5</f>
        <v>5077.2099362154795</v>
      </c>
      <c r="F8" s="21">
        <f>F5</f>
        <v>111224.43397355932</v>
      </c>
      <c r="G8" s="21"/>
      <c r="H8" s="21"/>
      <c r="I8" s="21"/>
      <c r="J8" s="21">
        <f>J5</f>
        <v>633.88021424966723</v>
      </c>
      <c r="K8" s="21"/>
      <c r="L8" s="21">
        <f>L5</f>
        <v>0</v>
      </c>
      <c r="M8" s="21">
        <f>M5</f>
        <v>0</v>
      </c>
      <c r="N8" s="21">
        <f>N5</f>
        <v>25009.393274668924</v>
      </c>
      <c r="O8" s="21">
        <f>O5</f>
        <v>1418.5301268617277</v>
      </c>
      <c r="P8" s="21">
        <f>P5</f>
        <v>2496.5483559213508</v>
      </c>
    </row>
    <row r="9" spans="1:16">
      <c r="B9" s="19"/>
      <c r="C9" s="19"/>
      <c r="D9" s="254"/>
      <c r="E9" s="19"/>
      <c r="F9" s="19"/>
      <c r="G9" s="19"/>
      <c r="H9" s="19"/>
      <c r="I9" s="19"/>
      <c r="J9" s="19"/>
      <c r="K9" s="19"/>
      <c r="L9" s="19"/>
      <c r="M9" s="19"/>
      <c r="N9" s="19"/>
      <c r="O9" s="19"/>
      <c r="P9" s="19"/>
    </row>
    <row r="10" spans="1:16">
      <c r="A10" s="24" t="s">
        <v>213</v>
      </c>
      <c r="B10" s="25">
        <f ca="1">'EF ele_warmte'!B12</f>
        <v>0.1856781829791874</v>
      </c>
      <c r="C10" s="25">
        <f ca="1">'EF ele_warmte'!B22</f>
        <v>0.19021764000997468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14618.472315439134</v>
      </c>
      <c r="C12" s="23">
        <f ca="1">C10*C8</f>
        <v>0</v>
      </c>
      <c r="D12" s="23">
        <f>D8*D10</f>
        <v>26412.890905628803</v>
      </c>
      <c r="E12" s="23">
        <f>E10*E8</f>
        <v>1152.5266555209139</v>
      </c>
      <c r="F12" s="23">
        <f>F10*F8</f>
        <v>29696.92387094034</v>
      </c>
      <c r="G12" s="23"/>
      <c r="H12" s="23"/>
      <c r="I12" s="23"/>
      <c r="J12" s="23">
        <f>J10*J8</f>
        <v>224.39359584438219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18543</v>
      </c>
      <c r="C26" s="36"/>
      <c r="D26" s="225"/>
    </row>
    <row r="27" spans="1:5" s="15" customFormat="1">
      <c r="A27" s="227" t="s">
        <v>866</v>
      </c>
      <c r="B27" s="37">
        <f>SUM(HH_hh_gas_aantal,HH_rest_gas_aantal)</f>
        <v>10850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10307.5</v>
      </c>
      <c r="C31" s="34" t="s">
        <v>110</v>
      </c>
      <c r="D31" s="171"/>
    </row>
    <row r="32" spans="1:5">
      <c r="A32" s="168" t="s">
        <v>72</v>
      </c>
      <c r="B32" s="33">
        <f>IF((B21*($B$26-($B$27-0.05*$B$27)-$B$60))&lt;0,0,(B21*($B$26-($B$27-0.05*$B$27)-$B$60)))</f>
        <v>126.97777675343669</v>
      </c>
      <c r="C32" s="34" t="s">
        <v>110</v>
      </c>
      <c r="D32" s="171"/>
    </row>
    <row r="33" spans="1:6">
      <c r="A33" s="168" t="s">
        <v>73</v>
      </c>
      <c r="B33" s="33">
        <f>IF((B22*($B$26-($B$27-0.05*$B$27)-$B$60))&lt;0,0,B22*($B$26-($B$27-0.05*$B$27)-$B$60))</f>
        <v>2061.8676122287106</v>
      </c>
      <c r="C33" s="34" t="s">
        <v>110</v>
      </c>
      <c r="D33" s="171"/>
    </row>
    <row r="34" spans="1:6">
      <c r="A34" s="168" t="s">
        <v>74</v>
      </c>
      <c r="B34" s="33">
        <f>IF((B24*($B$26-($B$27-0.05*$B$27)-$B$60))&lt;0,0,B24*($B$26-($B$27-0.05*$B$27)-$B$60))</f>
        <v>395.28761413353499</v>
      </c>
      <c r="C34" s="33">
        <f>B26*C24</f>
        <v>3799.5708418327486</v>
      </c>
      <c r="D34" s="230"/>
    </row>
    <row r="35" spans="1:6">
      <c r="A35" s="168" t="s">
        <v>76</v>
      </c>
      <c r="B35" s="33">
        <f>IF((B19*($B$26-($B$27-0.05*$B$27)-$B$60))&lt;0,0,B19*($B$26-($B$27-0.05*$B$27)-$B$60))</f>
        <v>55.19693683141319</v>
      </c>
      <c r="C35" s="33">
        <f>B35/2</f>
        <v>27.598468415706595</v>
      </c>
      <c r="D35" s="230"/>
    </row>
    <row r="36" spans="1:6">
      <c r="A36" s="168" t="s">
        <v>77</v>
      </c>
      <c r="B36" s="33">
        <f>IF((B18*($B$26-($B$27-0.05*$B$27)-$B$60))&lt;0,0,B18*($B$26-($B$27-0.05*$B$27)-$B$60))</f>
        <v>5359.170060052903</v>
      </c>
      <c r="C36" s="34" t="s">
        <v>110</v>
      </c>
      <c r="D36" s="171"/>
    </row>
    <row r="37" spans="1:6">
      <c r="A37" s="168" t="s">
        <v>78</v>
      </c>
      <c r="B37" s="33">
        <f>B60</f>
        <v>237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715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237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64798.886667684368</v>
      </c>
      <c r="C5" s="17">
        <f>IF(ISERROR('Eigen informatie GS &amp; warmtenet'!B60),0,'Eigen informatie GS &amp; warmtenet'!B60)</f>
        <v>0</v>
      </c>
      <c r="D5" s="30">
        <f>SUM(D6:D12)</f>
        <v>224303.40205720888</v>
      </c>
      <c r="E5" s="17">
        <f>SUM(E6:E12)</f>
        <v>262.63107019149197</v>
      </c>
      <c r="F5" s="17">
        <f>SUM(F6:F12)</f>
        <v>12567.821765287488</v>
      </c>
      <c r="G5" s="18"/>
      <c r="H5" s="17"/>
      <c r="I5" s="17"/>
      <c r="J5" s="17">
        <f>SUM(J6:J12)</f>
        <v>8.2223083274356443E-2</v>
      </c>
      <c r="K5" s="17"/>
      <c r="L5" s="17"/>
      <c r="M5" s="17"/>
      <c r="N5" s="17">
        <f>SUM(N6:N12)</f>
        <v>3215.19911993294</v>
      </c>
      <c r="O5" s="17">
        <f>B38*B39*B40</f>
        <v>44.075346892570387</v>
      </c>
      <c r="P5" s="17">
        <f>B46*B47*B48/1000-B46*B47*B48/1000/B49</f>
        <v>735.54793629093024</v>
      </c>
      <c r="R5" s="32"/>
    </row>
    <row r="6" spans="1:18">
      <c r="A6" s="32" t="s">
        <v>53</v>
      </c>
      <c r="B6" s="37">
        <f>B26</f>
        <v>22960.015933701103</v>
      </c>
      <c r="C6" s="33"/>
      <c r="D6" s="37">
        <f>IF(ISERROR(TER_kantoor_gas_kWh/1000),0,TER_kantoor_gas_kWh/1000)*0.903</f>
        <v>171872.0543020491</v>
      </c>
      <c r="E6" s="33">
        <f>$C$26*'E Balans VL '!I12/100/3.6*1000000</f>
        <v>5.4706950579309739</v>
      </c>
      <c r="F6" s="33">
        <f>$C$26*('E Balans VL '!L12+'E Balans VL '!N12)/100/3.6*1000000</f>
        <v>1994.3023035779113</v>
      </c>
      <c r="G6" s="34"/>
      <c r="H6" s="33"/>
      <c r="I6" s="33"/>
      <c r="J6" s="33">
        <f>$C$26*('E Balans VL '!D12+'E Balans VL '!E12)/100/3.6*1000000</f>
        <v>0</v>
      </c>
      <c r="K6" s="33"/>
      <c r="L6" s="33"/>
      <c r="M6" s="33"/>
      <c r="N6" s="33">
        <f>$C$26*'E Balans VL '!Y12/100/3.6*1000000</f>
        <v>30.689273406190868</v>
      </c>
      <c r="O6" s="33"/>
      <c r="P6" s="33"/>
      <c r="R6" s="32"/>
    </row>
    <row r="7" spans="1:18">
      <c r="A7" s="32" t="s">
        <v>52</v>
      </c>
      <c r="B7" s="37">
        <f t="shared" ref="B7:B12" si="0">B27</f>
        <v>4860.5472808370996</v>
      </c>
      <c r="C7" s="33"/>
      <c r="D7" s="37">
        <f>IF(ISERROR(TER_horeca_gas_kWh/1000),0,TER_horeca_gas_kWh/1000)*0.903</f>
        <v>7341.9360135043826</v>
      </c>
      <c r="E7" s="33">
        <f>$C$27*'E Balans VL '!I9/100/3.6*1000000</f>
        <v>0</v>
      </c>
      <c r="F7" s="33">
        <f>$C$27*('E Balans VL '!L9+'E Balans VL '!N9)/100/3.6*1000000</f>
        <v>396.04664004771837</v>
      </c>
      <c r="G7" s="34"/>
      <c r="H7" s="33"/>
      <c r="I7" s="33"/>
      <c r="J7" s="33">
        <f>$C$27*('E Balans VL '!D9+'E Balans VL '!E9)/100/3.6*1000000</f>
        <v>0</v>
      </c>
      <c r="K7" s="33"/>
      <c r="L7" s="33"/>
      <c r="M7" s="33"/>
      <c r="N7" s="33">
        <f>$C$27*'E Balans VL '!Y9/100/3.6*1000000</f>
        <v>1.3462811062782021</v>
      </c>
      <c r="O7" s="33"/>
      <c r="P7" s="33"/>
      <c r="R7" s="32"/>
    </row>
    <row r="8" spans="1:18">
      <c r="A8" s="6" t="s">
        <v>51</v>
      </c>
      <c r="B8" s="37">
        <f t="shared" si="0"/>
        <v>18985.845537275898</v>
      </c>
      <c r="C8" s="33"/>
      <c r="D8" s="37">
        <f>IF(ISERROR(TER_handel_gas_kWh/1000),0,TER_handel_gas_kWh/1000)*0.903</f>
        <v>12869.908995653355</v>
      </c>
      <c r="E8" s="33">
        <f>$C$28*'E Balans VL '!I13/100/3.6*1000000</f>
        <v>151.76553205390377</v>
      </c>
      <c r="F8" s="33">
        <f>$C$28*('E Balans VL '!L13+'E Balans VL '!N13)/100/3.6*1000000</f>
        <v>1886.1257312264761</v>
      </c>
      <c r="G8" s="34"/>
      <c r="H8" s="33"/>
      <c r="I8" s="33"/>
      <c r="J8" s="33">
        <f>$C$28*('E Balans VL '!D13+'E Balans VL '!E13)/100/3.6*1000000</f>
        <v>0</v>
      </c>
      <c r="K8" s="33"/>
      <c r="L8" s="33"/>
      <c r="M8" s="33"/>
      <c r="N8" s="33">
        <f>$C$28*'E Balans VL '!Y13/100/3.6*1000000</f>
        <v>7.0923434209231822</v>
      </c>
      <c r="O8" s="33"/>
      <c r="P8" s="33"/>
      <c r="R8" s="32"/>
    </row>
    <row r="9" spans="1:18">
      <c r="A9" s="32" t="s">
        <v>50</v>
      </c>
      <c r="B9" s="37">
        <f t="shared" si="0"/>
        <v>8637.39741314395</v>
      </c>
      <c r="C9" s="33"/>
      <c r="D9" s="37">
        <f>IF(ISERROR(TER_gezond_gas_kWh/1000),0,TER_gezond_gas_kWh/1000)*0.903</f>
        <v>16027.847617670208</v>
      </c>
      <c r="E9" s="33">
        <f>$C$29*'E Balans VL '!I10/100/3.6*1000000</f>
        <v>0</v>
      </c>
      <c r="F9" s="33">
        <f>$C$29*('E Balans VL '!L10+'E Balans VL '!N10)/100/3.6*1000000</f>
        <v>787.43952661619278</v>
      </c>
      <c r="G9" s="34"/>
      <c r="H9" s="33"/>
      <c r="I9" s="33"/>
      <c r="J9" s="33">
        <f>$C$29*('E Balans VL '!D10+'E Balans VL '!E10)/100/3.6*1000000</f>
        <v>0</v>
      </c>
      <c r="K9" s="33"/>
      <c r="L9" s="33"/>
      <c r="M9" s="33"/>
      <c r="N9" s="33">
        <f>$C$29*'E Balans VL '!Y10/100/3.6*1000000</f>
        <v>63.131634599638708</v>
      </c>
      <c r="O9" s="33"/>
      <c r="P9" s="33"/>
      <c r="R9" s="32"/>
    </row>
    <row r="10" spans="1:18">
      <c r="A10" s="32" t="s">
        <v>49</v>
      </c>
      <c r="B10" s="37">
        <f t="shared" si="0"/>
        <v>8129.4921935310404</v>
      </c>
      <c r="C10" s="33"/>
      <c r="D10" s="37">
        <f>IF(ISERROR(TER_ander_gas_kWh/1000),0,TER_ander_gas_kWh/1000)*0.903</f>
        <v>12325.028677728256</v>
      </c>
      <c r="E10" s="33">
        <f>$C$30*'E Balans VL '!I14/100/3.6*1000000</f>
        <v>105.39484307965719</v>
      </c>
      <c r="F10" s="33">
        <f>$C$30*('E Balans VL '!L14+'E Balans VL '!N14)/100/3.6*1000000</f>
        <v>7455.8857438439791</v>
      </c>
      <c r="G10" s="34"/>
      <c r="H10" s="33"/>
      <c r="I10" s="33"/>
      <c r="J10" s="33">
        <f>$C$30*('E Balans VL '!D14+'E Balans VL '!E14)/100/3.6*1000000</f>
        <v>8.2223083274356443E-2</v>
      </c>
      <c r="K10" s="33"/>
      <c r="L10" s="33"/>
      <c r="M10" s="33"/>
      <c r="N10" s="33">
        <f>$C$30*'E Balans VL '!Y14/100/3.6*1000000</f>
        <v>3109.0799070046855</v>
      </c>
      <c r="O10" s="33"/>
      <c r="P10" s="33"/>
      <c r="R10" s="32"/>
    </row>
    <row r="11" spans="1:18">
      <c r="A11" s="32" t="s">
        <v>54</v>
      </c>
      <c r="B11" s="37">
        <f t="shared" si="0"/>
        <v>1225.5883091952801</v>
      </c>
      <c r="C11" s="33"/>
      <c r="D11" s="37">
        <f>IF(ISERROR(TER_onderwijs_gas_kWh/1000),0,TER_onderwijs_gas_kWh/1000)*0.903</f>
        <v>3866.626450603575</v>
      </c>
      <c r="E11" s="33">
        <f>$C$31*'E Balans VL '!I11/100/3.6*1000000</f>
        <v>0</v>
      </c>
      <c r="F11" s="33">
        <f>$C$31*('E Balans VL '!L11+'E Balans VL '!N11)/100/3.6*1000000</f>
        <v>48.0218199752114</v>
      </c>
      <c r="G11" s="34"/>
      <c r="H11" s="33"/>
      <c r="I11" s="33"/>
      <c r="J11" s="33">
        <f>$C$31*('E Balans VL '!D11+'E Balans VL '!E11)/100/3.6*1000000</f>
        <v>0</v>
      </c>
      <c r="K11" s="33"/>
      <c r="L11" s="33"/>
      <c r="M11" s="33"/>
      <c r="N11" s="33">
        <f>$C$31*'E Balans VL '!Y11/100/3.6*1000000</f>
        <v>3.8596803952234868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energieproductie'!N46+'lokale energieproductie'!N39</f>
        <v>8.5</v>
      </c>
      <c r="C13" s="243">
        <f ca="1">'lokale energieproductie'!O46+'lokale energieproductie'!O39</f>
        <v>12.175675675675675</v>
      </c>
      <c r="D13" s="304">
        <f ca="1">('lokale energieproductie'!P39+'lokale energieproductie'!P46)*(-1)</f>
        <v>-22.972972972972972</v>
      </c>
      <c r="E13" s="244"/>
      <c r="F13" s="304">
        <f ca="1">('lokale energieproductie'!S39+'lokale energieproductie'!S46)*(-1)</f>
        <v>0</v>
      </c>
      <c r="G13" s="245"/>
      <c r="H13" s="244"/>
      <c r="I13" s="244"/>
      <c r="J13" s="244"/>
      <c r="K13" s="244"/>
      <c r="L13" s="304">
        <f ca="1">('lokale energieproductie'!U39+'lokale energieproductie'!T39+'lokale energieproductie'!U46+'lokale energieproductie'!T46)*(-1)</f>
        <v>0</v>
      </c>
      <c r="M13" s="244"/>
      <c r="N13" s="304">
        <f ca="1">('lokale energieproductie'!Q39+'lokale energieproductie'!R39+'lokale energieproductie'!V39+'lokale energieproductie'!Q46+'lokale energieproductie'!R46+'lokale energieproductie'!V46)*(-1)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64807.386667684368</v>
      </c>
      <c r="C16" s="21">
        <f t="shared" ca="1" si="1"/>
        <v>12.175675675675675</v>
      </c>
      <c r="D16" s="21">
        <f t="shared" ca="1" si="1"/>
        <v>224280.42908423592</v>
      </c>
      <c r="E16" s="21">
        <f t="shared" si="1"/>
        <v>262.63107019149197</v>
      </c>
      <c r="F16" s="21">
        <f t="shared" ca="1" si="1"/>
        <v>12567.821765287488</v>
      </c>
      <c r="G16" s="21">
        <f t="shared" si="1"/>
        <v>0</v>
      </c>
      <c r="H16" s="21">
        <f t="shared" si="1"/>
        <v>0</v>
      </c>
      <c r="I16" s="21">
        <f t="shared" si="1"/>
        <v>0</v>
      </c>
      <c r="J16" s="21">
        <f t="shared" si="1"/>
        <v>8.2223083274356443E-2</v>
      </c>
      <c r="K16" s="21">
        <f t="shared" si="1"/>
        <v>0</v>
      </c>
      <c r="L16" s="21">
        <f t="shared" ca="1" si="1"/>
        <v>0</v>
      </c>
      <c r="M16" s="21">
        <f t="shared" si="1"/>
        <v>0</v>
      </c>
      <c r="N16" s="21">
        <f t="shared" ca="1" si="1"/>
        <v>3215.19911993294</v>
      </c>
      <c r="O16" s="21">
        <f>O5</f>
        <v>44.075346892570387</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0.1856781829791874</v>
      </c>
      <c r="C18" s="25">
        <f ca="1">'EF ele_warmte'!B22</f>
        <v>0.19021764000997468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12033.317800085248</v>
      </c>
      <c r="C20" s="23">
        <f t="shared" ref="C20:P20" ca="1" si="2">C16*C18</f>
        <v>2.3160282925538809</v>
      </c>
      <c r="D20" s="23">
        <f t="shared" ca="1" si="2"/>
        <v>45304.646675015661</v>
      </c>
      <c r="E20" s="23">
        <f t="shared" si="2"/>
        <v>59.617252933468677</v>
      </c>
      <c r="F20" s="23">
        <f t="shared" ca="1" si="2"/>
        <v>3355.6084113317597</v>
      </c>
      <c r="G20" s="23">
        <f t="shared" si="2"/>
        <v>0</v>
      </c>
      <c r="H20" s="23">
        <f t="shared" si="2"/>
        <v>0</v>
      </c>
      <c r="I20" s="23">
        <f t="shared" si="2"/>
        <v>0</v>
      </c>
      <c r="J20" s="23">
        <f t="shared" si="2"/>
        <v>2.9106971479122178E-2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22960.015933701103</v>
      </c>
      <c r="C26" s="39">
        <f>IF(ISERROR(B26*3.6/1000000/'E Balans VL '!Z12*100),0,B26*3.6/1000000/'E Balans VL '!Z12*100)</f>
        <v>0.65872069648314346</v>
      </c>
      <c r="D26" s="233" t="s">
        <v>841</v>
      </c>
      <c r="F26" s="6"/>
    </row>
    <row r="27" spans="1:18" ht="30">
      <c r="A27" s="228" t="s">
        <v>52</v>
      </c>
      <c r="B27" s="33">
        <f>IF(ISERROR(TER_horeca_ele_kWh/1000),0,TER_horeca_ele_kWh/1000)</f>
        <v>4860.5472808370996</v>
      </c>
      <c r="C27" s="39">
        <f>IF(ISERROR(B27*3.6/1000000/'E Balans VL '!Z9*100),0,B27*3.6/1000000/'E Balans VL '!Z9*100)</f>
        <v>0.35608541460070459</v>
      </c>
      <c r="D27" s="233" t="s">
        <v>841</v>
      </c>
      <c r="F27" s="6"/>
    </row>
    <row r="28" spans="1:18" ht="30">
      <c r="A28" s="168" t="s">
        <v>51</v>
      </c>
      <c r="B28" s="33">
        <f>IF(ISERROR(TER_handel_ele_kWh/1000),0,TER_handel_ele_kWh/1000)</f>
        <v>18985.845537275898</v>
      </c>
      <c r="C28" s="39">
        <f>IF(ISERROR(B28*3.6/1000000/'E Balans VL '!Z13*100),0,B28*3.6/1000000/'E Balans VL '!Z13*100)</f>
        <v>0.58667864073862197</v>
      </c>
      <c r="D28" s="233" t="s">
        <v>841</v>
      </c>
      <c r="F28" s="6"/>
    </row>
    <row r="29" spans="1:18" ht="30">
      <c r="A29" s="228" t="s">
        <v>50</v>
      </c>
      <c r="B29" s="33">
        <f>IF(ISERROR(TER_gezond_ele_kWh/1000),0,TER_gezond_ele_kWh/1000)</f>
        <v>8637.39741314395</v>
      </c>
      <c r="C29" s="39">
        <f>IF(ISERROR(B29*3.6/1000000/'E Balans VL '!Z10*100),0,B29*3.6/1000000/'E Balans VL '!Z10*100)</f>
        <v>0.84651805745610686</v>
      </c>
      <c r="D29" s="233" t="s">
        <v>841</v>
      </c>
      <c r="F29" s="6"/>
    </row>
    <row r="30" spans="1:18" ht="30">
      <c r="A30" s="228" t="s">
        <v>49</v>
      </c>
      <c r="B30" s="33">
        <f>IF(ISERROR(TER_ander_ele_kWh/1000),0,TER_ander_ele_kWh/1000)</f>
        <v>8129.4921935310404</v>
      </c>
      <c r="C30" s="39">
        <f>IF(ISERROR(B30*3.6/1000000/'E Balans VL '!Z14*100),0,B30*3.6/1000000/'E Balans VL '!Z14*100)</f>
        <v>0.33674982910999218</v>
      </c>
      <c r="D30" s="233" t="s">
        <v>841</v>
      </c>
      <c r="F30" s="6"/>
    </row>
    <row r="31" spans="1:18" ht="30">
      <c r="A31" s="228" t="s">
        <v>54</v>
      </c>
      <c r="B31" s="33">
        <f>IF(ISERROR(TER_onderwijs_ele_kWh/1000),0,TER_onderwijs_ele_kWh/1000)</f>
        <v>1225.5883091952801</v>
      </c>
      <c r="C31" s="39">
        <f>IF(ISERROR(B31*3.6/1000000/'E Balans VL '!Z11*100),0,B31*3.6/1000000/'E Balans VL '!Z11*100)</f>
        <v>0.37658602631996396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79738.933185986738</v>
      </c>
      <c r="C5" s="17">
        <f>IF(ISERROR('Eigen informatie GS &amp; warmtenet'!B61),0,'Eigen informatie GS &amp; warmtenet'!B61)</f>
        <v>0</v>
      </c>
      <c r="D5" s="30">
        <f>SUM(D6:D15)</f>
        <v>83286.557671449322</v>
      </c>
      <c r="E5" s="17">
        <f>SUM(E6:E15)</f>
        <v>281.87227724042901</v>
      </c>
      <c r="F5" s="17">
        <f>SUM(F6:F15)</f>
        <v>17138.170749704062</v>
      </c>
      <c r="G5" s="18"/>
      <c r="H5" s="17"/>
      <c r="I5" s="17"/>
      <c r="J5" s="17">
        <f>SUM(J6:J15)</f>
        <v>125.49685408078444</v>
      </c>
      <c r="K5" s="17"/>
      <c r="L5" s="17"/>
      <c r="M5" s="17"/>
      <c r="N5" s="17">
        <f>SUM(N6:N15)</f>
        <v>4231.9907458057896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5096.1492627814305</v>
      </c>
      <c r="C8" s="33"/>
      <c r="D8" s="37">
        <f>IF( ISERROR(IND_metaal_Gas_kWH/1000),0,IND_metaal_Gas_kWH/1000)*0.903</f>
        <v>1966.1558965936385</v>
      </c>
      <c r="E8" s="33">
        <f>C30*'E Balans VL '!I18/100/3.6*1000000</f>
        <v>27.779904413977647</v>
      </c>
      <c r="F8" s="33">
        <f>C30*'E Balans VL '!L18/100/3.6*1000000+C30*'E Balans VL '!N18/100/3.6*1000000</f>
        <v>328.19240178077223</v>
      </c>
      <c r="G8" s="34"/>
      <c r="H8" s="33"/>
      <c r="I8" s="33"/>
      <c r="J8" s="40">
        <f>C30*'E Balans VL '!D18/100/3.6*1000000+C30*'E Balans VL '!E18/100/3.6*1000000</f>
        <v>4.1743678663920587</v>
      </c>
      <c r="K8" s="33"/>
      <c r="L8" s="33"/>
      <c r="M8" s="33"/>
      <c r="N8" s="33">
        <f>C30*'E Balans VL '!Y18/100/3.6*1000000</f>
        <v>110.09893730277089</v>
      </c>
      <c r="O8" s="33"/>
      <c r="P8" s="33"/>
      <c r="R8" s="32"/>
    </row>
    <row r="9" spans="1:18">
      <c r="A9" s="6" t="s">
        <v>32</v>
      </c>
      <c r="B9" s="37">
        <f t="shared" si="0"/>
        <v>23946.536389541801</v>
      </c>
      <c r="C9" s="33"/>
      <c r="D9" s="37">
        <f>IF( ISERROR(IND_andere_gas_kWh/1000),0,IND_andere_gas_kWh/1000)*0.903</f>
        <v>3952.2613040919155</v>
      </c>
      <c r="E9" s="33">
        <f>C31*'E Balans VL '!I19/100/3.6*1000000</f>
        <v>77.303497573893665</v>
      </c>
      <c r="F9" s="33">
        <f>C31*'E Balans VL '!L19/100/3.6*1000000+C31*'E Balans VL '!N19/100/3.6*1000000</f>
        <v>15484.018411259154</v>
      </c>
      <c r="G9" s="34"/>
      <c r="H9" s="33"/>
      <c r="I9" s="33"/>
      <c r="J9" s="40">
        <f>C31*'E Balans VL '!D19/100/3.6*1000000+C31*'E Balans VL '!E19/100/3.6*1000000</f>
        <v>0</v>
      </c>
      <c r="K9" s="33"/>
      <c r="L9" s="33"/>
      <c r="M9" s="33"/>
      <c r="N9" s="33">
        <f>C31*'E Balans VL '!Y19/100/3.6*1000000</f>
        <v>967.65187482601561</v>
      </c>
      <c r="O9" s="33"/>
      <c r="P9" s="33"/>
      <c r="R9" s="32"/>
    </row>
    <row r="10" spans="1:18">
      <c r="A10" s="6" t="s">
        <v>40</v>
      </c>
      <c r="B10" s="37">
        <f t="shared" si="0"/>
        <v>33063.913748224899</v>
      </c>
      <c r="C10" s="33"/>
      <c r="D10" s="37">
        <f>IF( ISERROR(IND_voed_gas_kWh/1000),0,IND_voed_gas_kWh/1000)*0.903</f>
        <v>58336.528717901499</v>
      </c>
      <c r="E10" s="33">
        <f>C32*'E Balans VL '!I20/100/3.6*1000000</f>
        <v>69.310066307307594</v>
      </c>
      <c r="F10" s="33">
        <f>C32*'E Balans VL '!L20/100/3.6*1000000+C32*'E Balans VL '!N20/100/3.6*1000000</f>
        <v>644.19930463964113</v>
      </c>
      <c r="G10" s="34"/>
      <c r="H10" s="33"/>
      <c r="I10" s="33"/>
      <c r="J10" s="40">
        <f>C32*'E Balans VL '!D20/100/3.6*1000000+C32*'E Balans VL '!E20/100/3.6*1000000</f>
        <v>0</v>
      </c>
      <c r="K10" s="33"/>
      <c r="L10" s="33"/>
      <c r="M10" s="33"/>
      <c r="N10" s="33">
        <f>C32*'E Balans VL '!Y20/100/3.6*1000000</f>
        <v>1315.1908223010073</v>
      </c>
      <c r="O10" s="33"/>
      <c r="P10" s="33"/>
      <c r="R10" s="32"/>
    </row>
    <row r="11" spans="1:18">
      <c r="A11" s="6" t="s">
        <v>39</v>
      </c>
      <c r="B11" s="37">
        <f t="shared" si="0"/>
        <v>7931.1418895095103</v>
      </c>
      <c r="C11" s="33"/>
      <c r="D11" s="37">
        <f>IF( ISERROR(IND_textiel_gas_kWh/1000),0,IND_textiel_gas_kWh/1000)*0.903</f>
        <v>18341.921388612162</v>
      </c>
      <c r="E11" s="33">
        <f>C33*'E Balans VL '!I21/100/3.6*1000000</f>
        <v>6.8149918117652604</v>
      </c>
      <c r="F11" s="33">
        <f>C33*'E Balans VL '!L21/100/3.6*1000000+C33*'E Balans VL '!N21/100/3.6*1000000</f>
        <v>166.28462130413322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3355.2499284004698</v>
      </c>
      <c r="C12" s="33"/>
      <c r="D12" s="37">
        <f>IF( ISERROR(IND_min_gas_kWh/1000),0,IND_min_gas_kWh/1000)*0.903</f>
        <v>137.35235518835262</v>
      </c>
      <c r="E12" s="33">
        <f>C34*'E Balans VL '!I22/100/3.6*1000000</f>
        <v>54.908862656186528</v>
      </c>
      <c r="F12" s="33">
        <f>C34*'E Balans VL '!L22/100/3.6*1000000+C34*'E Balans VL '!N22/100/3.6*1000000</f>
        <v>512.12631887577629</v>
      </c>
      <c r="G12" s="34"/>
      <c r="H12" s="33"/>
      <c r="I12" s="33"/>
      <c r="J12" s="40">
        <f>C34*'E Balans VL '!D22/100/3.6*1000000+C34*'E Balans VL '!E22/100/3.6*1000000</f>
        <v>120.07287183741531</v>
      </c>
      <c r="K12" s="33"/>
      <c r="L12" s="33"/>
      <c r="M12" s="33"/>
      <c r="N12" s="33">
        <f>C34*'E Balans VL '!Y22/100/3.6*1000000</f>
        <v>1838.7481721298877</v>
      </c>
      <c r="O12" s="33"/>
      <c r="P12" s="33"/>
      <c r="R12" s="32"/>
    </row>
    <row r="13" spans="1:18">
      <c r="A13" s="6" t="s">
        <v>38</v>
      </c>
      <c r="B13" s="37">
        <f t="shared" si="0"/>
        <v>6121.7237808407199</v>
      </c>
      <c r="C13" s="33"/>
      <c r="D13" s="37">
        <f>IF( ISERROR(IND_papier_gas_kWh/1000),0,IND_papier_gas_kWh/1000)*0.903</f>
        <v>448.75840090931518</v>
      </c>
      <c r="E13" s="33">
        <f>C35*'E Balans VL '!I23/100/3.6*1000000</f>
        <v>0</v>
      </c>
      <c r="F13" s="33">
        <f>C35*'E Balans VL '!L23/100/3.6*1000000+C35*'E Balans VL '!N23/100/3.6*1000000</f>
        <v>0.82002420018889499</v>
      </c>
      <c r="G13" s="34"/>
      <c r="H13" s="33"/>
      <c r="I13" s="33"/>
      <c r="J13" s="40">
        <f>C35*'E Balans VL '!D23/100/3.6*1000000+C35*'E Balans VL '!E23/100/3.6*1000000</f>
        <v>1.2109154815564618</v>
      </c>
      <c r="K13" s="33"/>
      <c r="L13" s="33"/>
      <c r="M13" s="33"/>
      <c r="N13" s="33">
        <f>C35*'E Balans VL '!Y23/100/3.6*1000000</f>
        <v>0</v>
      </c>
      <c r="O13" s="33"/>
      <c r="P13" s="33"/>
      <c r="R13" s="32"/>
    </row>
    <row r="14" spans="1:18">
      <c r="A14" s="6" t="s">
        <v>33</v>
      </c>
      <c r="B14" s="37">
        <f t="shared" si="0"/>
        <v>217.090685353173</v>
      </c>
      <c r="C14" s="33"/>
      <c r="D14" s="37">
        <f>IF( ISERROR(IND_chemie_gas_kWh/1000),0,IND_chemie_gas_kWh/1000)*0.903</f>
        <v>0</v>
      </c>
      <c r="E14" s="33">
        <f>C36*'E Balans VL '!I24/100/3.6*1000000</f>
        <v>45.335340736227856</v>
      </c>
      <c r="F14" s="33">
        <f>C36*'E Balans VL '!L24/100/3.6*1000000+C36*'E Balans VL '!N24/100/3.6*1000000</f>
        <v>1.4423421547555511</v>
      </c>
      <c r="G14" s="34"/>
      <c r="H14" s="33"/>
      <c r="I14" s="33"/>
      <c r="J14" s="40">
        <f>C36*'E Balans VL '!D24/100/3.6*1000000+C36*'E Balans VL '!E24/100/3.6*1000000</f>
        <v>0</v>
      </c>
      <c r="K14" s="33"/>
      <c r="L14" s="33"/>
      <c r="M14" s="33"/>
      <c r="N14" s="33">
        <f>C36*'E Balans VL '!Y24/100/3.6*1000000</f>
        <v>7.5754509534669029E-2</v>
      </c>
      <c r="O14" s="33"/>
      <c r="P14" s="33"/>
      <c r="R14" s="32"/>
    </row>
    <row r="15" spans="1:18">
      <c r="A15" s="6" t="s">
        <v>265</v>
      </c>
      <c r="B15" s="37">
        <f t="shared" si="0"/>
        <v>7.1275013347227008</v>
      </c>
      <c r="C15" s="33"/>
      <c r="D15" s="37">
        <f>IF( ISERROR(IND_rest_gas_kWh/1000),0,IND_rest_gas_kWh/1000)*0.903</f>
        <v>103.5796081524489</v>
      </c>
      <c r="E15" s="33">
        <f>C37*'E Balans VL '!I15/100/3.6*1000000</f>
        <v>0.41961374107043564</v>
      </c>
      <c r="F15" s="33">
        <f>C37*'E Balans VL '!L15/100/3.6*1000000+C37*'E Balans VL '!N15/100/3.6*1000000</f>
        <v>1.0873254896445366</v>
      </c>
      <c r="G15" s="34"/>
      <c r="H15" s="33"/>
      <c r="I15" s="33"/>
      <c r="J15" s="40">
        <f>C37*'E Balans VL '!D15/100/3.6*1000000+C37*'E Balans VL '!E15/100/3.6*1000000</f>
        <v>3.8698895420620973E-2</v>
      </c>
      <c r="K15" s="33"/>
      <c r="L15" s="33"/>
      <c r="M15" s="33"/>
      <c r="N15" s="33">
        <f>C37*'E Balans VL '!Y15/100/3.6*1000000</f>
        <v>0.22518473657316171</v>
      </c>
      <c r="O15" s="33"/>
      <c r="P15" s="33"/>
      <c r="R15" s="32"/>
    </row>
    <row r="16" spans="1:18">
      <c r="A16" s="16" t="s">
        <v>473</v>
      </c>
      <c r="B16" s="243">
        <f>'lokale energieproductie'!N45+'lokale energieproductie'!N38</f>
        <v>0</v>
      </c>
      <c r="C16" s="243">
        <f>'lokale energieproductie'!O45+'lokale energieproductie'!O38</f>
        <v>0</v>
      </c>
      <c r="D16" s="304">
        <f>('lokale energieproductie'!P38+'lokale energieproductie'!P45)*(-1)</f>
        <v>0</v>
      </c>
      <c r="E16" s="244"/>
      <c r="F16" s="304">
        <f>('lokale energieproductie'!S38+'lokale energieproductie'!S45)*(-1)</f>
        <v>0</v>
      </c>
      <c r="G16" s="245"/>
      <c r="H16" s="244"/>
      <c r="I16" s="244"/>
      <c r="J16" s="244"/>
      <c r="K16" s="244"/>
      <c r="L16" s="304">
        <f>('lokale energieproductie'!T38+'lokale energieproductie'!U38+'lokale energieproductie'!T45+'lokale energieproductie'!U45)*(-1)</f>
        <v>0</v>
      </c>
      <c r="M16" s="244"/>
      <c r="N16" s="304">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79738.933185986738</v>
      </c>
      <c r="C18" s="21">
        <f>C5+C16</f>
        <v>0</v>
      </c>
      <c r="D18" s="21">
        <f>MAX((D5+D16),0)</f>
        <v>83286.557671449322</v>
      </c>
      <c r="E18" s="21">
        <f>MAX((E5+E16),0)</f>
        <v>281.87227724042901</v>
      </c>
      <c r="F18" s="21">
        <f>MAX((F5+F16),0)</f>
        <v>17138.170749704062</v>
      </c>
      <c r="G18" s="21"/>
      <c r="H18" s="21"/>
      <c r="I18" s="21"/>
      <c r="J18" s="21">
        <f>MAX((J5+J16),0)</f>
        <v>125.49685408078444</v>
      </c>
      <c r="K18" s="21"/>
      <c r="L18" s="21">
        <f>MAX((L5+L16),0)</f>
        <v>0</v>
      </c>
      <c r="M18" s="21"/>
      <c r="N18" s="21">
        <f>MAX((N5+N16),0)</f>
        <v>4231.9907458057896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0.1856781829791874</v>
      </c>
      <c r="C20" s="25">
        <f ca="1">'EF ele_warmte'!B22</f>
        <v>0.19021764000997468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14805.780226672843</v>
      </c>
      <c r="C22" s="23">
        <f ca="1">C18*C20</f>
        <v>0</v>
      </c>
      <c r="D22" s="23">
        <f>D18*D20</f>
        <v>16823.884649632764</v>
      </c>
      <c r="E22" s="23">
        <f>E18*E20</f>
        <v>63.985006933577388</v>
      </c>
      <c r="F22" s="23">
        <f>F18*F20</f>
        <v>4575.8915901709852</v>
      </c>
      <c r="G22" s="23"/>
      <c r="H22" s="23"/>
      <c r="I22" s="23"/>
      <c r="J22" s="23">
        <f>J18*J20</f>
        <v>44.425886344597693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5096.1492627814305</v>
      </c>
      <c r="C30" s="39">
        <f>IF(ISERROR(B30*3.6/1000000/'E Balans VL '!Z18*100),0,B30*3.6/1000000/'E Balans VL '!Z18*100)</f>
        <v>0.30687613475620706</v>
      </c>
      <c r="D30" s="233" t="s">
        <v>841</v>
      </c>
    </row>
    <row r="31" spans="1:18" ht="30">
      <c r="A31" s="6" t="s">
        <v>32</v>
      </c>
      <c r="B31" s="37">
        <f>IF( ISERROR(IND_ander_ele_kWh/1000),0,IND_ander_ele_kWh/1000)</f>
        <v>23946.536389541801</v>
      </c>
      <c r="C31" s="39">
        <f>IF(ISERROR(B31*3.6/1000000/'E Balans VL '!Z19*100),0,B31*3.6/1000000/'E Balans VL '!Z19*100)</f>
        <v>0.97563146754541774</v>
      </c>
      <c r="D31" s="233" t="s">
        <v>841</v>
      </c>
    </row>
    <row r="32" spans="1:18" ht="30">
      <c r="A32" s="168" t="s">
        <v>40</v>
      </c>
      <c r="B32" s="37">
        <f>IF( ISERROR(IND_voed_ele_kWh/1000),0,IND_voed_ele_kWh/1000)</f>
        <v>33063.913748224899</v>
      </c>
      <c r="C32" s="39">
        <f>IF(ISERROR(B32*3.6/1000000/'E Balans VL '!Z20*100),0,B32*3.6/1000000/'E Balans VL '!Z20*100)</f>
        <v>0.95601080559265217</v>
      </c>
      <c r="D32" s="233" t="s">
        <v>841</v>
      </c>
    </row>
    <row r="33" spans="1:5" ht="30">
      <c r="A33" s="168" t="s">
        <v>39</v>
      </c>
      <c r="B33" s="37">
        <f>IF( ISERROR(IND_textiel_ele_kWh/1000),0,IND_textiel_ele_kWh/1000)</f>
        <v>7931.1418895095103</v>
      </c>
      <c r="C33" s="39">
        <f>IF(ISERROR(B33*3.6/1000000/'E Balans VL '!Z21*100),0,B33*3.6/1000000/'E Balans VL '!Z21*100)</f>
        <v>1.304304652969428</v>
      </c>
      <c r="D33" s="233" t="s">
        <v>841</v>
      </c>
    </row>
    <row r="34" spans="1:5" ht="30">
      <c r="A34" s="168" t="s">
        <v>36</v>
      </c>
      <c r="B34" s="37">
        <f>IF( ISERROR(IND_min_ele_kWh/1000),0,IND_min_ele_kWh/1000)</f>
        <v>3355.2499284004698</v>
      </c>
      <c r="C34" s="39">
        <f>IF(ISERROR(B34*3.6/1000000/'E Balans VL '!Z22*100),0,B34*3.6/1000000/'E Balans VL '!Z22*100)</f>
        <v>1.4326605416104157</v>
      </c>
      <c r="D34" s="233" t="s">
        <v>841</v>
      </c>
    </row>
    <row r="35" spans="1:5" ht="30">
      <c r="A35" s="168" t="s">
        <v>38</v>
      </c>
      <c r="B35" s="37">
        <f>IF( ISERROR(IND_papier_ele_kWh/1000),0,IND_papier_ele_kWh/1000)</f>
        <v>6121.7237808407199</v>
      </c>
      <c r="C35" s="39">
        <f>IF(ISERROR(B35*3.6/1000000/'E Balans VL '!Z22*100),0,B35*3.6/1000000/'E Balans VL '!Z22*100)</f>
        <v>2.6139191698395088</v>
      </c>
      <c r="D35" s="233" t="s">
        <v>841</v>
      </c>
    </row>
    <row r="36" spans="1:5" ht="30">
      <c r="A36" s="168" t="s">
        <v>33</v>
      </c>
      <c r="B36" s="37">
        <f>IF( ISERROR(IND_chemie_ele_kWh/1000),0,IND_chemie_ele_kWh/1000)</f>
        <v>217.090685353173</v>
      </c>
      <c r="C36" s="39">
        <f>IF(ISERROR(B36*3.6/1000000/'E Balans VL '!Z24*100),0,B36*3.6/1000000/'E Balans VL '!Z24*100)</f>
        <v>6.5873486551886479E-3</v>
      </c>
      <c r="D36" s="233" t="s">
        <v>841</v>
      </c>
    </row>
    <row r="37" spans="1:5" ht="30">
      <c r="A37" s="168" t="s">
        <v>265</v>
      </c>
      <c r="B37" s="37">
        <f>IF( ISERROR(IND_rest_ele_kWh/1000),0,IND_rest_ele_kWh/1000)</f>
        <v>7.1275013347227008</v>
      </c>
      <c r="C37" s="39">
        <f>IF(ISERROR(B37*3.6/1000000/'E Balans VL '!Z15*100),0,B37*3.6/1000000/'E Balans VL '!Z15*100)</f>
        <v>5.852218448133317E-5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9398.5644841610901</v>
      </c>
      <c r="C5" s="17">
        <f>'Eigen informatie GS &amp; warmtenet'!B62</f>
        <v>0</v>
      </c>
      <c r="D5" s="30">
        <f>IF(ISERROR(SUM(LB_lb_gas_kWh,LB_rest_gas_kWh)/1000),0,SUM(LB_lb_gas_kWh,LB_rest_gas_kWh)/1000)*0.903</f>
        <v>147073.91178475803</v>
      </c>
      <c r="E5" s="17">
        <f>B17*'E Balans VL '!I25/3.6*1000000/100</f>
        <v>269.19079210941146</v>
      </c>
      <c r="F5" s="17">
        <f>B17*('E Balans VL '!L25/3.6*1000000+'E Balans VL '!N25/3.6*1000000)/100</f>
        <v>29751.000207922069</v>
      </c>
      <c r="G5" s="18"/>
      <c r="H5" s="17"/>
      <c r="I5" s="17"/>
      <c r="J5" s="17">
        <f>('E Balans VL '!D25+'E Balans VL '!E25)/3.6*1000000*landbouw!B17/100</f>
        <v>2389.7598109160258</v>
      </c>
      <c r="K5" s="17"/>
      <c r="L5" s="17">
        <f>L6*(-1)</f>
        <v>0</v>
      </c>
      <c r="M5" s="17"/>
      <c r="N5" s="17">
        <f>N6*(-1)</f>
        <v>72102.857142857145</v>
      </c>
      <c r="O5" s="17"/>
      <c r="P5" s="17"/>
      <c r="R5" s="32"/>
    </row>
    <row r="6" spans="1:18">
      <c r="A6" s="16" t="s">
        <v>473</v>
      </c>
      <c r="B6" s="17" t="s">
        <v>210</v>
      </c>
      <c r="C6" s="17">
        <f>'lokale energieproductie'!O47+'lokale energieproductie'!O40</f>
        <v>180628.39285714284</v>
      </c>
      <c r="D6" s="304">
        <f>('lokale energieproductie'!P40+'lokale energieproductie'!P47)*(-1)</f>
        <v>-289153.92857142858</v>
      </c>
      <c r="E6" s="244"/>
      <c r="F6" s="304">
        <f>('lokale energieproductie'!S40+'lokale energieproductie'!S47)*(-1)</f>
        <v>0</v>
      </c>
      <c r="G6" s="245"/>
      <c r="H6" s="244"/>
      <c r="I6" s="244"/>
      <c r="J6" s="244"/>
      <c r="K6" s="244"/>
      <c r="L6" s="304">
        <f>('lokale energieproductie'!T40+'lokale energieproductie'!U40+'lokale energieproductie'!T47+'lokale energieproductie'!U47)*(-1)</f>
        <v>0</v>
      </c>
      <c r="M6" s="244"/>
      <c r="N6" s="304">
        <f>('lokale energieproductie'!V40+'lokale energieproductie'!R40+'lokale energieproductie'!Q40+'lokale energieproductie'!Q47+'lokale energieproductie'!R47+'lokale energieproductie'!V47)*(-1)</f>
        <v>-72102.857142857145</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9398.5644841610901</v>
      </c>
      <c r="C8" s="21">
        <f>C5+C6</f>
        <v>180628.39285714284</v>
      </c>
      <c r="D8" s="21">
        <f>MAX((D5+D6),0)</f>
        <v>0</v>
      </c>
      <c r="E8" s="21">
        <f>MAX((E5+E6),0)</f>
        <v>269.19079210941146</v>
      </c>
      <c r="F8" s="21">
        <f>MAX((F5+F6),0)</f>
        <v>29751.000207922069</v>
      </c>
      <c r="G8" s="21"/>
      <c r="H8" s="21"/>
      <c r="I8" s="21"/>
      <c r="J8" s="21">
        <f>MAX((J5+J6),0)</f>
        <v>2389.7598109160258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0.1856781829791874</v>
      </c>
      <c r="C10" s="31">
        <f ca="1">'EF ele_warmte'!B22</f>
        <v>0.19021764000997468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1745.1083760317549</v>
      </c>
      <c r="C12" s="23">
        <f ca="1">C8*C10</f>
        <v>34358.706608080276</v>
      </c>
      <c r="D12" s="23">
        <f>D8*D10</f>
        <v>0</v>
      </c>
      <c r="E12" s="23">
        <f>E8*E10</f>
        <v>61.106309808836407</v>
      </c>
      <c r="F12" s="23">
        <f>F8*F10</f>
        <v>7943.5170555151926</v>
      </c>
      <c r="G12" s="23"/>
      <c r="H12" s="23"/>
      <c r="I12" s="23"/>
      <c r="J12" s="23">
        <f>J8*J10</f>
        <v>845.97497306427306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1.3014879699240083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1333.4015297501464</v>
      </c>
      <c r="C26" s="243">
        <f>B26*'GWP N2O_CH4'!B5</f>
        <v>28001.432124753075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590.58468170547803</v>
      </c>
      <c r="C27" s="243">
        <f>B27*'GWP N2O_CH4'!B5</f>
        <v>12402.278315815038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19.301895210222039</v>
      </c>
      <c r="C28" s="243">
        <f>B28*'GWP N2O_CH4'!B4</f>
        <v>5983.5875151688324</v>
      </c>
      <c r="D28" s="50"/>
    </row>
    <row r="29" spans="1:4">
      <c r="A29" s="41" t="s">
        <v>272</v>
      </c>
      <c r="B29" s="243">
        <f>B34*'ha_N2O bodem landbouw'!B4</f>
        <v>52.20185873135523</v>
      </c>
      <c r="C29" s="243">
        <f>B29*'GWP N2O_CH4'!B4</f>
        <v>16182.576206720121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1.1859328032602146E-2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3.3290123630141692E-3</v>
      </c>
      <c r="C5" s="434" t="s">
        <v>210</v>
      </c>
      <c r="D5" s="419">
        <f>SUM(D6:D11)</f>
        <v>5.5179270178428944E-3</v>
      </c>
      <c r="E5" s="419">
        <f>SUM(E6:E11)</f>
        <v>2.3581485860644322E-3</v>
      </c>
      <c r="F5" s="432" t="s">
        <v>210</v>
      </c>
      <c r="G5" s="419">
        <f>SUM(G6:G11)</f>
        <v>1.1780861252971251</v>
      </c>
      <c r="H5" s="419">
        <f>SUM(H6:H11)</f>
        <v>0.27542772175043101</v>
      </c>
      <c r="I5" s="434" t="s">
        <v>210</v>
      </c>
      <c r="J5" s="434" t="s">
        <v>210</v>
      </c>
      <c r="K5" s="434" t="s">
        <v>210</v>
      </c>
      <c r="L5" s="434" t="s">
        <v>210</v>
      </c>
      <c r="M5" s="419">
        <f>SUM(M6:M11)</f>
        <v>8.7169028627219258E-2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1.1180725848684979E-3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1.8641470671864717E-3</v>
      </c>
      <c r="E6" s="886">
        <f>vkm_GW_PW*SUMIFS(TableVerdeelsleutelVkm[LPG],TableVerdeelsleutelVkm[Voertuigtype],"Lichte voertuigen")*SUMIFS(TableECFTransport[EnergieConsumptieFactor (PJ per km)],TableECFTransport[Index],CONCATENATE($A6,"_LPG_LPG"))</f>
        <v>7.3905849321375739E-4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0.22210564268544669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9.1421034891034036E-2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1.9233937051311278E-2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4.268598971801974E-6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0.16920995378597395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1.2485245358070593E-6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9.7157493879593375E-3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6.2142544430981864E-4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1.4189959320484258E-3</v>
      </c>
      <c r="E8" s="422">
        <f>vkm_NGW_PW*SUMIFS(TableVerdeelsleutelVkm[LPG],TableVerdeelsleutelVkm[Voertuigtype],"Lichte voertuigen")*SUMIFS(TableECFTransport[EnergieConsumptieFactor (PJ per km)],TableECFTransport[Index],CONCATENATE($A8,"_LPG_LPG"))</f>
        <v>5.3865816126150341E-4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0.14828186254388842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6.8940266654942489E-2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1.340140714897366E-2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1.0969185269417682E-6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5.5995295813066094E-2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3.8725991342728354E-7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3.2151533530285882E-3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1.5764308624863776E-3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2.2347840186079972E-3</v>
      </c>
      <c r="E10" s="422">
        <f>vkm_SW_PW*SUMIFS(TableVerdeelsleutelVkm[LPG],TableVerdeelsleutelVkm[Voertuigtype],"Lichte voertuigen")*SUMIFS(TableECFTransport[EnergieConsumptieFactor (PJ per km)],TableECFTransport[Index],CONCATENATE($A10,"_LPG_LPG"))</f>
        <v>1.0804319315891717E-3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0.2945765112188044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0.11506246091109228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2.5071068421972945E-2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7.7179538507312145E-6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0.28791685924994537</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2.3235089129849079E-6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1.6531713263973444E-2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924.7256563928247</v>
      </c>
      <c r="C14" s="21"/>
      <c r="D14" s="21">
        <f t="shared" ref="D14:M14" si="0">((D5)*10^9/3600)+D12</f>
        <v>1532.7575049563595</v>
      </c>
      <c r="E14" s="21">
        <f t="shared" si="0"/>
        <v>655.04127390678673</v>
      </c>
      <c r="F14" s="21"/>
      <c r="G14" s="21">
        <f t="shared" si="0"/>
        <v>327246.14591586811</v>
      </c>
      <c r="H14" s="21">
        <f t="shared" si="0"/>
        <v>76507.700486230839</v>
      </c>
      <c r="I14" s="21"/>
      <c r="J14" s="21"/>
      <c r="K14" s="21"/>
      <c r="L14" s="21"/>
      <c r="M14" s="21">
        <f t="shared" si="0"/>
        <v>24213.619063116461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0.1856781829791874</v>
      </c>
      <c r="C16" s="56">
        <f ca="1">'EF ele_warmte'!B22</f>
        <v>0.19021764000997468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171.70137963325607</v>
      </c>
      <c r="C18" s="23"/>
      <c r="D18" s="23">
        <f t="shared" ref="D18:M18" si="1">D14*D16</f>
        <v>309.61701600118465</v>
      </c>
      <c r="E18" s="23">
        <f t="shared" si="1"/>
        <v>148.69436917684058</v>
      </c>
      <c r="F18" s="23"/>
      <c r="G18" s="23">
        <f t="shared" si="1"/>
        <v>87374.720959536789</v>
      </c>
      <c r="H18" s="23">
        <f t="shared" si="1"/>
        <v>19050.417421071477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1.1478324395260167E-4</v>
      </c>
      <c r="C50" s="315">
        <f t="shared" ref="C50:P50" si="2">SUM(C51:C52)</f>
        <v>0</v>
      </c>
      <c r="D50" s="315">
        <f t="shared" si="2"/>
        <v>0</v>
      </c>
      <c r="E50" s="315">
        <f t="shared" si="2"/>
        <v>0</v>
      </c>
      <c r="F50" s="315">
        <f t="shared" si="2"/>
        <v>0</v>
      </c>
      <c r="G50" s="315">
        <f t="shared" si="2"/>
        <v>7.1857780854829231E-3</v>
      </c>
      <c r="H50" s="315">
        <f t="shared" si="2"/>
        <v>0</v>
      </c>
      <c r="I50" s="315">
        <f t="shared" si="2"/>
        <v>0</v>
      </c>
      <c r="J50" s="315">
        <f t="shared" si="2"/>
        <v>0</v>
      </c>
      <c r="K50" s="315">
        <f t="shared" si="2"/>
        <v>0</v>
      </c>
      <c r="L50" s="315">
        <f t="shared" si="2"/>
        <v>0</v>
      </c>
      <c r="M50" s="315">
        <f t="shared" si="2"/>
        <v>4.1259146668258724E-4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1.1478324395260167E-4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7.1857780854829231E-3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4.1259146668258724E-4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31.884234431278241</v>
      </c>
      <c r="C54" s="21">
        <f t="shared" ref="C54:P54" si="3">(C50)*10^9/3600</f>
        <v>0</v>
      </c>
      <c r="D54" s="21">
        <f t="shared" si="3"/>
        <v>0</v>
      </c>
      <c r="E54" s="21">
        <f t="shared" si="3"/>
        <v>0</v>
      </c>
      <c r="F54" s="21">
        <f t="shared" si="3"/>
        <v>0</v>
      </c>
      <c r="G54" s="21">
        <f t="shared" si="3"/>
        <v>1996.049468189701</v>
      </c>
      <c r="H54" s="21">
        <f t="shared" si="3"/>
        <v>0</v>
      </c>
      <c r="I54" s="21">
        <f t="shared" si="3"/>
        <v>0</v>
      </c>
      <c r="J54" s="21">
        <f t="shared" si="3"/>
        <v>0</v>
      </c>
      <c r="K54" s="21">
        <f t="shared" si="3"/>
        <v>0</v>
      </c>
      <c r="L54" s="21">
        <f t="shared" si="3"/>
        <v>0</v>
      </c>
      <c r="M54" s="21">
        <f t="shared" si="3"/>
        <v>114.60874074516312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0.1856781829791874</v>
      </c>
      <c r="C56" s="56">
        <f ca="1">'EF ele_warmte'!B22</f>
        <v>0.19021764000997468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5.9202067148821884</v>
      </c>
      <c r="C58" s="23">
        <f t="shared" ref="C58:P58" ca="1" si="4">C54*C56</f>
        <v>0</v>
      </c>
      <c r="D58" s="23">
        <f t="shared" si="4"/>
        <v>0</v>
      </c>
      <c r="E58" s="23">
        <f t="shared" si="4"/>
        <v>0</v>
      </c>
      <c r="F58" s="23">
        <f t="shared" si="4"/>
        <v>0</v>
      </c>
      <c r="G58" s="23">
        <f t="shared" si="4"/>
        <v>532.9452080066502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zoomScale="65" zoomScaleNormal="65" workbookViewId="0">
      <selection activeCell="M36" sqref="M36"/>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20581.584203555627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N37</f>
        <v>126448.375</v>
      </c>
      <c r="C8" s="545">
        <f>B56</f>
        <v>119072.82908711029</v>
      </c>
      <c r="D8" s="546"/>
      <c r="E8" s="546">
        <f>E56</f>
        <v>0</v>
      </c>
      <c r="F8" s="547"/>
      <c r="G8" s="548"/>
      <c r="H8" s="546">
        <f>I56</f>
        <v>0</v>
      </c>
      <c r="I8" s="546">
        <f>G56+F56</f>
        <v>0</v>
      </c>
      <c r="J8" s="546">
        <f>H56+D56+C56</f>
        <v>29689.408591804498</v>
      </c>
      <c r="K8" s="546"/>
      <c r="L8" s="546"/>
      <c r="M8" s="546"/>
      <c r="N8" s="549"/>
      <c r="O8" s="550">
        <f>C8*$C$12+D8*$D$12+E8*$E$12+F8*$F$12+G8*$G$12+H8*$H$12+I8*$I$12+J8*$J$12</f>
        <v>24052.711475596279</v>
      </c>
      <c r="P8" s="1285"/>
      <c r="Q8" s="1286"/>
      <c r="S8" s="540"/>
      <c r="T8" s="1282"/>
      <c r="U8" s="1282"/>
    </row>
    <row r="9" spans="1:21" s="531" customFormat="1" ht="17.45" customHeight="1" thickBot="1">
      <c r="A9" s="551" t="s">
        <v>243</v>
      </c>
      <c r="B9" s="552">
        <f>N44+'Eigen informatie GS &amp; warmtenet'!B12</f>
        <v>0</v>
      </c>
      <c r="C9" s="553">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147029.95920355563</v>
      </c>
      <c r="C10" s="560">
        <f t="shared" ref="C10:L10" si="0">SUM(C8:C9)</f>
        <v>119072.82908711029</v>
      </c>
      <c r="D10" s="560">
        <f t="shared" si="0"/>
        <v>0</v>
      </c>
      <c r="E10" s="560">
        <f t="shared" si="0"/>
        <v>0</v>
      </c>
      <c r="F10" s="560">
        <f t="shared" si="0"/>
        <v>0</v>
      </c>
      <c r="G10" s="560">
        <f t="shared" si="0"/>
        <v>0</v>
      </c>
      <c r="H10" s="560">
        <f t="shared" si="0"/>
        <v>0</v>
      </c>
      <c r="I10" s="560">
        <f t="shared" si="0"/>
        <v>0</v>
      </c>
      <c r="J10" s="560">
        <f t="shared" si="0"/>
        <v>29689.408591804498</v>
      </c>
      <c r="K10" s="560">
        <f t="shared" si="0"/>
        <v>0</v>
      </c>
      <c r="L10" s="560">
        <f t="shared" si="0"/>
        <v>0</v>
      </c>
      <c r="M10" s="961"/>
      <c r="N10" s="961"/>
      <c r="O10" s="561">
        <f>SUM(O4:O9)</f>
        <v>24052.711475596279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O37</f>
        <v>180640.56853281852</v>
      </c>
      <c r="C17" s="576">
        <f>B57</f>
        <v>170104.07245729124</v>
      </c>
      <c r="D17" s="577"/>
      <c r="E17" s="577">
        <f>E57</f>
        <v>0</v>
      </c>
      <c r="F17" s="578"/>
      <c r="G17" s="579"/>
      <c r="H17" s="576">
        <f>I57</f>
        <v>0</v>
      </c>
      <c r="I17" s="577">
        <f>G57+F57</f>
        <v>0</v>
      </c>
      <c r="J17" s="577">
        <f>H57+D57+C57</f>
        <v>42413.448551052643</v>
      </c>
      <c r="K17" s="577"/>
      <c r="L17" s="577"/>
      <c r="M17" s="577"/>
      <c r="N17" s="962"/>
      <c r="O17" s="580">
        <f>C17*$C$22+E17*$E$22+H17*$H$22+I17*$I$22+J17*$J$22+D17*$D$22+F17*$F$22+G17*$G$22+K17*$K$22+L17*$L$22</f>
        <v>34361.022636372836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180640.56853281852</v>
      </c>
      <c r="C20" s="559">
        <f>SUM(C17:C19)</f>
        <v>170104.07245729124</v>
      </c>
      <c r="D20" s="559">
        <f t="shared" ref="D20:L20" si="1">SUM(D17:D19)</f>
        <v>0</v>
      </c>
      <c r="E20" s="559">
        <f t="shared" si="1"/>
        <v>0</v>
      </c>
      <c r="F20" s="559">
        <f t="shared" si="1"/>
        <v>0</v>
      </c>
      <c r="G20" s="559">
        <f t="shared" si="1"/>
        <v>0</v>
      </c>
      <c r="H20" s="559">
        <f t="shared" si="1"/>
        <v>0</v>
      </c>
      <c r="I20" s="559">
        <f t="shared" si="1"/>
        <v>0</v>
      </c>
      <c r="J20" s="559">
        <f t="shared" si="1"/>
        <v>42413.448551052643</v>
      </c>
      <c r="K20" s="559">
        <f t="shared" si="1"/>
        <v>0</v>
      </c>
      <c r="L20" s="559">
        <f t="shared" si="1"/>
        <v>0</v>
      </c>
      <c r="M20" s="559"/>
      <c r="N20" s="559"/>
      <c r="O20" s="585">
        <f>SUM(O17:O19)</f>
        <v>34361.022636372836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44083</v>
      </c>
      <c r="C28" s="787">
        <v>9850</v>
      </c>
      <c r="D28" s="637" t="s">
        <v>874</v>
      </c>
      <c r="E28" s="636" t="s">
        <v>875</v>
      </c>
      <c r="F28" s="636" t="s">
        <v>876</v>
      </c>
      <c r="G28" s="636" t="s">
        <v>877</v>
      </c>
      <c r="H28" s="636" t="s">
        <v>878</v>
      </c>
      <c r="I28" s="636" t="s">
        <v>875</v>
      </c>
      <c r="J28" s="786">
        <v>39436</v>
      </c>
      <c r="K28" s="786">
        <v>43138</v>
      </c>
      <c r="L28" s="636" t="s">
        <v>879</v>
      </c>
      <c r="M28" s="636">
        <v>1540</v>
      </c>
      <c r="N28" s="636">
        <v>6930</v>
      </c>
      <c r="O28" s="636">
        <v>9900</v>
      </c>
      <c r="P28" s="636">
        <v>19800</v>
      </c>
      <c r="Q28" s="636">
        <v>0</v>
      </c>
      <c r="R28" s="636">
        <v>0</v>
      </c>
      <c r="S28" s="636">
        <v>0</v>
      </c>
      <c r="T28" s="636">
        <v>0</v>
      </c>
      <c r="U28" s="636">
        <v>0</v>
      </c>
      <c r="V28" s="636">
        <v>0</v>
      </c>
      <c r="W28" s="636">
        <v>0</v>
      </c>
      <c r="X28" s="636">
        <v>10</v>
      </c>
      <c r="Y28" s="636" t="s">
        <v>111</v>
      </c>
      <c r="Z28" s="638" t="s">
        <v>111</v>
      </c>
    </row>
    <row r="29" spans="1:26" s="590" customFormat="1" ht="25.5">
      <c r="A29" s="589"/>
      <c r="B29" s="787">
        <v>44083</v>
      </c>
      <c r="C29" s="787">
        <v>9850</v>
      </c>
      <c r="D29" s="637" t="s">
        <v>880</v>
      </c>
      <c r="E29" s="636" t="s">
        <v>881</v>
      </c>
      <c r="F29" s="636" t="s">
        <v>882</v>
      </c>
      <c r="G29" s="636" t="s">
        <v>877</v>
      </c>
      <c r="H29" s="636" t="s">
        <v>878</v>
      </c>
      <c r="I29" s="636" t="s">
        <v>881</v>
      </c>
      <c r="J29" s="786">
        <v>39496</v>
      </c>
      <c r="K29" s="786">
        <v>43237</v>
      </c>
      <c r="L29" s="636" t="s">
        <v>879</v>
      </c>
      <c r="M29" s="636">
        <v>4546</v>
      </c>
      <c r="N29" s="636">
        <v>20457</v>
      </c>
      <c r="O29" s="636">
        <v>29224.285714285714</v>
      </c>
      <c r="P29" s="636">
        <v>58448.571428571435</v>
      </c>
      <c r="Q29" s="636">
        <v>0</v>
      </c>
      <c r="R29" s="636">
        <v>0</v>
      </c>
      <c r="S29" s="636">
        <v>0</v>
      </c>
      <c r="T29" s="636">
        <v>0</v>
      </c>
      <c r="U29" s="636">
        <v>0</v>
      </c>
      <c r="V29" s="636">
        <v>0</v>
      </c>
      <c r="W29" s="636">
        <v>0</v>
      </c>
      <c r="X29" s="636">
        <v>10</v>
      </c>
      <c r="Y29" s="636" t="s">
        <v>111</v>
      </c>
      <c r="Z29" s="638" t="s">
        <v>111</v>
      </c>
    </row>
    <row r="30" spans="1:26" s="590" customFormat="1" ht="25.5">
      <c r="A30" s="589"/>
      <c r="B30" s="787">
        <v>44083</v>
      </c>
      <c r="C30" s="787">
        <v>9850</v>
      </c>
      <c r="D30" s="637" t="s">
        <v>883</v>
      </c>
      <c r="E30" s="636" t="s">
        <v>884</v>
      </c>
      <c r="F30" s="636" t="s">
        <v>885</v>
      </c>
      <c r="G30" s="636" t="s">
        <v>877</v>
      </c>
      <c r="H30" s="636" t="s">
        <v>878</v>
      </c>
      <c r="I30" s="636" t="s">
        <v>884</v>
      </c>
      <c r="J30" s="786">
        <v>39692</v>
      </c>
      <c r="K30" s="786">
        <v>43416</v>
      </c>
      <c r="L30" s="636" t="s">
        <v>879</v>
      </c>
      <c r="M30" s="636">
        <v>800</v>
      </c>
      <c r="N30" s="636">
        <v>3600</v>
      </c>
      <c r="O30" s="636">
        <v>5142.8571428571431</v>
      </c>
      <c r="P30" s="636">
        <v>10285.714285714286</v>
      </c>
      <c r="Q30" s="636">
        <v>0</v>
      </c>
      <c r="R30" s="636">
        <v>0</v>
      </c>
      <c r="S30" s="636">
        <v>0</v>
      </c>
      <c r="T30" s="636">
        <v>0</v>
      </c>
      <c r="U30" s="636">
        <v>0</v>
      </c>
      <c r="V30" s="636">
        <v>0</v>
      </c>
      <c r="W30" s="636">
        <v>0</v>
      </c>
      <c r="X30" s="636">
        <v>10</v>
      </c>
      <c r="Y30" s="636" t="s">
        <v>111</v>
      </c>
      <c r="Z30" s="638" t="s">
        <v>111</v>
      </c>
    </row>
    <row r="31" spans="1:26" s="590" customFormat="1" ht="25.5">
      <c r="A31" s="589"/>
      <c r="B31" s="787">
        <v>44083</v>
      </c>
      <c r="C31" s="787">
        <v>9800</v>
      </c>
      <c r="D31" s="637" t="s">
        <v>886</v>
      </c>
      <c r="E31" s="636" t="s">
        <v>887</v>
      </c>
      <c r="F31" s="636" t="s">
        <v>888</v>
      </c>
      <c r="G31" s="636" t="s">
        <v>877</v>
      </c>
      <c r="H31" s="636" t="s">
        <v>878</v>
      </c>
      <c r="I31" s="636" t="s">
        <v>887</v>
      </c>
      <c r="J31" s="786">
        <v>39860</v>
      </c>
      <c r="K31" s="786">
        <v>39875</v>
      </c>
      <c r="L31" s="636" t="s">
        <v>889</v>
      </c>
      <c r="M31" s="636">
        <v>2000</v>
      </c>
      <c r="N31" s="636">
        <v>9000</v>
      </c>
      <c r="O31" s="636">
        <v>12857.142857142857</v>
      </c>
      <c r="P31" s="636">
        <v>25714.285714285717</v>
      </c>
      <c r="Q31" s="636">
        <v>0</v>
      </c>
      <c r="R31" s="636">
        <v>0</v>
      </c>
      <c r="S31" s="636">
        <v>0</v>
      </c>
      <c r="T31" s="636">
        <v>0</v>
      </c>
      <c r="U31" s="636">
        <v>0</v>
      </c>
      <c r="V31" s="636">
        <v>0</v>
      </c>
      <c r="W31" s="636">
        <v>0</v>
      </c>
      <c r="X31" s="636">
        <v>10</v>
      </c>
      <c r="Y31" s="636" t="s">
        <v>111</v>
      </c>
      <c r="Z31" s="638" t="s">
        <v>111</v>
      </c>
    </row>
    <row r="32" spans="1:26" s="590" customFormat="1" ht="38.25">
      <c r="A32" s="589"/>
      <c r="B32" s="787">
        <v>44083</v>
      </c>
      <c r="C32" s="787">
        <v>9800</v>
      </c>
      <c r="D32" s="637" t="s">
        <v>890</v>
      </c>
      <c r="E32" s="636" t="s">
        <v>891</v>
      </c>
      <c r="F32" s="636" t="s">
        <v>892</v>
      </c>
      <c r="G32" s="636" t="s">
        <v>893</v>
      </c>
      <c r="H32" s="636" t="s">
        <v>878</v>
      </c>
      <c r="I32" s="636" t="s">
        <v>891</v>
      </c>
      <c r="J32" s="786">
        <v>40718</v>
      </c>
      <c r="K32" s="786">
        <v>40718</v>
      </c>
      <c r="L32" s="636" t="s">
        <v>889</v>
      </c>
      <c r="M32" s="636">
        <v>5608</v>
      </c>
      <c r="N32" s="636">
        <v>25236</v>
      </c>
      <c r="O32" s="636">
        <v>36051.428571428572</v>
      </c>
      <c r="P32" s="636">
        <v>0</v>
      </c>
      <c r="Q32" s="636">
        <v>0</v>
      </c>
      <c r="R32" s="636">
        <v>0</v>
      </c>
      <c r="S32" s="636">
        <v>0</v>
      </c>
      <c r="T32" s="636">
        <v>0</v>
      </c>
      <c r="U32" s="636">
        <v>0</v>
      </c>
      <c r="V32" s="636">
        <v>72102.857142857145</v>
      </c>
      <c r="W32" s="636">
        <v>0</v>
      </c>
      <c r="X32" s="636">
        <v>10</v>
      </c>
      <c r="Y32" s="636" t="s">
        <v>111</v>
      </c>
      <c r="Z32" s="638" t="s">
        <v>111</v>
      </c>
    </row>
    <row r="33" spans="1:26" s="590" customFormat="1" ht="38.25">
      <c r="A33" s="589"/>
      <c r="B33" s="787">
        <v>44083</v>
      </c>
      <c r="C33" s="787">
        <v>9800</v>
      </c>
      <c r="D33" s="637" t="s">
        <v>894</v>
      </c>
      <c r="E33" s="636" t="s">
        <v>895</v>
      </c>
      <c r="F33" s="636" t="s">
        <v>896</v>
      </c>
      <c r="G33" s="636" t="s">
        <v>877</v>
      </c>
      <c r="H33" s="636" t="s">
        <v>878</v>
      </c>
      <c r="I33" s="636" t="s">
        <v>897</v>
      </c>
      <c r="J33" s="786">
        <v>41320</v>
      </c>
      <c r="K33" s="786">
        <v>41320</v>
      </c>
      <c r="L33" s="636" t="s">
        <v>889</v>
      </c>
      <c r="M33" s="636">
        <v>7525</v>
      </c>
      <c r="N33" s="636">
        <v>33862.5</v>
      </c>
      <c r="O33" s="636">
        <v>48375</v>
      </c>
      <c r="P33" s="636">
        <v>96750</v>
      </c>
      <c r="Q33" s="636">
        <v>0</v>
      </c>
      <c r="R33" s="636">
        <v>0</v>
      </c>
      <c r="S33" s="636">
        <v>0</v>
      </c>
      <c r="T33" s="636">
        <v>0</v>
      </c>
      <c r="U33" s="636">
        <v>0</v>
      </c>
      <c r="V33" s="636">
        <v>0</v>
      </c>
      <c r="W33" s="636">
        <v>0</v>
      </c>
      <c r="X33" s="636">
        <v>10</v>
      </c>
      <c r="Y33" s="636" t="s">
        <v>111</v>
      </c>
      <c r="Z33" s="638" t="s">
        <v>111</v>
      </c>
    </row>
    <row r="34" spans="1:26" s="590" customFormat="1" ht="25.5">
      <c r="A34" s="589"/>
      <c r="B34" s="787">
        <v>44083</v>
      </c>
      <c r="C34" s="787">
        <v>9800</v>
      </c>
      <c r="D34" s="637" t="s">
        <v>898</v>
      </c>
      <c r="E34" s="636"/>
      <c r="F34" s="636" t="s">
        <v>899</v>
      </c>
      <c r="G34" s="636" t="s">
        <v>900</v>
      </c>
      <c r="H34" s="636" t="s">
        <v>878</v>
      </c>
      <c r="I34" s="636" t="s">
        <v>901</v>
      </c>
      <c r="J34" s="786">
        <v>42776</v>
      </c>
      <c r="K34" s="786">
        <v>42779</v>
      </c>
      <c r="L34" s="636" t="s">
        <v>902</v>
      </c>
      <c r="M34" s="636">
        <v>1500</v>
      </c>
      <c r="N34" s="636">
        <v>6750</v>
      </c>
      <c r="O34" s="636">
        <v>9642.8571428571431</v>
      </c>
      <c r="P34" s="636">
        <v>19285.714285714286</v>
      </c>
      <c r="Q34" s="636">
        <v>0</v>
      </c>
      <c r="R34" s="636">
        <v>0</v>
      </c>
      <c r="S34" s="636">
        <v>0</v>
      </c>
      <c r="T34" s="636">
        <v>0</v>
      </c>
      <c r="U34" s="636">
        <v>0</v>
      </c>
      <c r="V34" s="636">
        <v>0</v>
      </c>
      <c r="W34" s="636">
        <v>0</v>
      </c>
      <c r="X34" s="636">
        <v>10</v>
      </c>
      <c r="Y34" s="636" t="s">
        <v>111</v>
      </c>
      <c r="Z34" s="638" t="s">
        <v>111</v>
      </c>
    </row>
    <row r="35" spans="1:26" s="590" customFormat="1" ht="12.75">
      <c r="A35" s="589"/>
      <c r="B35" s="787">
        <v>44083</v>
      </c>
      <c r="C35" s="787">
        <v>9850</v>
      </c>
      <c r="D35" s="637" t="s">
        <v>903</v>
      </c>
      <c r="E35" s="636"/>
      <c r="F35" s="636" t="s">
        <v>904</v>
      </c>
      <c r="G35" s="636" t="s">
        <v>905</v>
      </c>
      <c r="H35" s="636" t="s">
        <v>906</v>
      </c>
      <c r="I35" s="636" t="s">
        <v>907</v>
      </c>
      <c r="J35" s="786">
        <v>42824</v>
      </c>
      <c r="K35" s="786">
        <v>42824</v>
      </c>
      <c r="L35" s="636" t="s">
        <v>879</v>
      </c>
      <c r="M35" s="636">
        <v>1.7</v>
      </c>
      <c r="N35" s="636">
        <v>8.5</v>
      </c>
      <c r="O35" s="636">
        <v>12.175675675675675</v>
      </c>
      <c r="P35" s="636">
        <v>22.972972972972972</v>
      </c>
      <c r="Q35" s="636">
        <v>0</v>
      </c>
      <c r="R35" s="636">
        <v>0</v>
      </c>
      <c r="S35" s="636">
        <v>0</v>
      </c>
      <c r="T35" s="636">
        <v>0</v>
      </c>
      <c r="U35" s="636">
        <v>0</v>
      </c>
      <c r="V35" s="636">
        <v>0</v>
      </c>
      <c r="W35" s="636">
        <v>0</v>
      </c>
      <c r="X35" s="636">
        <v>1100</v>
      </c>
      <c r="Y35" s="636" t="s">
        <v>160</v>
      </c>
      <c r="Z35" s="638" t="s">
        <v>155</v>
      </c>
    </row>
    <row r="36" spans="1:26" s="590" customFormat="1" ht="25.5">
      <c r="A36" s="589"/>
      <c r="B36" s="787">
        <v>44083</v>
      </c>
      <c r="C36" s="787">
        <v>9800</v>
      </c>
      <c r="D36" s="637" t="s">
        <v>908</v>
      </c>
      <c r="E36" s="636"/>
      <c r="F36" s="636" t="s">
        <v>909</v>
      </c>
      <c r="G36" s="636" t="s">
        <v>900</v>
      </c>
      <c r="H36" s="636" t="s">
        <v>878</v>
      </c>
      <c r="I36" s="636" t="s">
        <v>910</v>
      </c>
      <c r="J36" s="786">
        <v>43453</v>
      </c>
      <c r="K36" s="786">
        <v>43483</v>
      </c>
      <c r="L36" s="636" t="s">
        <v>902</v>
      </c>
      <c r="M36" s="636">
        <v>4995</v>
      </c>
      <c r="N36" s="636">
        <v>20604.375</v>
      </c>
      <c r="O36" s="636">
        <v>29434.821428571428</v>
      </c>
      <c r="P36" s="636">
        <v>58869.642857142862</v>
      </c>
      <c r="Q36" s="636">
        <v>0</v>
      </c>
      <c r="R36" s="636">
        <v>0</v>
      </c>
      <c r="S36" s="636">
        <v>0</v>
      </c>
      <c r="T36" s="636">
        <v>0</v>
      </c>
      <c r="U36" s="636">
        <v>0</v>
      </c>
      <c r="V36" s="636">
        <v>0</v>
      </c>
      <c r="W36" s="636">
        <v>0</v>
      </c>
      <c r="X36" s="636">
        <v>10</v>
      </c>
      <c r="Y36" s="636" t="s">
        <v>111</v>
      </c>
      <c r="Z36" s="638" t="s">
        <v>111</v>
      </c>
    </row>
    <row r="37" spans="1:26" s="570" customFormat="1">
      <c r="A37" s="592" t="s">
        <v>275</v>
      </c>
      <c r="B37" s="593"/>
      <c r="C37" s="593"/>
      <c r="D37" s="593"/>
      <c r="E37" s="593"/>
      <c r="F37" s="593"/>
      <c r="G37" s="593"/>
      <c r="H37" s="593"/>
      <c r="I37" s="593"/>
      <c r="J37" s="593"/>
      <c r="K37" s="593"/>
      <c r="L37" s="594"/>
      <c r="M37" s="594">
        <f>SUM(M28:M36)</f>
        <v>28515.7</v>
      </c>
      <c r="N37" s="594">
        <f>SUM(N28:N36)</f>
        <v>126448.375</v>
      </c>
      <c r="O37" s="594">
        <f>SUM(O28:O36)</f>
        <v>180640.56853281852</v>
      </c>
      <c r="P37" s="594">
        <f>SUM(P28:P36)</f>
        <v>289176.90154440154</v>
      </c>
      <c r="Q37" s="594">
        <f>SUM(Q28:Q36)</f>
        <v>0</v>
      </c>
      <c r="R37" s="594">
        <f>SUM(R28:R36)</f>
        <v>0</v>
      </c>
      <c r="S37" s="594">
        <f>SUM(S28:S36)</f>
        <v>0</v>
      </c>
      <c r="T37" s="594">
        <f>SUM(T28:T36)</f>
        <v>0</v>
      </c>
      <c r="U37" s="594">
        <f>SUM(U28:U36)</f>
        <v>0</v>
      </c>
      <c r="V37" s="594">
        <f>SUM(V28:V36)</f>
        <v>72102.857142857145</v>
      </c>
      <c r="W37" s="594">
        <f>SUM(W28:W36)</f>
        <v>0</v>
      </c>
      <c r="X37" s="595"/>
      <c r="Y37" s="595"/>
      <c r="Z37" s="596"/>
    </row>
    <row r="38" spans="1:26" s="570" customFormat="1">
      <c r="A38" s="592" t="s">
        <v>282</v>
      </c>
      <c r="B38" s="593"/>
      <c r="C38" s="593"/>
      <c r="D38" s="593"/>
      <c r="E38" s="593"/>
      <c r="F38" s="593"/>
      <c r="G38" s="593"/>
      <c r="H38" s="593"/>
      <c r="I38" s="593"/>
      <c r="J38" s="593"/>
      <c r="K38" s="593"/>
      <c r="L38" s="594"/>
      <c r="M38" s="594">
        <f>SUMIF($Z$28:$Z$36,"industrie",M28:M36)</f>
        <v>0</v>
      </c>
      <c r="N38" s="594">
        <f>SUMIF($Z$28:$Z$36,"industrie",N28:N36)</f>
        <v>0</v>
      </c>
      <c r="O38" s="594">
        <f>SUMIF($Z$28:$Z$36,"industrie",O28:O36)</f>
        <v>0</v>
      </c>
      <c r="P38" s="594">
        <f>SUMIF($Z$28:$Z$36,"industrie",P28:P36)</f>
        <v>0</v>
      </c>
      <c r="Q38" s="594">
        <f>SUMIF($Z$28:$Z$36,"industrie",Q28:Q36)</f>
        <v>0</v>
      </c>
      <c r="R38" s="594">
        <f>SUMIF($Z$28:$Z$36,"industrie",R28:R36)</f>
        <v>0</v>
      </c>
      <c r="S38" s="594">
        <f>SUMIF($Z$28:$Z$36,"industrie",S28:S36)</f>
        <v>0</v>
      </c>
      <c r="T38" s="594">
        <f>SUMIF($Z$28:$Z$36,"industrie",T28:T36)</f>
        <v>0</v>
      </c>
      <c r="U38" s="594">
        <f>SUMIF($Z$28:$Z$36,"industrie",U28:U36)</f>
        <v>0</v>
      </c>
      <c r="V38" s="594">
        <f>SUMIF($Z$28:$Z$36,"industrie",V28:V36)</f>
        <v>0</v>
      </c>
      <c r="W38" s="594">
        <f>SUMIF($Z$28:$Z$36,"industrie",W28:W36)</f>
        <v>0</v>
      </c>
      <c r="X38" s="595"/>
      <c r="Y38" s="595"/>
      <c r="Z38" s="596"/>
    </row>
    <row r="39" spans="1:26" s="570" customFormat="1">
      <c r="A39" s="592" t="s">
        <v>283</v>
      </c>
      <c r="B39" s="593"/>
      <c r="C39" s="593"/>
      <c r="D39" s="593"/>
      <c r="E39" s="593"/>
      <c r="F39" s="593"/>
      <c r="G39" s="593"/>
      <c r="H39" s="593"/>
      <c r="I39" s="593"/>
      <c r="J39" s="593"/>
      <c r="K39" s="593"/>
      <c r="L39" s="594"/>
      <c r="M39" s="594">
        <f ca="1">SUMIF($Z$28:AC36,"tertiair",M28:M36)</f>
        <v>1.7</v>
      </c>
      <c r="N39" s="594">
        <f ca="1">SUMIF($Z$28:AD36,"tertiair",N28:N36)</f>
        <v>8.5</v>
      </c>
      <c r="O39" s="594">
        <f ca="1">SUMIF($Z$28:AE36,"tertiair",O28:O36)</f>
        <v>12.175675675675675</v>
      </c>
      <c r="P39" s="594">
        <f ca="1">SUMIF($Z$28:AF36,"tertiair",P28:P36)</f>
        <v>22.972972972972972</v>
      </c>
      <c r="Q39" s="594">
        <f ca="1">SUMIF($Z$28:AG36,"tertiair",Q28:Q36)</f>
        <v>0</v>
      </c>
      <c r="R39" s="594">
        <f ca="1">SUMIF($Z$28:AH36,"tertiair",R28:R36)</f>
        <v>0</v>
      </c>
      <c r="S39" s="594">
        <f ca="1">SUMIF($Z$28:AI36,"tertiair",S28:S36)</f>
        <v>0</v>
      </c>
      <c r="T39" s="594">
        <f ca="1">SUMIF($Z$28:AJ36,"tertiair",T28:T36)</f>
        <v>0</v>
      </c>
      <c r="U39" s="594">
        <f ca="1">SUMIF($Z$28:AK36,"tertiair",U28:U36)</f>
        <v>0</v>
      </c>
      <c r="V39" s="594">
        <f ca="1">SUMIF($Z$28:AL36,"tertiair",V28:V36)</f>
        <v>0</v>
      </c>
      <c r="W39" s="594">
        <f ca="1">SUMIF($Z$28:AM36,"tertiair",W28:W36)</f>
        <v>0</v>
      </c>
      <c r="X39" s="595"/>
      <c r="Y39" s="595"/>
      <c r="Z39" s="596"/>
    </row>
    <row r="40" spans="1:26" s="570" customFormat="1" ht="15.75" thickBot="1">
      <c r="A40" s="597" t="s">
        <v>284</v>
      </c>
      <c r="B40" s="598"/>
      <c r="C40" s="598"/>
      <c r="D40" s="598"/>
      <c r="E40" s="598"/>
      <c r="F40" s="598"/>
      <c r="G40" s="598"/>
      <c r="H40" s="598"/>
      <c r="I40" s="598"/>
      <c r="J40" s="598"/>
      <c r="K40" s="598"/>
      <c r="L40" s="599"/>
      <c r="M40" s="599">
        <f>SUMIF($Z$28:$Z$36,"landbouw",M28:M36)</f>
        <v>28514</v>
      </c>
      <c r="N40" s="599">
        <f>SUMIF($Z$28:$Z$36,"landbouw",N28:N36)</f>
        <v>126439.875</v>
      </c>
      <c r="O40" s="599">
        <f>SUMIF($Z$28:$Z$36,"landbouw",O28:O36)</f>
        <v>180628.39285714284</v>
      </c>
      <c r="P40" s="599">
        <f>SUMIF($Z$28:$Z$36,"landbouw",P28:P36)</f>
        <v>289153.92857142858</v>
      </c>
      <c r="Q40" s="599">
        <f>SUMIF($Z$28:$Z$36,"landbouw",Q28:Q36)</f>
        <v>0</v>
      </c>
      <c r="R40" s="599">
        <f>SUMIF($Z$28:$Z$36,"landbouw",R28:R36)</f>
        <v>0</v>
      </c>
      <c r="S40" s="599">
        <f>SUMIF($Z$28:$Z$36,"landbouw",S28:S36)</f>
        <v>0</v>
      </c>
      <c r="T40" s="599">
        <f>SUMIF($Z$28:$Z$36,"landbouw",T28:T36)</f>
        <v>0</v>
      </c>
      <c r="U40" s="599">
        <f>SUMIF($Z$28:$Z$36,"landbouw",U28:U36)</f>
        <v>0</v>
      </c>
      <c r="V40" s="599">
        <f>SUMIF($Z$28:$Z$36,"landbouw",V28:V36)</f>
        <v>72102.857142857145</v>
      </c>
      <c r="W40" s="599">
        <f>SUMIF($Z$28:$Z$36,"landbouw",W28:W36)</f>
        <v>0</v>
      </c>
      <c r="X40" s="600"/>
      <c r="Y40" s="600"/>
      <c r="Z40" s="601"/>
    </row>
    <row r="41" spans="1:26" s="531" customFormat="1" ht="15.75" thickBot="1">
      <c r="A41" s="602"/>
      <c r="B41" s="603"/>
      <c r="C41" s="603"/>
      <c r="D41" s="603"/>
      <c r="E41" s="603"/>
      <c r="F41" s="603"/>
      <c r="G41" s="603"/>
      <c r="H41" s="603"/>
      <c r="I41" s="603"/>
      <c r="J41" s="603"/>
      <c r="K41" s="603"/>
      <c r="L41" s="586"/>
      <c r="M41" s="586"/>
      <c r="N41" s="586"/>
      <c r="O41" s="587"/>
      <c r="P41" s="587"/>
    </row>
    <row r="42" spans="1:26" s="531" customFormat="1" ht="45">
      <c r="A42" s="604" t="s">
        <v>276</v>
      </c>
      <c r="B42" s="633" t="s">
        <v>89</v>
      </c>
      <c r="C42" s="633" t="s">
        <v>90</v>
      </c>
      <c r="D42" s="633" t="s">
        <v>91</v>
      </c>
      <c r="E42" s="633" t="s">
        <v>92</v>
      </c>
      <c r="F42" s="633" t="s">
        <v>93</v>
      </c>
      <c r="G42" s="633" t="s">
        <v>94</v>
      </c>
      <c r="H42" s="633" t="s">
        <v>95</v>
      </c>
      <c r="I42" s="633" t="s">
        <v>96</v>
      </c>
      <c r="J42" s="633" t="s">
        <v>97</v>
      </c>
      <c r="K42" s="633" t="s">
        <v>98</v>
      </c>
      <c r="L42" s="633" t="s">
        <v>99</v>
      </c>
      <c r="M42" s="634" t="s">
        <v>293</v>
      </c>
      <c r="N42" s="634" t="s">
        <v>100</v>
      </c>
      <c r="O42" s="634" t="s">
        <v>101</v>
      </c>
      <c r="P42" s="634" t="s">
        <v>517</v>
      </c>
      <c r="Q42" s="634" t="s">
        <v>102</v>
      </c>
      <c r="R42" s="634" t="s">
        <v>103</v>
      </c>
      <c r="S42" s="634" t="s">
        <v>104</v>
      </c>
      <c r="T42" s="634" t="s">
        <v>105</v>
      </c>
      <c r="U42" s="634" t="s">
        <v>106</v>
      </c>
      <c r="V42" s="634" t="s">
        <v>107</v>
      </c>
      <c r="W42" s="633" t="s">
        <v>108</v>
      </c>
      <c r="X42" s="633" t="s">
        <v>294</v>
      </c>
      <c r="Y42" s="633" t="s">
        <v>109</v>
      </c>
      <c r="Z42" s="635" t="s">
        <v>295</v>
      </c>
    </row>
    <row r="43" spans="1:26" s="605" customFormat="1" ht="12.75">
      <c r="A43" s="591"/>
      <c r="B43" s="787"/>
      <c r="C43" s="787"/>
      <c r="D43" s="639"/>
      <c r="E43" s="639"/>
      <c r="F43" s="639"/>
      <c r="G43" s="639"/>
      <c r="H43" s="639"/>
      <c r="I43" s="639"/>
      <c r="J43" s="786"/>
      <c r="K43" s="786"/>
      <c r="L43" s="639"/>
      <c r="M43" s="639"/>
      <c r="N43" s="639"/>
      <c r="O43" s="639"/>
      <c r="P43" s="639"/>
      <c r="Q43" s="639"/>
      <c r="R43" s="639"/>
      <c r="S43" s="639"/>
      <c r="T43" s="639"/>
      <c r="U43" s="639"/>
      <c r="V43" s="639"/>
      <c r="W43" s="639"/>
      <c r="X43" s="639"/>
      <c r="Y43" s="639"/>
      <c r="Z43" s="640"/>
    </row>
    <row r="44" spans="1:26" s="570" customFormat="1">
      <c r="A44" s="592" t="s">
        <v>275</v>
      </c>
      <c r="B44" s="593"/>
      <c r="C44" s="593"/>
      <c r="D44" s="593"/>
      <c r="E44" s="593"/>
      <c r="F44" s="593"/>
      <c r="G44" s="593"/>
      <c r="H44" s="593"/>
      <c r="I44" s="593"/>
      <c r="J44" s="593"/>
      <c r="K44" s="593"/>
      <c r="L44" s="594"/>
      <c r="M44" s="594">
        <f>SUM(M43:M43)</f>
        <v>0</v>
      </c>
      <c r="N44" s="594">
        <f>SUM(N43:N43)</f>
        <v>0</v>
      </c>
      <c r="O44" s="594">
        <f>SUM(O43:O43)</f>
        <v>0</v>
      </c>
      <c r="P44" s="594">
        <f>SUM(P43:P43)</f>
        <v>0</v>
      </c>
      <c r="Q44" s="594">
        <f>SUM(Q43:Q43)</f>
        <v>0</v>
      </c>
      <c r="R44" s="594">
        <f>SUM(R43:R43)</f>
        <v>0</v>
      </c>
      <c r="S44" s="594">
        <f>SUM(S43:S43)</f>
        <v>0</v>
      </c>
      <c r="T44" s="594">
        <f>SUM(T43:T43)</f>
        <v>0</v>
      </c>
      <c r="U44" s="594">
        <f>SUM(U43:U43)</f>
        <v>0</v>
      </c>
      <c r="V44" s="594">
        <f>SUM(V43:V43)</f>
        <v>0</v>
      </c>
      <c r="W44" s="594">
        <f>SUM(W43:W43)</f>
        <v>0</v>
      </c>
      <c r="X44" s="595"/>
      <c r="Y44" s="595"/>
      <c r="Z44" s="596"/>
    </row>
    <row r="45" spans="1:26" s="570" customFormat="1">
      <c r="A45" s="592" t="s">
        <v>282</v>
      </c>
      <c r="B45" s="593"/>
      <c r="C45" s="593"/>
      <c r="D45" s="593"/>
      <c r="E45" s="593"/>
      <c r="F45" s="593"/>
      <c r="G45" s="593"/>
      <c r="H45" s="593"/>
      <c r="I45" s="593"/>
      <c r="J45" s="593"/>
      <c r="K45" s="593"/>
      <c r="L45" s="594"/>
      <c r="M45" s="594">
        <f>SUMIF($Z$43:$Z$43,"industrie",M43:M43)</f>
        <v>0</v>
      </c>
      <c r="N45" s="594">
        <f>SUMIF($Z$43:$Z$43,"industrie",N43:N43)</f>
        <v>0</v>
      </c>
      <c r="O45" s="594">
        <f>SUMIF($Z$43:$Z$43,"industrie",O43:O43)</f>
        <v>0</v>
      </c>
      <c r="P45" s="594">
        <f>SUMIF($Z$43:$Z$43,"industrie",P43:P43)</f>
        <v>0</v>
      </c>
      <c r="Q45" s="594">
        <f>SUMIF($Z$43:$Z$43,"industrie",Q43:Q43)</f>
        <v>0</v>
      </c>
      <c r="R45" s="594">
        <f>SUMIF($Z$43:$Z$43,"industrie",R43:R43)</f>
        <v>0</v>
      </c>
      <c r="S45" s="594">
        <f>SUMIF($Z$43:$Z$43,"industrie",S43:S43)</f>
        <v>0</v>
      </c>
      <c r="T45" s="594">
        <f>SUMIF($Z$43:$Z$43,"industrie",T43:T43)</f>
        <v>0</v>
      </c>
      <c r="U45" s="594">
        <f>SUMIF($Z$43:$Z$43,"industrie",U43:U43)</f>
        <v>0</v>
      </c>
      <c r="V45" s="594">
        <f>SUMIF($Z$43:$Z$43,"industrie",V43:V43)</f>
        <v>0</v>
      </c>
      <c r="W45" s="594">
        <f>SUMIF($Z$43:$Z$43,"industrie",W43:W43)</f>
        <v>0</v>
      </c>
      <c r="X45" s="595"/>
      <c r="Y45" s="595"/>
      <c r="Z45" s="596"/>
    </row>
    <row r="46" spans="1:26" s="570" customFormat="1">
      <c r="A46" s="592" t="s">
        <v>283</v>
      </c>
      <c r="B46" s="593"/>
      <c r="C46" s="593"/>
      <c r="D46" s="593"/>
      <c r="E46" s="593"/>
      <c r="F46" s="593"/>
      <c r="G46" s="593"/>
      <c r="H46" s="593"/>
      <c r="I46" s="593"/>
      <c r="J46" s="593"/>
      <c r="K46" s="593"/>
      <c r="L46" s="594"/>
      <c r="M46" s="594">
        <f>SUMIF($Z$43:$Z$44,"tertiair",M43:M44)</f>
        <v>0</v>
      </c>
      <c r="N46" s="594">
        <f>SUMIF($Z$43:$Z$44,"tertiair",N43:N44)</f>
        <v>0</v>
      </c>
      <c r="O46" s="594">
        <f>SUMIF($Z$43:$Z$44,"tertiair",O43:O44)</f>
        <v>0</v>
      </c>
      <c r="P46" s="594">
        <f>SUMIF($Z$43:$Z$44,"tertiair",P43:P44)</f>
        <v>0</v>
      </c>
      <c r="Q46" s="594">
        <f>SUMIF($Z$43:$Z$44,"tertiair",Q43:Q44)</f>
        <v>0</v>
      </c>
      <c r="R46" s="594">
        <f>SUMIF($Z$43:$Z$44,"tertiair",R43:R44)</f>
        <v>0</v>
      </c>
      <c r="S46" s="594">
        <f>SUMIF($Z$43:$Z$44,"tertiair",S43:S44)</f>
        <v>0</v>
      </c>
      <c r="T46" s="594">
        <f>SUMIF($Z$43:$Z$44,"tertiair",T43:T44)</f>
        <v>0</v>
      </c>
      <c r="U46" s="594">
        <f>SUMIF($Z$43:$Z$44,"tertiair",U43:U44)</f>
        <v>0</v>
      </c>
      <c r="V46" s="594">
        <f>SUMIF($Z$43:$Z$44,"tertiair",V43:V44)</f>
        <v>0</v>
      </c>
      <c r="W46" s="594">
        <f>SUMIF($Z$43:$Z$44,"tertiair",W43:W44)</f>
        <v>0</v>
      </c>
      <c r="X46" s="595"/>
      <c r="Y46" s="595"/>
      <c r="Z46" s="596"/>
    </row>
    <row r="47" spans="1:26" s="570" customFormat="1" ht="15.75" thickBot="1">
      <c r="A47" s="597" t="s">
        <v>284</v>
      </c>
      <c r="B47" s="598"/>
      <c r="C47" s="598"/>
      <c r="D47" s="598"/>
      <c r="E47" s="598"/>
      <c r="F47" s="598"/>
      <c r="G47" s="598"/>
      <c r="H47" s="598"/>
      <c r="I47" s="598"/>
      <c r="J47" s="598"/>
      <c r="K47" s="598"/>
      <c r="L47" s="599"/>
      <c r="M47" s="599">
        <f>SUMIF($Z$43:$Z$45,"landbouw",M43:M45)</f>
        <v>0</v>
      </c>
      <c r="N47" s="599">
        <f>SUMIF($Z$43:$Z$45,"landbouw",N43:N45)</f>
        <v>0</v>
      </c>
      <c r="O47" s="599">
        <f>SUMIF($Z$43:$Z$45,"landbouw",O43:O45)</f>
        <v>0</v>
      </c>
      <c r="P47" s="599">
        <f>SUMIF($Z$43:$Z$45,"landbouw",P43:P45)</f>
        <v>0</v>
      </c>
      <c r="Q47" s="599">
        <f>SUMIF($Z$43:$Z$45,"landbouw",Q43:Q45)</f>
        <v>0</v>
      </c>
      <c r="R47" s="599">
        <f>SUMIF($Z$43:$Z$45,"landbouw",R43:R45)</f>
        <v>0</v>
      </c>
      <c r="S47" s="599">
        <f>SUMIF($Z$43:$Z$45,"landbouw",S43:S45)</f>
        <v>0</v>
      </c>
      <c r="T47" s="599">
        <f>SUMIF($Z$43:$Z$45,"landbouw",T43:T45)</f>
        <v>0</v>
      </c>
      <c r="U47" s="599">
        <f>SUMIF($Z$43:$Z$45,"landbouw",U43:U45)</f>
        <v>0</v>
      </c>
      <c r="V47" s="599">
        <f>SUMIF($Z$43:$Z$45,"landbouw",V43:V45)</f>
        <v>0</v>
      </c>
      <c r="W47" s="599">
        <f>SUMIF($Z$43:$Z$45,"landbouw",W43:W45)</f>
        <v>0</v>
      </c>
      <c r="X47" s="600"/>
      <c r="Y47" s="600"/>
      <c r="Z47" s="601"/>
    </row>
    <row r="48" spans="1:26" s="606" customFormat="1">
      <c r="A48" s="602"/>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6"/>
    </row>
    <row r="49" spans="1:27" s="606" customFormat="1" ht="15.75" thickBot="1">
      <c r="A49" s="602"/>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row>
    <row r="50" spans="1:27">
      <c r="A50" s="607" t="s">
        <v>277</v>
      </c>
      <c r="B50" s="608"/>
      <c r="C50" s="608"/>
      <c r="D50" s="608"/>
      <c r="E50" s="608"/>
      <c r="F50" s="608"/>
      <c r="G50" s="608"/>
      <c r="H50" s="608"/>
      <c r="I50" s="609"/>
      <c r="J50" s="610"/>
      <c r="K50" s="610"/>
      <c r="L50" s="611"/>
      <c r="M50" s="611"/>
      <c r="N50" s="611"/>
      <c r="O50" s="611"/>
      <c r="P50" s="611"/>
    </row>
    <row r="51" spans="1:27">
      <c r="A51" s="613"/>
      <c r="B51" s="603"/>
      <c r="C51" s="603"/>
      <c r="D51" s="603"/>
      <c r="E51" s="603"/>
      <c r="F51" s="603"/>
      <c r="G51" s="603"/>
      <c r="H51" s="603"/>
      <c r="I51" s="614"/>
      <c r="J51" s="603"/>
      <c r="K51" s="603"/>
      <c r="L51" s="611"/>
      <c r="M51" s="611"/>
      <c r="N51" s="611"/>
      <c r="O51" s="611"/>
      <c r="P51" s="611"/>
    </row>
    <row r="52" spans="1:27">
      <c r="A52" s="615"/>
      <c r="B52" s="616" t="s">
        <v>278</v>
      </c>
      <c r="C52" s="616" t="s">
        <v>279</v>
      </c>
      <c r="D52" s="616"/>
      <c r="E52" s="616"/>
      <c r="F52" s="616"/>
      <c r="G52" s="616"/>
      <c r="H52" s="616"/>
      <c r="I52" s="617"/>
      <c r="J52" s="616"/>
      <c r="K52" s="616"/>
      <c r="L52" s="616"/>
      <c r="M52" s="616"/>
      <c r="N52" s="616"/>
      <c r="O52" s="616"/>
      <c r="P52" s="611"/>
    </row>
    <row r="53" spans="1:27">
      <c r="A53" s="613" t="s">
        <v>275</v>
      </c>
      <c r="B53" s="618">
        <f>IF(ISERROR(O37/(O37+N37)),0,O37/(O37+N37))</f>
        <v>0.58823533812285722</v>
      </c>
      <c r="C53" s="619">
        <f>IF(ISERROR(N37/(O37+N37)),0,N37/(N37+O37))</f>
        <v>0.41176466187714272</v>
      </c>
      <c r="D53" s="586"/>
      <c r="E53" s="586"/>
      <c r="F53" s="586"/>
      <c r="G53" s="586"/>
      <c r="H53" s="586"/>
      <c r="I53" s="620"/>
      <c r="J53" s="586"/>
      <c r="K53" s="586"/>
      <c r="L53" s="621"/>
      <c r="M53" s="621"/>
      <c r="N53" s="621"/>
      <c r="O53" s="621"/>
      <c r="P53" s="611"/>
    </row>
    <row r="54" spans="1:27">
      <c r="A54" s="613"/>
      <c r="B54" s="622"/>
      <c r="C54" s="622"/>
      <c r="D54" s="622"/>
      <c r="E54" s="622"/>
      <c r="F54" s="622"/>
      <c r="G54" s="622"/>
      <c r="H54" s="622"/>
      <c r="I54" s="623"/>
      <c r="J54" s="622"/>
      <c r="K54" s="622"/>
      <c r="L54" s="624"/>
      <c r="M54" s="624"/>
      <c r="N54" s="624"/>
      <c r="O54" s="624"/>
      <c r="P54" s="611"/>
    </row>
    <row r="55" spans="1:27" ht="30">
      <c r="A55" s="625"/>
      <c r="B55" s="626" t="s">
        <v>517</v>
      </c>
      <c r="C55" s="626" t="s">
        <v>102</v>
      </c>
      <c r="D55" s="626" t="s">
        <v>103</v>
      </c>
      <c r="E55" s="626" t="s">
        <v>104</v>
      </c>
      <c r="F55" s="626" t="s">
        <v>105</v>
      </c>
      <c r="G55" s="626" t="s">
        <v>106</v>
      </c>
      <c r="H55" s="626" t="s">
        <v>107</v>
      </c>
      <c r="I55" s="627" t="s">
        <v>108</v>
      </c>
      <c r="J55" s="616"/>
      <c r="K55" s="616"/>
      <c r="L55" s="624"/>
      <c r="M55" s="624"/>
      <c r="N55" s="624"/>
      <c r="O55" s="611"/>
      <c r="P55" s="611"/>
    </row>
    <row r="56" spans="1:27">
      <c r="A56" s="615" t="s">
        <v>280</v>
      </c>
      <c r="B56" s="628">
        <f t="shared" ref="B56:I56" si="2">$C$53*P37</f>
        <v>119072.82908711029</v>
      </c>
      <c r="C56" s="628">
        <f t="shared" si="2"/>
        <v>0</v>
      </c>
      <c r="D56" s="628">
        <f t="shared" si="2"/>
        <v>0</v>
      </c>
      <c r="E56" s="628">
        <f t="shared" si="2"/>
        <v>0</v>
      </c>
      <c r="F56" s="628">
        <f t="shared" si="2"/>
        <v>0</v>
      </c>
      <c r="G56" s="628">
        <f t="shared" si="2"/>
        <v>0</v>
      </c>
      <c r="H56" s="628">
        <f t="shared" si="2"/>
        <v>29689.408591804498</v>
      </c>
      <c r="I56" s="629">
        <f t="shared" si="2"/>
        <v>0</v>
      </c>
      <c r="J56" s="586"/>
      <c r="K56" s="586"/>
      <c r="L56" s="624"/>
      <c r="M56" s="624"/>
      <c r="N56" s="624"/>
      <c r="O56" s="611"/>
      <c r="P56" s="611"/>
    </row>
    <row r="57" spans="1:27" ht="15.75" thickBot="1">
      <c r="A57" s="630" t="s">
        <v>281</v>
      </c>
      <c r="B57" s="631">
        <f t="shared" ref="B57:I57" si="3">$B$53*P37</f>
        <v>170104.07245729124</v>
      </c>
      <c r="C57" s="631">
        <f t="shared" si="3"/>
        <v>0</v>
      </c>
      <c r="D57" s="631">
        <f t="shared" si="3"/>
        <v>0</v>
      </c>
      <c r="E57" s="631">
        <f t="shared" si="3"/>
        <v>0</v>
      </c>
      <c r="F57" s="631">
        <f t="shared" si="3"/>
        <v>0</v>
      </c>
      <c r="G57" s="631">
        <f t="shared" si="3"/>
        <v>0</v>
      </c>
      <c r="H57" s="631">
        <f t="shared" si="3"/>
        <v>42413.448551052643</v>
      </c>
      <c r="I57" s="632">
        <f t="shared" si="3"/>
        <v>0</v>
      </c>
      <c r="J57" s="586"/>
      <c r="K57" s="586"/>
      <c r="L57" s="624"/>
      <c r="M57" s="624"/>
      <c r="N57" s="624"/>
      <c r="O57" s="611"/>
      <c r="P57" s="611"/>
    </row>
    <row r="58" spans="1:27">
      <c r="J58" s="566"/>
      <c r="K58" s="566"/>
      <c r="L58" s="566"/>
      <c r="M58" s="566"/>
      <c r="N58" s="566"/>
    </row>
    <row r="59" spans="1:27">
      <c r="J59" s="566"/>
      <c r="K59" s="566"/>
      <c r="L59" s="566"/>
      <c r="M59" s="566"/>
      <c r="N59"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2021-06-29T14:23:02Z</dcterms:modified>
</cp:coreProperties>
</file>