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2" i="59"/>
  <c r="C17" i="19"/>
  <c r="C19" i="19" s="1"/>
  <c r="D39" i="14" s="1"/>
  <c r="C10" i="13"/>
  <c r="C12" i="13" s="1"/>
  <c r="D41" i="14" s="1"/>
  <c r="D46" i="14" s="1"/>
  <c r="D61" i="14" s="1"/>
  <c r="D63"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<sst xmlns="http://schemas.openxmlformats.org/spreadsheetml/2006/main" count="2447" uniqueCount="884">
  <si>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</si>
  <si>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</si>
  <si>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</si>
  <si>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</si>
  <si>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</si>
  <si>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</si>
  <si>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</si>
  <si>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</si>
  <si>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</si>
  <si>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</si>
  <si>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</si>
  <si>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</si>
  <si>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</si>
  <si>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</si>
  <si>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</si>
  <si>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</si>
  <si>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</si>
  <si>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</si>
  <si>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</si>
  <si>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</si>
  <si>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</si>
  <si>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</si>
  <si>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</si>
  <si>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</si>
  <si>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</si>
  <si>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</si>
  <si>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</si>
  <si>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</si>
  <si>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</si>
  <si>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</si>
  <si>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</si>
  <si>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</si>
  <si>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</si>
  <si>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</si>
  <si>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</si>
  <si>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</si>
  <si>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</si>
  <si>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</si>
  <si>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</si>
  <si>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</si>
  <si>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</si>
  <si>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</si>
  <si>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</si>
  <si>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</si>
  <si>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</si>
  <si>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</si>
  <si>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</si>
  <si>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</si>
  <si>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</si>
  <si>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</si>
  <si>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</si>
  <si>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</si>
  <si>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</si>
  <si>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</si>
  <si>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</si>
  <si>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</si>
  <si>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</si>
  <si>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</si>
  <si>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</si>
  <si>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</si>
  <si>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</si>
  <si>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</si>
  <si>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</si>
  <si>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</si>
  <si>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</si>
  <si>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</si>
  <si>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</si>
  <si>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</si>
  <si>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</si>
  <si>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</si>
  <si>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</si>
  <si>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</si>
  <si>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</si>
  <si>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</si>
  <si>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</si>
  <si>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</si>
  <si>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</si>
  <si>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</si>
  <si>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</si>
  <si>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</si>
  <si>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</si>
  <si>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</si>
  <si>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</si>
  <si>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</si>
  <si>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</si>
  <si>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</si>
  <si>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</si>
  <si>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</si>
  <si>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</si>
  <si>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</si>
  <si>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</si>
  <si>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</si>
  <si>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</si>
  <si>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</si>
  <si>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</si>
  <si>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</si>
  <si>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</si>
  <si>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</si>
  <si>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</si>
  <si>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</si>
  <si>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</si>
  <si>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</si>
  <si>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</si>
  <si>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</si>
  <si>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</si>
  <si>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</si>
  <si>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</si>
  <si>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</si>
  <si>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</si>
  <si>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</si>
  <si>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</si>
  <si>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</si>
  <si>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</si>
  <si>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</si>
  <si>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</si>
  <si>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</si>
  <si>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</si>
  <si>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</si>
  <si>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</si>
  <si>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</si>
  <si>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</si>
  <si>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</si>
  <si>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</si>
  <si>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</si>
  <si>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</si>
  <si>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</si>
  <si>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</si>
  <si>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</si>
  <si>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</si>
  <si>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</si>
  <si>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</si>
  <si>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</si>
  <si>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</si>
  <si>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</si>
  <si>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</si>
  <si>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</si>
  <si>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</si>
  <si>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</si>
  <si>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</si>
  <si>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</si>
  <si>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</si>
  <si>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</si>
  <si>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</si>
  <si>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</si>
  <si>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</si>
  <si>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</si>
  <si>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</si>
  <si>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</si>
  <si>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</si>
  <si>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</si>
  <si>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</si>
  <si>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</si>
  <si>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</si>
  <si>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</si>
  <si>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</si>
  <si>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</si>
  <si>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</si>
  <si>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</si>
  <si>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</si>
  <si>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</si>
  <si>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</si>
  <si>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</si>
  <si>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</si>
  <si>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</si>
  <si>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</si>
  <si>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</si>
  <si>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</si>
  <si>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</si>
  <si>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</si>
  <si>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</si>
  <si>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</si>
  <si>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</si>
  <si>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</si>
  <si>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</si>
  <si>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</si>
  <si>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</si>
  <si>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</si>
  <si>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</si>
  <si>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</si>
  <si>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</si>
  <si>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</si>
  <si>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</si>
  <si>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</si>
  <si>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</si>
  <si>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</si>
  <si>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</si>
  <si>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</si>
  <si>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</si>
  <si>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</si>
  <si>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</si>
  <si>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</si>
  <si>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</si>
  <si>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</si>
  <si>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</si>
  <si>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</si>
  <si>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</si>
  <si>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</si>
  <si>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</si>
  <si>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</si>
  <si>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</si>
  <si>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</si>
  <si>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</si>
  <si>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</si>
  <si>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</si>
  <si>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</si>
  <si>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</si>
  <si>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</si>
  <si>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</si>
  <si>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</si>
  <si>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</si>
  <si>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</si>
  <si>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</si>
  <si>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</si>
  <si>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</si>
  <si>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</si>
  <si>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</si>
  <si>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</si>
  <si>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</si>
  <si>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</si>
  <si>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</si>
  <si>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</si>
  <si>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</si>
  <si>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</si>
  <si>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</si>
  <si>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</si>
  <si>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</si>
  <si>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</si>
  <si>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</si>
  <si>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</si>
  <si>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</si>
  <si>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</si>
  <si>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</si>
  <si>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</si>
  <si>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</si>
  <si>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</si>
  <si>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</si>
  <si>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</si>
  <si>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</si>
  <si>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</si>
  <si>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</si>
  <si>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</si>
  <si>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</si>
  <si>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</si>
  <si>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</si>
  <si>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</si>
  <si>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</si>
  <si>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</si>
  <si>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</si>
  <si>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</si>
  <si>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</si>
  <si>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</si>
  <si>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</si>
  <si>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</si>
  <si>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</si>
  <si>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</si>
  <si>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</si>
  <si>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</si>
  <si>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</si>
  <si>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</si>
  <si>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</si>
  <si>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</si>
  <si>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</si>
  <si>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</si>
  <si>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</si>
  <si>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</si>
  <si>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</si>
  <si>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</si>
  <si>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</si>
  <si>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</si>
  <si>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</si>
  <si>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</si>
  <si>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</si>
  <si>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</si>
  <si>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</si>
  <si>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</si>
  <si>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</si>
  <si>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</si>
  <si>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</si>
  <si>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</si>
  <si>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</si>
  <si>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</si>
  <si>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</si>
  <si>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</si>
  <si>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</si>
  <si>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</si>
  <si>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</si>
  <si>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</si>
  <si>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</si>
  <si>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</si>
  <si>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</si>
  <si>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</si>
  <si>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</si>
  <si>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</si>
  <si>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</si>
  <si>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</si>
  <si>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</si>
  <si>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</si>
  <si>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</si>
  <si>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</si>
  <si>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</si>
  <si>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</si>
  <si>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</si>
  <si>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</si>
  <si>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</si>
  <si>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</si>
  <si>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</si>
  <si>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</si>
  <si>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</si>
  <si>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</si>
  <si>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</si>
  <si>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</si>
  <si>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</si>
  <si>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</si>
  <si>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</si>
  <si>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</si>
  <si>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</si>
  <si>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</si>
  <si>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</si>
  <si>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</si>
  <si>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</si>
  <si>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</si>
  <si>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</si>
  <si>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</si>
  <si>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</si>
  <si>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</si>
  <si>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</si>
  <si>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</si>
  <si>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</si>
  <si>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</si>
  <si>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</si>
  <si>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</si>
  <si>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</si>
  <si>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</si>
  <si>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</si>
  <si>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</si>
  <si>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</si>
  <si>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</si>
  <si>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</si>
  <si>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</si>
  <si>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</si>
  <si>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</si>
  <si>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</si>
  <si>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</si>
  <si>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</si>
  <si>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</si>
  <si>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</si>
  <si>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</si>
  <si>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</si>
  <si>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</si>
  <si>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</si>
  <si>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</si>
  <si>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</si>
  <si>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</si>
  <si>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</si>
  <si>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</si>
  <si>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</si>
  <si>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</si>
  <si>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</si>
  <si>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</si>
  <si>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</si>
  <si>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</si>
  <si>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</si>
  <si>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</si>
  <si>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</si>
  <si>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</si>
  <si>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</si>
  <si>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</si>
  <si>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</si>
  <si>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</si>
  <si>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</si>
  <si>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</si>
  <si>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</si>
  <si>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</si>
  <si>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</si>
  <si>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</si>
  <si>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</si>
  <si>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</si>
  <si>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</si>
  <si>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</si>
  <si>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</si>
  <si>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</si>
  <si>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</si>
  <si>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</si>
  <si>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</si>
  <si>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</si>
  <si>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</si>
  <si>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</si>
  <si>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</si>
  <si>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</si>
  <si>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</si>
  <si>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</si>
  <si>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</si>
  <si>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</si>
  <si>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</si>
  <si>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</si>
  <si>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</si>
  <si>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</si>
  <si>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</si>
  <si>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</si>
  <si>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</si>
  <si>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</si>
  <si>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</si>
  <si>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</si>
  <si>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</si>
  <si>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</si>
  <si>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</si>
  <si>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</si>
  <si>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</si>
  <si>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</si>
  <si>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</si>
  <si>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</si>
  <si>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</si>
  <si>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</si>
  <si>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</si>
  <si>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</si>
  <si>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</si>
  <si>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</si>
  <si>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</si>
  <si>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</si>
  <si>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</si>
  <si>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</si>
  <si>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</si>
  <si>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</si>
  <si>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</si>
  <si>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</si>
  <si>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</si>
  <si>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</si>
  <si>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</si>
  <si>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</si>
  <si>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</si>
  <si>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</si>
  <si>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</si>
  <si>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</si>
  <si>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</si>
  <si>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</si>
  <si>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</si>
  <si>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</si>
  <si>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</si>
  <si>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</si>
  <si>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</si>
  <si>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</si>
  <si>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</si>
  <si>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</si>
  <si>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</si>
  <si>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</si>
  <si>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</si>
  <si>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</si>
  <si>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</si>
  <si>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</si>
  <si>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</si>
  <si>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</si>
  <si>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</si>
  <si>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</si>
  <si>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</si>
  <si>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</si>
  <si>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</si>
  <si>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</si>
  <si>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</si>
  <si>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</si>
  <si>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</si>
  <si>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</si>
  <si>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</si>
  <si>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</si>
  <si>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</si>
  <si>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</si>
  <si>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</si>
  <si>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</si>
  <si>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</si>
  <si>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</si>
  <si>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</si>
  <si>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</si>
  <si>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</si>
  <si>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</si>
  <si>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</si>
  <si>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</si>
  <si>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</si>
  <si>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</si>
  <si>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</si>
  <si>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</si>
  <si>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</si>
  <si>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</si>
  <si>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</si>
  <si>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</si>
  <si>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</si>
  <si>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</si>
  <si>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</si>
  <si>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</si>
  <si>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</si>
  <si>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</si>
  <si>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</si>
  <si>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</si>
  <si>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</si>
  <si>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</si>
  <si>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</si>
  <si>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</si>
  <si>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</si>
  <si>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</si>
  <si>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</si>
  <si>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</si>
  <si>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</si>
  <si>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</si>
  <si>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</si>
  <si>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</si>
  <si>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</si>
  <si>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</si>
  <si>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</si>
  <si>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</si>
  <si>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</si>
  <si>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</si>
  <si>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</si>
  <si>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</si>
  <si>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</si>
  <si>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</si>
  <si>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</si>
  <si>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</si>
  <si>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</si>
  <si>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</si>
  <si>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</si>
  <si>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</si>
  <si>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</si>
  <si>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</si>
  <si>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</si>
  <si>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</si>
  <si>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</si>
  <si>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</si>
  <si>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</si>
  <si>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</si>
  <si>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</si>
  <si>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</si>
  <si>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</si>
  <si>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</si>
  <si>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</si>
  <si>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</si>
  <si>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</si>
  <si>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</si>
  <si>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</si>
  <si>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</si>
  <si>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</si>
  <si>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</si>
  <si>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</si>
  <si>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</si>
  <si>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</si>
  <si>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</si>
  <si>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</si>
  <si>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</si>
  <si>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</si>
  <si>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</si>
  <si>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</si>
  <si>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</si>
  <si>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</si>
  <si>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</si>
  <si>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</si>
  <si>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</si>
  <si>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</si>
  <si>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</si>
  <si>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</si>
  <si>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</si>
  <si>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</si>
  <si>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</si>
  <si>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</si>
  <si>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</si>
  <si>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</si>
  <si>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</si>
  <si>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</si>
  <si>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</si>
  <si>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</si>
  <si>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</si>
  <si>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</si>
  <si>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</si>
  <si>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</si>
  <si>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</si>
  <si>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</si>
  <si>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</si>
  <si>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</si>
  <si>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</si>
  <si>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</si>
  <si>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</si>
  <si>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</si>
  <si>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</si>
  <si>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</si>
  <si>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</si>
  <si>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</si>
  <si>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</si>
  <si>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</si>
  <si>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</si>
  <si>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</si>
  <si>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</si>
  <si>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</si>
  <si>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</si>
  <si>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</si>
  <si>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</si>
  <si>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</si>
  <si>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</si>
  <si>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</si>
  <si>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</si>
  <si>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</si>
  <si>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</si>
  <si>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</si>
  <si>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</si>
  <si>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</si>
  <si>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</si>
  <si>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</si>
  <si>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</si>
  <si>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</si>
  <si>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</si>
  <si>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</si>
  <si>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</si>
  <si>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</si>
  <si>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</si>
  <si>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</si>
  <si>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</si>
  <si>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</si>
  <si>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</si>
  <si>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</si>
  <si>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</si>
  <si>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</si>
  <si>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</si>
  <si>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</si>
  <si>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</si>
  <si>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</si>
  <si>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</si>
  <si>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</si>
  <si>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</si>
  <si>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</si>
  <si>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</si>
  <si>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</si>
  <si>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</si>
  <si>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</si>
  <si>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</si>
  <si>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</si>
  <si>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</si>
  <si>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</si>
  <si>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</si>
  <si>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</si>
  <si>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</si>
  <si>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</si>
  <si>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</si>
  <si>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</si>
  <si>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</si>
  <si>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</si>
  <si>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</si>
  <si>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</si>
  <si>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</si>
  <si>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</si>
  <si>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</si>
  <si>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</si>
  <si>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</si>
  <si>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</si>
  <si>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</si>
  <si>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</si>
  <si>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</si>
  <si>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</si>
  <si>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</si>
  <si>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</si>
  <si>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</si>
  <si>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</si>
  <si>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</si>
  <si>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</si>
  <si>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</si>
  <si>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</si>
  <si>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</si>
  <si>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</si>
  <si>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</si>
  <si>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</si>
  <si>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</si>
  <si>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</si>
  <si>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</si>
  <si>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</si>
  <si>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</si>
  <si>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</si>
  <si>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</si>
  <si>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</si>
  <si>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</si>
  <si>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</si>
  <si>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</si>
  <si>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</si>
  <si>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</si>
  <si>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</si>
  <si>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</si>
  <si>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</si>
  <si>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</si>
  <si>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</si>
  <si>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</si>
  <si>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</si>
  <si>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</si>
  <si>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</si>
  <si>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</si>
  <si>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</si>
  <si>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</si>
  <si>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</si>
  <si>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</si>
  <si>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</si>
  <si>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</si>
  <si>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</si>
  <si>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</si>
  <si>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</si>
  <si>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</si>
  <si>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</si>
  <si>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</si>
  <si>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</si>
  <si>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</si>
  <si>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</si>
  <si>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</si>
  <si>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</si>
  <si>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</si>
  <si>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</si>
  <si>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</si>
  <si>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</si>
  <si>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</si>
  <si>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</si>
  <si>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</si>
  <si>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</si>
  <si>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</si>
  <si>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</si>
  <si>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</si>
  <si>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</si>
  <si>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</si>
  <si>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</si>
  <si>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</si>
  <si>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</si>
  <si>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</si>
  <si>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</si>
  <si>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</si>
  <si>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</si>
  <si>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</si>
  <si>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</si>
  <si>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</si>
  <si>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</si>
  <si>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</si>
  <si>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</si>
  <si>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</si>
  <si>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</si>
  <si>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</si>
  <si>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</si>
  <si>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</si>
  <si>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</si>
  <si>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</si>
  <si>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</si>
  <si>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</si>
  <si>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</si>
  <si>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</si>
  <si>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</si>
  <si>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</si>
  <si>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</si>
  <si>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</si>
  <si>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</si>
  <si>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</si>
  <si>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</si>
  <si>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</si>
  <si>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</si>
  <si>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</si>
  <si>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</si>
  <si>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</si>
  <si>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</si>
  <si>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</si>
  <si>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</si>
  <si>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</si>
  <si>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</si>
  <si>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</si>
  <si>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</si>
  <si>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</si>
  <si>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</si>
  <si>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</si>
  <si>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</si>
  <si>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</si>
  <si>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</si>
  <si>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</si>
  <si>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</si>
  <si>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</si>
  <si>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</si>
  <si>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</si>
  <si>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</si>
  <si>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</si>
  <si>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</si>
  <si>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</si>
  <si>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</si>
  <si>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</si>
  <si>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</si>
  <si>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</si>
  <si>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</si>
  <si>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</si>
  <si>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</si>
  <si>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</si>
  <si>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</si>
  <si>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</si>
  <si>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</si>
  <si>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</si>
  <si>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</si>
  <si>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</si>
  <si>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</si>
  <si>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</si>
  <si>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</si>
  <si>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</si>
  <si>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</si>
  <si>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</si>
  <si>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</si>
  <si>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</si>
  <si>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</si>
  <si>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</si>
  <si>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</si>
  <si>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</si>
  <si>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</si>
  <si>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</si>
  <si>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</si>
  <si>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</si>
  <si>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</si>
  <si>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</si>
  <si>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</si>
  <si>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</si>
  <si>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</si>
  <si>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</si>
  <si>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</si>
  <si>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</si>
  <si>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</si>
  <si>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</si>
  <si>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</si>
  <si>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</si>
  <si>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</si>
  <si>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</si>
  <si>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</si>
  <si>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</si>
  <si>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</si>
  <si>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</si>
  <si>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</si>
  <si>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</si>
  <si>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</si>
  <si>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</si>
  <si>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</si>
  <si>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</si>
  <si>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</si>
  <si>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</si>
  <si>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</si>
  <si>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</si>
  <si>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</si>
  <si>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</si>
  <si>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</si>
  <si>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</si>
  <si>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</si>
  <si>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</si>
  <si>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</si>
  <si>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</si>
  <si>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</si>
  <si>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</si>
  <si>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</si>
  <si>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</si>
  <si>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</si>
  <si>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</si>
  <si>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</si>
  <si>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</si>
  <si>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</si>
  <si>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</si>
  <si>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</si>
  <si>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</si>
  <si>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</si>
  <si>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</si>
  <si>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</si>
  <si>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</si>
  <si>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</si>
  <si>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</si>
  <si>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</si>
  <si>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</si>
  <si>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</si>
  <si>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</si>
  <si>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</si>
  <si>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</si>
  <si>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</si>
  <si>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</si>
  <si>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</si>
  <si>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</si>
  <si>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</si>
  <si>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44048</t>
  </si>
  <si>
    <t>NAZARETH</t>
  </si>
  <si>
    <t>referentietaak LNE (2017); Jaarverslag De Lijn</t>
  </si>
  <si>
    <t>waterkracht</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</si>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</sst>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96802.884400535986</c:v>
                </c:pt>
                <c:pt idx="1">
                  <c:v>58304.581264410903</c:v>
                </c:pt>
                <c:pt idx="2">
                  <c:v>836.73400000000004</c:v>
                </c:pt>
                <c:pt idx="3">
                  <c:v>11110.674811377387</c:v>
                </c:pt>
                <c:pt idx="4">
                  <c:v>140338.47170337522</c:v>
                </c:pt>
                <c:pt idx="5">
                  <c:v>384007.61883290345</c:v>
                </c:pt>
                <c:pt idx="6">
                  <c:v>708.07682118984781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96802.884400535986</c:v>
                </c:pt>
                <c:pt idx="1">
                  <c:v>58304.581264410903</c:v>
                </c:pt>
                <c:pt idx="2">
                  <c:v>836.73400000000004</c:v>
                </c:pt>
                <c:pt idx="3">
                  <c:v>11110.674811377387</c:v>
                </c:pt>
                <c:pt idx="4">
                  <c:v>140338.47170337522</c:v>
                </c:pt>
                <c:pt idx="5">
                  <c:v>384007.61883290345</c:v>
                </c:pt>
                <c:pt idx="6">
                  <c:v>708.07682118984781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20587.584353882034</c:v>
                </c:pt>
                <c:pt idx="1">
                  <c:v>12079.804659734211</c:v>
                </c:pt>
                <c:pt idx="2">
                  <c:v>172.73049293177635</c:v>
                </c:pt>
                <c:pt idx="3">
                  <c:v>2647.6463189432297</c:v>
                </c:pt>
                <c:pt idx="4">
                  <c:v>28977.444429690771</c:v>
                </c:pt>
                <c:pt idx="5">
                  <c:v>95716.922705156947</c:v>
                </c:pt>
                <c:pt idx="6">
                  <c:v>178.30531594748555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20587.584353882034</c:v>
                </c:pt>
                <c:pt idx="1">
                  <c:v>12079.804659734211</c:v>
                </c:pt>
                <c:pt idx="2">
                  <c:v>172.73049293177635</c:v>
                </c:pt>
                <c:pt idx="3">
                  <c:v>2647.6463189432297</c:v>
                </c:pt>
                <c:pt idx="4">
                  <c:v>28977.444429690771</c:v>
                </c:pt>
                <c:pt idx="5">
                  <c:v>95716.922705156947</c:v>
                </c:pt>
                <c:pt idx="6">
                  <c:v>178.30531594748555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44048</v>
      </c>
      <c r="B6" s="386"/>
      <c r="C6" s="387"/>
    </row>
    <row r="7" spans="1:7" s="384" customFormat="1" ht="15.75" customHeight="1">
      <c r="A7" s="388" t="str">
        <f>txtMunicipality</f>
        <v>NAZARETH</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34639.15426062185</v>
      </c>
      <c r="D10" s="683">
        <f ca="1">tertiair!C16</f>
        <v>514.28571428571433</v>
      </c>
      <c r="E10" s="683">
        <f ca="1">tertiair!D16</f>
        <v>18904.819349962818</v>
      </c>
      <c r="F10" s="683">
        <f>tertiair!E16</f>
        <v>155.58021339633194</v>
      </c>
      <c r="G10" s="683">
        <f ca="1">tertiair!F16</f>
        <v>4215.417473910853</v>
      </c>
      <c r="H10" s="683">
        <f>tertiair!G16</f>
        <v>0</v>
      </c>
      <c r="I10" s="683">
        <f>tertiair!H16</f>
        <v>0</v>
      </c>
      <c r="J10" s="683">
        <f>tertiair!I16</f>
        <v>0</v>
      </c>
      <c r="K10" s="683">
        <f>tertiair!J16</f>
        <v>1.3424561452667275E-2</v>
      </c>
      <c r="L10" s="683">
        <f>tertiair!K16</f>
        <v>0</v>
      </c>
      <c r="M10" s="683">
        <f ca="1">tertiair!L16</f>
        <v>0</v>
      </c>
      <c r="N10" s="683">
        <f>tertiair!M16</f>
        <v>0</v>
      </c>
      <c r="O10" s="683">
        <f ca="1">tertiair!N16</f>
        <v>544.63289122072001</v>
      </c>
      <c r="P10" s="683">
        <f>tertiair!O16</f>
        <v>9.7945215316823084</v>
      </c>
      <c r="Q10" s="684">
        <f>tertiair!P16</f>
        <v>157.61741491948504</v>
      </c>
      <c r="R10" s="686">
        <f ca="1">SUM(C10:Q10)</f>
        <v>59141.3152644109</v>
      </c>
      <c r="S10" s="67"/>
    </row>
    <row r="11" spans="1:19" s="445" customFormat="1">
      <c r="A11" s="804" t="s">
        <v>220</v>
      </c>
      <c r="B11" s="809"/>
      <c r="C11" s="683">
        <f>huishoudens!B8</f>
        <v>22977.634455987598</v>
      </c>
      <c r="D11" s="683">
        <f>huishoudens!C8</f>
        <v>0</v>
      </c>
      <c r="E11" s="683">
        <f>huishoudens!D8</f>
        <v>25143.535178760438</v>
      </c>
      <c r="F11" s="683">
        <f>huishoudens!E8</f>
        <v>1758.9483944806018</v>
      </c>
      <c r="G11" s="683">
        <f>huishoudens!F8</f>
        <v>38532.588177874968</v>
      </c>
      <c r="H11" s="683">
        <f>huishoudens!G8</f>
        <v>0</v>
      </c>
      <c r="I11" s="683">
        <f>huishoudens!H8</f>
        <v>0</v>
      </c>
      <c r="J11" s="683">
        <f>huishoudens!I8</f>
        <v>0</v>
      </c>
      <c r="K11" s="683">
        <f>huishoudens!J8</f>
        <v>219.60143447969341</v>
      </c>
      <c r="L11" s="683">
        <f>huishoudens!K8</f>
        <v>0</v>
      </c>
      <c r="M11" s="683">
        <f>huishoudens!L8</f>
        <v>0</v>
      </c>
      <c r="N11" s="683">
        <f>huishoudens!M8</f>
        <v>0</v>
      </c>
      <c r="O11" s="683">
        <f>huishoudens!N8</f>
        <v>6816.2817009103046</v>
      </c>
      <c r="P11" s="683">
        <f>huishoudens!O8</f>
        <v>448.37455758146922</v>
      </c>
      <c r="Q11" s="684">
        <f>huishoudens!P8</f>
        <v>905.92050046091197</v>
      </c>
      <c r="R11" s="686">
        <f>SUM(C11:Q11)</f>
        <v>96802.884400535986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62963.105524899729</v>
      </c>
      <c r="D13" s="683">
        <f>industrie!C18</f>
        <v>0</v>
      </c>
      <c r="E13" s="683">
        <f>industrie!D18</f>
        <v>62229.18822101281</v>
      </c>
      <c r="F13" s="683">
        <f>industrie!E18</f>
        <v>799.34627859781733</v>
      </c>
      <c r="G13" s="683">
        <f>industrie!F18</f>
        <v>12085.706463676135</v>
      </c>
      <c r="H13" s="683">
        <f>industrie!G18</f>
        <v>0</v>
      </c>
      <c r="I13" s="683">
        <f>industrie!H18</f>
        <v>0</v>
      </c>
      <c r="J13" s="683">
        <f>industrie!I18</f>
        <v>0</v>
      </c>
      <c r="K13" s="683">
        <f>industrie!J18</f>
        <v>3.0407838868787289</v>
      </c>
      <c r="L13" s="683">
        <f>industrie!K18</f>
        <v>0</v>
      </c>
      <c r="M13" s="683">
        <f>industrie!L18</f>
        <v>0</v>
      </c>
      <c r="N13" s="683">
        <f>industrie!M18</f>
        <v>0</v>
      </c>
      <c r="O13" s="683">
        <f>industrie!N18</f>
        <v>2258.084431301827</v>
      </c>
      <c r="P13" s="683">
        <f>industrie!O18</f>
        <v>0</v>
      </c>
      <c r="Q13" s="684">
        <f>industrie!P18</f>
        <v>0</v>
      </c>
      <c r="R13" s="686">
        <f>SUM(C13:Q13)</f>
        <v>140338.47170337522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120579.89424150917</v>
      </c>
      <c r="D16" s="719">
        <f t="shared" ref="D16:R16" ca="1" si="0">SUM(D9:D15)</f>
        <v>514.28571428571433</v>
      </c>
      <c r="E16" s="719">
        <f t="shared" ca="1" si="0"/>
        <v>106277.54274973607</v>
      </c>
      <c r="F16" s="719">
        <f t="shared" si="0"/>
        <v>2713.8748864747508</v>
      </c>
      <c r="G16" s="719">
        <f t="shared" ca="1" si="0"/>
        <v>54833.712115461953</v>
      </c>
      <c r="H16" s="719">
        <f t="shared" si="0"/>
        <v>0</v>
      </c>
      <c r="I16" s="719">
        <f t="shared" si="0"/>
        <v>0</v>
      </c>
      <c r="J16" s="719">
        <f t="shared" si="0"/>
        <v>0</v>
      </c>
      <c r="K16" s="719">
        <f t="shared" si="0"/>
        <v>222.6556429280248</v>
      </c>
      <c r="L16" s="719">
        <f t="shared" si="0"/>
        <v>0</v>
      </c>
      <c r="M16" s="719">
        <f t="shared" ca="1" si="0"/>
        <v>0</v>
      </c>
      <c r="N16" s="719">
        <f t="shared" si="0"/>
        <v>0</v>
      </c>
      <c r="O16" s="719">
        <f t="shared" ca="1" si="0"/>
        <v>9618.9990234328507</v>
      </c>
      <c r="P16" s="719">
        <f t="shared" si="0"/>
        <v>458.16907911315155</v>
      </c>
      <c r="Q16" s="719">
        <f t="shared" si="0"/>
        <v>1063.537915380397</v>
      </c>
      <c r="R16" s="719">
        <f t="shared" ca="1" si="0"/>
        <v>296282.6713683221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10.537241599144959</v>
      </c>
      <c r="D19" s="683">
        <f>transport!C54</f>
        <v>0</v>
      </c>
      <c r="E19" s="683">
        <f>transport!D54</f>
        <v>0</v>
      </c>
      <c r="F19" s="683">
        <f>transport!E54</f>
        <v>0</v>
      </c>
      <c r="G19" s="683">
        <f>transport!F54</f>
        <v>0</v>
      </c>
      <c r="H19" s="683">
        <f>transport!G54</f>
        <v>659.66318041892771</v>
      </c>
      <c r="I19" s="683">
        <f>transport!H54</f>
        <v>0</v>
      </c>
      <c r="J19" s="683">
        <f>transport!I54</f>
        <v>0</v>
      </c>
      <c r="K19" s="683">
        <f>transport!J54</f>
        <v>0</v>
      </c>
      <c r="L19" s="683">
        <f>transport!K54</f>
        <v>0</v>
      </c>
      <c r="M19" s="683">
        <f>transport!L54</f>
        <v>0</v>
      </c>
      <c r="N19" s="683">
        <f>transport!M54</f>
        <v>37.876399171775169</v>
      </c>
      <c r="O19" s="683">
        <f>transport!N54</f>
        <v>0</v>
      </c>
      <c r="P19" s="683">
        <f>transport!O54</f>
        <v>0</v>
      </c>
      <c r="Q19" s="684">
        <f>transport!P54</f>
        <v>0</v>
      </c>
      <c r="R19" s="686">
        <f>SUM(C19:Q19)</f>
        <v>708.07682118984781</v>
      </c>
      <c r="S19" s="67"/>
    </row>
    <row r="20" spans="1:19" s="445" customFormat="1">
      <c r="A20" s="804" t="s">
        <v>302</v>
      </c>
      <c r="B20" s="809"/>
      <c r="C20" s="683">
        <f>transport!B14</f>
        <v>691.06025703686942</v>
      </c>
      <c r="D20" s="683">
        <f>transport!C14</f>
        <v>0</v>
      </c>
      <c r="E20" s="683">
        <f>transport!D14</f>
        <v>1062.401466785301</v>
      </c>
      <c r="F20" s="683">
        <f>transport!E14</f>
        <v>475.92190109356193</v>
      </c>
      <c r="G20" s="683">
        <f>transport!F14</f>
        <v>0</v>
      </c>
      <c r="H20" s="683">
        <f>transport!G14</f>
        <v>306720.6937398864</v>
      </c>
      <c r="I20" s="683">
        <f>transport!H14</f>
        <v>53643.372107530937</v>
      </c>
      <c r="J20" s="683">
        <f>transport!I14</f>
        <v>0</v>
      </c>
      <c r="K20" s="683">
        <f>transport!J14</f>
        <v>0</v>
      </c>
      <c r="L20" s="683">
        <f>transport!K14</f>
        <v>0</v>
      </c>
      <c r="M20" s="683">
        <f>transport!L14</f>
        <v>0</v>
      </c>
      <c r="N20" s="683">
        <f>transport!M14</f>
        <v>21414.169360570366</v>
      </c>
      <c r="O20" s="683">
        <f>transport!N14</f>
        <v>0</v>
      </c>
      <c r="P20" s="683">
        <f>transport!O14</f>
        <v>0</v>
      </c>
      <c r="Q20" s="684">
        <f>transport!P14</f>
        <v>0</v>
      </c>
      <c r="R20" s="686">
        <f>SUM(C20:Q20)</f>
        <v>384007.61883290345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701.59749863601439</v>
      </c>
      <c r="D22" s="807">
        <f t="shared" ref="D22:R22" si="1">SUM(D18:D21)</f>
        <v>0</v>
      </c>
      <c r="E22" s="807">
        <f t="shared" si="1"/>
        <v>1062.401466785301</v>
      </c>
      <c r="F22" s="807">
        <f t="shared" si="1"/>
        <v>475.92190109356193</v>
      </c>
      <c r="G22" s="807">
        <f t="shared" si="1"/>
        <v>0</v>
      </c>
      <c r="H22" s="807">
        <f t="shared" si="1"/>
        <v>307380.35692030535</v>
      </c>
      <c r="I22" s="807">
        <f t="shared" si="1"/>
        <v>53643.372107530937</v>
      </c>
      <c r="J22" s="807">
        <f t="shared" si="1"/>
        <v>0</v>
      </c>
      <c r="K22" s="807">
        <f t="shared" si="1"/>
        <v>0</v>
      </c>
      <c r="L22" s="807">
        <f t="shared" si="1"/>
        <v>0</v>
      </c>
      <c r="M22" s="807">
        <f t="shared" si="1"/>
        <v>0</v>
      </c>
      <c r="N22" s="807">
        <f t="shared" si="1"/>
        <v>21452.045759742141</v>
      </c>
      <c r="O22" s="807">
        <f t="shared" si="1"/>
        <v>0</v>
      </c>
      <c r="P22" s="807">
        <f t="shared" si="1"/>
        <v>0</v>
      </c>
      <c r="Q22" s="807">
        <f t="shared" si="1"/>
        <v>0</v>
      </c>
      <c r="R22" s="807">
        <f t="shared" si="1"/>
        <v>384715.69565409329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1616.0335459206299</v>
      </c>
      <c r="D24" s="683">
        <f>+landbouw!C8</f>
        <v>0</v>
      </c>
      <c r="E24" s="683">
        <f>+landbouw!D8</f>
        <v>3921.9213229171814</v>
      </c>
      <c r="F24" s="683">
        <f>+landbouw!E8</f>
        <v>46.285935584617619</v>
      </c>
      <c r="G24" s="683">
        <f>+landbouw!F8</f>
        <v>5115.5274235462302</v>
      </c>
      <c r="H24" s="683">
        <f>+landbouw!G8</f>
        <v>0</v>
      </c>
      <c r="I24" s="683">
        <f>+landbouw!H8</f>
        <v>0</v>
      </c>
      <c r="J24" s="683">
        <f>+landbouw!I8</f>
        <v>0</v>
      </c>
      <c r="K24" s="683">
        <f>+landbouw!J8</f>
        <v>410.90658340872704</v>
      </c>
      <c r="L24" s="683">
        <f>+landbouw!K8</f>
        <v>0</v>
      </c>
      <c r="M24" s="683">
        <f>+landbouw!L8</f>
        <v>0</v>
      </c>
      <c r="N24" s="683">
        <f>+landbouw!M8</f>
        <v>0</v>
      </c>
      <c r="O24" s="683">
        <f>+landbouw!N8</f>
        <v>0</v>
      </c>
      <c r="P24" s="683">
        <f>+landbouw!O8</f>
        <v>0</v>
      </c>
      <c r="Q24" s="684">
        <f>+landbouw!P8</f>
        <v>0</v>
      </c>
      <c r="R24" s="686">
        <f>SUM(C24:Q24)</f>
        <v>11110.674811377387</v>
      </c>
      <c r="S24" s="67"/>
    </row>
    <row r="25" spans="1:19" s="445" customFormat="1" ht="15" thickBot="1">
      <c r="A25" s="826" t="s">
        <v>696</v>
      </c>
      <c r="B25" s="939"/>
      <c r="C25" s="940">
        <f>IF(Onbekend_ele_kWh="---",0,Onbekend_ele_kWh)/1000+IF(REST_rest_ele_kWh="---",0,REST_rest_ele_kWh)/1000</f>
        <v>561.73840632074609</v>
      </c>
      <c r="D25" s="940"/>
      <c r="E25" s="940">
        <f>IF(onbekend_gas_kWh="---",0,onbekend_gas_kWh)/1000+IF(REST_rest_gas_kWh="---",0,REST_rest_gas_kWh)/1000</f>
        <v>672.88925043734798</v>
      </c>
      <c r="F25" s="940"/>
      <c r="G25" s="940"/>
      <c r="H25" s="940"/>
      <c r="I25" s="940"/>
      <c r="J25" s="940"/>
      <c r="K25" s="940"/>
      <c r="L25" s="940"/>
      <c r="M25" s="940"/>
      <c r="N25" s="940"/>
      <c r="O25" s="940"/>
      <c r="P25" s="940"/>
      <c r="Q25" s="941"/>
      <c r="R25" s="686">
        <f>SUM(C25:Q25)</f>
        <v>1234.627656758094</v>
      </c>
      <c r="S25" s="67"/>
    </row>
    <row r="26" spans="1:19" s="445" customFormat="1" ht="15.75" thickBot="1">
      <c r="A26" s="691" t="s">
        <v>697</v>
      </c>
      <c r="B26" s="812"/>
      <c r="C26" s="807">
        <f>SUM(C24:C25)</f>
        <v>2177.7719522413759</v>
      </c>
      <c r="D26" s="807">
        <f t="shared" ref="D26:R26" si="2">SUM(D24:D25)</f>
        <v>0</v>
      </c>
      <c r="E26" s="807">
        <f t="shared" si="2"/>
        <v>4594.810573354529</v>
      </c>
      <c r="F26" s="807">
        <f t="shared" si="2"/>
        <v>46.285935584617619</v>
      </c>
      <c r="G26" s="807">
        <f t="shared" si="2"/>
        <v>5115.5274235462302</v>
      </c>
      <c r="H26" s="807">
        <f t="shared" si="2"/>
        <v>0</v>
      </c>
      <c r="I26" s="807">
        <f t="shared" si="2"/>
        <v>0</v>
      </c>
      <c r="J26" s="807">
        <f t="shared" si="2"/>
        <v>0</v>
      </c>
      <c r="K26" s="807">
        <f t="shared" si="2"/>
        <v>410.90658340872704</v>
      </c>
      <c r="L26" s="807">
        <f t="shared" si="2"/>
        <v>0</v>
      </c>
      <c r="M26" s="807">
        <f t="shared" si="2"/>
        <v>0</v>
      </c>
      <c r="N26" s="807">
        <f t="shared" si="2"/>
        <v>0</v>
      </c>
      <c r="O26" s="807">
        <f t="shared" si="2"/>
        <v>0</v>
      </c>
      <c r="P26" s="807">
        <f t="shared" si="2"/>
        <v>0</v>
      </c>
      <c r="Q26" s="807">
        <f t="shared" si="2"/>
        <v>0</v>
      </c>
      <c r="R26" s="807">
        <f t="shared" si="2"/>
        <v>12345.30246813548</v>
      </c>
      <c r="S26" s="67"/>
    </row>
    <row r="27" spans="1:19" s="445" customFormat="1" ht="17.25" thickTop="1" thickBot="1">
      <c r="A27" s="692" t="s">
        <v>115</v>
      </c>
      <c r="B27" s="799"/>
      <c r="C27" s="693">
        <f ca="1">C22+C16+C26</f>
        <v>123459.26369238656</v>
      </c>
      <c r="D27" s="693">
        <f t="shared" ref="D27:R27" ca="1" si="3">D22+D16+D26</f>
        <v>514.28571428571433</v>
      </c>
      <c r="E27" s="693">
        <f t="shared" ca="1" si="3"/>
        <v>111934.75478987589</v>
      </c>
      <c r="F27" s="693">
        <f t="shared" si="3"/>
        <v>3236.0827231529302</v>
      </c>
      <c r="G27" s="693">
        <f t="shared" ca="1" si="3"/>
        <v>59949.23953900818</v>
      </c>
      <c r="H27" s="693">
        <f t="shared" si="3"/>
        <v>307380.35692030535</v>
      </c>
      <c r="I27" s="693">
        <f t="shared" si="3"/>
        <v>53643.372107530937</v>
      </c>
      <c r="J27" s="693">
        <f t="shared" si="3"/>
        <v>0</v>
      </c>
      <c r="K27" s="693">
        <f t="shared" si="3"/>
        <v>633.56222633675179</v>
      </c>
      <c r="L27" s="693">
        <f t="shared" si="3"/>
        <v>0</v>
      </c>
      <c r="M27" s="693">
        <f t="shared" ca="1" si="3"/>
        <v>0</v>
      </c>
      <c r="N27" s="693">
        <f t="shared" si="3"/>
        <v>21452.045759742141</v>
      </c>
      <c r="O27" s="693">
        <f t="shared" ca="1" si="3"/>
        <v>9618.9990234328507</v>
      </c>
      <c r="P27" s="693">
        <f t="shared" si="3"/>
        <v>458.16907911315155</v>
      </c>
      <c r="Q27" s="693">
        <f t="shared" si="3"/>
        <v>1063.537915380397</v>
      </c>
      <c r="R27" s="693">
        <f t="shared" ca="1" si="3"/>
        <v>693343.66949055088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7150.7052303086211</v>
      </c>
      <c r="D40" s="683">
        <f ca="1">tertiair!C20</f>
        <v>122.21848739495802</v>
      </c>
      <c r="E40" s="683">
        <f ca="1">tertiair!D20</f>
        <v>3818.7735086924895</v>
      </c>
      <c r="F40" s="683">
        <f>tertiair!E20</f>
        <v>35.316708440967354</v>
      </c>
      <c r="G40" s="683">
        <f ca="1">tertiair!F20</f>
        <v>1125.5164655341978</v>
      </c>
      <c r="H40" s="683">
        <f>tertiair!G20</f>
        <v>0</v>
      </c>
      <c r="I40" s="683">
        <f>tertiair!H20</f>
        <v>0</v>
      </c>
      <c r="J40" s="683">
        <f>tertiair!I20</f>
        <v>0</v>
      </c>
      <c r="K40" s="683">
        <f>tertiair!J20</f>
        <v>4.7522947542442155E-3</v>
      </c>
      <c r="L40" s="683">
        <f>tertiair!K20</f>
        <v>0</v>
      </c>
      <c r="M40" s="683">
        <f ca="1">tertiair!L20</f>
        <v>0</v>
      </c>
      <c r="N40" s="683">
        <f>tertiair!M20</f>
        <v>0</v>
      </c>
      <c r="O40" s="683">
        <f ca="1">tertiair!N20</f>
        <v>0</v>
      </c>
      <c r="P40" s="683">
        <f>tertiair!O20</f>
        <v>0</v>
      </c>
      <c r="Q40" s="766">
        <f>tertiair!P20</f>
        <v>0</v>
      </c>
      <c r="R40" s="845">
        <f t="shared" ca="1" si="4"/>
        <v>12252.535152665987</v>
      </c>
    </row>
    <row r="41" spans="1:18">
      <c r="A41" s="817" t="s">
        <v>220</v>
      </c>
      <c r="B41" s="824"/>
      <c r="C41" s="683">
        <f ca="1">huishoudens!B12</f>
        <v>4743.3690109268973</v>
      </c>
      <c r="D41" s="683">
        <f ca="1">huishoudens!C12</f>
        <v>0</v>
      </c>
      <c r="E41" s="683">
        <f>huishoudens!D12</f>
        <v>5078.9941061096088</v>
      </c>
      <c r="F41" s="683">
        <f>huishoudens!E12</f>
        <v>399.28128554709662</v>
      </c>
      <c r="G41" s="683">
        <f>huishoudens!F12</f>
        <v>10288.201043492618</v>
      </c>
      <c r="H41" s="683">
        <f>huishoudens!G12</f>
        <v>0</v>
      </c>
      <c r="I41" s="683">
        <f>huishoudens!H12</f>
        <v>0</v>
      </c>
      <c r="J41" s="683">
        <f>huishoudens!I12</f>
        <v>0</v>
      </c>
      <c r="K41" s="683">
        <f>huishoudens!J12</f>
        <v>77.738907805811465</v>
      </c>
      <c r="L41" s="683">
        <f>huishoudens!K12</f>
        <v>0</v>
      </c>
      <c r="M41" s="683">
        <f>huishoudens!L12</f>
        <v>0</v>
      </c>
      <c r="N41" s="683">
        <f>huishoudens!M12</f>
        <v>0</v>
      </c>
      <c r="O41" s="683">
        <f>huishoudens!N12</f>
        <v>0</v>
      </c>
      <c r="P41" s="683">
        <f>huishoudens!O12</f>
        <v>0</v>
      </c>
      <c r="Q41" s="766">
        <f>huishoudens!P12</f>
        <v>0</v>
      </c>
      <c r="R41" s="845">
        <f t="shared" ca="1" si="4"/>
        <v>20587.584353882034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12997.736740506996</v>
      </c>
      <c r="D43" s="683">
        <f ca="1">industrie!C22</f>
        <v>0</v>
      </c>
      <c r="E43" s="683">
        <f>industrie!D22</f>
        <v>12570.296020644588</v>
      </c>
      <c r="F43" s="683">
        <f>industrie!E22</f>
        <v>181.45160524170453</v>
      </c>
      <c r="G43" s="683">
        <f>industrie!F22</f>
        <v>3226.8836258015281</v>
      </c>
      <c r="H43" s="683">
        <f>industrie!G22</f>
        <v>0</v>
      </c>
      <c r="I43" s="683">
        <f>industrie!H22</f>
        <v>0</v>
      </c>
      <c r="J43" s="683">
        <f>industrie!I22</f>
        <v>0</v>
      </c>
      <c r="K43" s="683">
        <f>industrie!J22</f>
        <v>1.07643749595507</v>
      </c>
      <c r="L43" s="683">
        <f>industrie!K22</f>
        <v>0</v>
      </c>
      <c r="M43" s="683">
        <f>industrie!L22</f>
        <v>0</v>
      </c>
      <c r="N43" s="683">
        <f>industrie!M22</f>
        <v>0</v>
      </c>
      <c r="O43" s="683">
        <f>industrie!N22</f>
        <v>0</v>
      </c>
      <c r="P43" s="683">
        <f>industrie!O22</f>
        <v>0</v>
      </c>
      <c r="Q43" s="766">
        <f>industrie!P22</f>
        <v>0</v>
      </c>
      <c r="R43" s="844">
        <f t="shared" ca="1" si="4"/>
        <v>28977.444429690771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24891.810981742514</v>
      </c>
      <c r="D46" s="719">
        <f t="shared" ref="D46:Q46" ca="1" si="5">SUM(D39:D45)</f>
        <v>122.21848739495802</v>
      </c>
      <c r="E46" s="719">
        <f t="shared" ca="1" si="5"/>
        <v>21468.063635446684</v>
      </c>
      <c r="F46" s="719">
        <f t="shared" si="5"/>
        <v>616.04959922976855</v>
      </c>
      <c r="G46" s="719">
        <f t="shared" ca="1" si="5"/>
        <v>14640.601134828343</v>
      </c>
      <c r="H46" s="719">
        <f t="shared" si="5"/>
        <v>0</v>
      </c>
      <c r="I46" s="719">
        <f t="shared" si="5"/>
        <v>0</v>
      </c>
      <c r="J46" s="719">
        <f t="shared" si="5"/>
        <v>0</v>
      </c>
      <c r="K46" s="719">
        <f t="shared" si="5"/>
        <v>78.820097596520782</v>
      </c>
      <c r="L46" s="719">
        <f t="shared" si="5"/>
        <v>0</v>
      </c>
      <c r="M46" s="719">
        <f t="shared" ca="1" si="5"/>
        <v>0</v>
      </c>
      <c r="N46" s="719">
        <f t="shared" si="5"/>
        <v>0</v>
      </c>
      <c r="O46" s="719">
        <f t="shared" ca="1" si="5"/>
        <v>0</v>
      </c>
      <c r="P46" s="719">
        <f t="shared" si="5"/>
        <v>0</v>
      </c>
      <c r="Q46" s="719">
        <f t="shared" si="5"/>
        <v>0</v>
      </c>
      <c r="R46" s="719">
        <f ca="1">SUM(R39:R45)</f>
        <v>61817.563936238788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2.1752467756318352</v>
      </c>
      <c r="D49" s="683">
        <f ca="1">transport!C58</f>
        <v>0</v>
      </c>
      <c r="E49" s="683">
        <f>transport!D58</f>
        <v>0</v>
      </c>
      <c r="F49" s="683">
        <f>transport!E58</f>
        <v>0</v>
      </c>
      <c r="G49" s="683">
        <f>transport!F58</f>
        <v>0</v>
      </c>
      <c r="H49" s="683">
        <f>transport!G58</f>
        <v>176.13006917185371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178.30531594748555</v>
      </c>
    </row>
    <row r="50" spans="1:18">
      <c r="A50" s="820" t="s">
        <v>302</v>
      </c>
      <c r="B50" s="830"/>
      <c r="C50" s="689">
        <f ca="1">transport!B18</f>
        <v>142.65845399319082</v>
      </c>
      <c r="D50" s="689">
        <f>transport!C18</f>
        <v>0</v>
      </c>
      <c r="E50" s="689">
        <f>transport!D18</f>
        <v>214.6050962906308</v>
      </c>
      <c r="F50" s="689">
        <f>transport!E18</f>
        <v>108.03427154823856</v>
      </c>
      <c r="G50" s="689">
        <f>transport!F18</f>
        <v>0</v>
      </c>
      <c r="H50" s="689">
        <f>transport!G18</f>
        <v>81894.425228549677</v>
      </c>
      <c r="I50" s="689">
        <f>transport!H18</f>
        <v>13357.199654775202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95716.922705156947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144.83370076882267</v>
      </c>
      <c r="D52" s="719">
        <f t="shared" ref="D52:Q52" ca="1" si="6">SUM(D48:D51)</f>
        <v>0</v>
      </c>
      <c r="E52" s="719">
        <f t="shared" si="6"/>
        <v>214.6050962906308</v>
      </c>
      <c r="F52" s="719">
        <f t="shared" si="6"/>
        <v>108.03427154823856</v>
      </c>
      <c r="G52" s="719">
        <f t="shared" si="6"/>
        <v>0</v>
      </c>
      <c r="H52" s="719">
        <f t="shared" si="6"/>
        <v>82070.555297721527</v>
      </c>
      <c r="I52" s="719">
        <f t="shared" si="6"/>
        <v>13357.199654775202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95895.228021104427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333.60455172271816</v>
      </c>
      <c r="D54" s="689">
        <f ca="1">+landbouw!C12</f>
        <v>0</v>
      </c>
      <c r="E54" s="689">
        <f>+landbouw!D12</f>
        <v>792.22810722927068</v>
      </c>
      <c r="F54" s="689">
        <f>+landbouw!E12</f>
        <v>10.506907377708199</v>
      </c>
      <c r="G54" s="689">
        <f>+landbouw!F12</f>
        <v>1365.8458220868436</v>
      </c>
      <c r="H54" s="689">
        <f>+landbouw!G12</f>
        <v>0</v>
      </c>
      <c r="I54" s="689">
        <f>+landbouw!H12</f>
        <v>0</v>
      </c>
      <c r="J54" s="689">
        <f>+landbouw!I12</f>
        <v>0</v>
      </c>
      <c r="K54" s="689">
        <f>+landbouw!J12</f>
        <v>145.46093052668937</v>
      </c>
      <c r="L54" s="689">
        <f>+landbouw!K12</f>
        <v>0</v>
      </c>
      <c r="M54" s="689">
        <f>+landbouw!L12</f>
        <v>0</v>
      </c>
      <c r="N54" s="689">
        <f>+landbouw!M12</f>
        <v>0</v>
      </c>
      <c r="O54" s="689">
        <f>+landbouw!N12</f>
        <v>0</v>
      </c>
      <c r="P54" s="689">
        <f>+landbouw!O12</f>
        <v>0</v>
      </c>
      <c r="Q54" s="690">
        <f>+landbouw!P12</f>
        <v>0</v>
      </c>
      <c r="R54" s="718">
        <f ca="1">SUM(C54:Q54)</f>
        <v>2647.6463189432297</v>
      </c>
    </row>
    <row r="55" spans="1:18" ht="15" thickBot="1">
      <c r="A55" s="820" t="s">
        <v>696</v>
      </c>
      <c r="B55" s="830"/>
      <c r="C55" s="689">
        <f ca="1">C25*'EF ele_warmte'!B12</f>
        <v>115.96200443927574</v>
      </c>
      <c r="D55" s="689"/>
      <c r="E55" s="689">
        <f>E25*EF_CO2_aardgas</f>
        <v>135.92362858834431</v>
      </c>
      <c r="F55" s="689"/>
      <c r="G55" s="689"/>
      <c r="H55" s="689"/>
      <c r="I55" s="689"/>
      <c r="J55" s="689"/>
      <c r="K55" s="689"/>
      <c r="L55" s="689"/>
      <c r="M55" s="689"/>
      <c r="N55" s="689"/>
      <c r="O55" s="689"/>
      <c r="P55" s="689"/>
      <c r="Q55" s="690"/>
      <c r="R55" s="718">
        <f ca="1">SUM(C55:Q55)</f>
        <v>251.88563302762006</v>
      </c>
    </row>
    <row r="56" spans="1:18" ht="15.75" thickBot="1">
      <c r="A56" s="818" t="s">
        <v>697</v>
      </c>
      <c r="B56" s="831"/>
      <c r="C56" s="719">
        <f ca="1">SUM(C54:C55)</f>
        <v>449.5665561619939</v>
      </c>
      <c r="D56" s="719">
        <f t="shared" ref="D56:Q56" ca="1" si="7">SUM(D54:D55)</f>
        <v>0</v>
      </c>
      <c r="E56" s="719">
        <f t="shared" si="7"/>
        <v>928.15173581761496</v>
      </c>
      <c r="F56" s="719">
        <f t="shared" si="7"/>
        <v>10.506907377708199</v>
      </c>
      <c r="G56" s="719">
        <f t="shared" si="7"/>
        <v>1365.8458220868436</v>
      </c>
      <c r="H56" s="719">
        <f t="shared" si="7"/>
        <v>0</v>
      </c>
      <c r="I56" s="719">
        <f t="shared" si="7"/>
        <v>0</v>
      </c>
      <c r="J56" s="719">
        <f t="shared" si="7"/>
        <v>0</v>
      </c>
      <c r="K56" s="719">
        <f t="shared" si="7"/>
        <v>145.46093052668937</v>
      </c>
      <c r="L56" s="719">
        <f t="shared" si="7"/>
        <v>0</v>
      </c>
      <c r="M56" s="719">
        <f t="shared" si="7"/>
        <v>0</v>
      </c>
      <c r="N56" s="719">
        <f t="shared" si="7"/>
        <v>0</v>
      </c>
      <c r="O56" s="719">
        <f t="shared" si="7"/>
        <v>0</v>
      </c>
      <c r="P56" s="719">
        <f t="shared" si="7"/>
        <v>0</v>
      </c>
      <c r="Q56" s="720">
        <f t="shared" si="7"/>
        <v>0</v>
      </c>
      <c r="R56" s="721">
        <f ca="1">SUM(R54:R55)</f>
        <v>2899.5319519708496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25486.211238673332</v>
      </c>
      <c r="D61" s="727">
        <f t="shared" ref="D61:Q61" ca="1" si="8">D46+D52+D56</f>
        <v>122.21848739495802</v>
      </c>
      <c r="E61" s="727">
        <f t="shared" ca="1" si="8"/>
        <v>22610.820467554928</v>
      </c>
      <c r="F61" s="727">
        <f t="shared" si="8"/>
        <v>734.59077815571538</v>
      </c>
      <c r="G61" s="727">
        <f t="shared" ca="1" si="8"/>
        <v>16006.446956915186</v>
      </c>
      <c r="H61" s="727">
        <f t="shared" si="8"/>
        <v>82070.555297721527</v>
      </c>
      <c r="I61" s="727">
        <f t="shared" si="8"/>
        <v>13357.199654775202</v>
      </c>
      <c r="J61" s="727">
        <f t="shared" si="8"/>
        <v>0</v>
      </c>
      <c r="K61" s="727">
        <f t="shared" si="8"/>
        <v>224.28102812321015</v>
      </c>
      <c r="L61" s="727">
        <f t="shared" si="8"/>
        <v>0</v>
      </c>
      <c r="M61" s="727">
        <f t="shared" ca="1" si="8"/>
        <v>0</v>
      </c>
      <c r="N61" s="727">
        <f t="shared" si="8"/>
        <v>0</v>
      </c>
      <c r="O61" s="727">
        <f t="shared" ca="1" si="8"/>
        <v>0</v>
      </c>
      <c r="P61" s="727">
        <f t="shared" si="8"/>
        <v>0</v>
      </c>
      <c r="Q61" s="727">
        <f t="shared" si="8"/>
        <v>0</v>
      </c>
      <c r="R61" s="727">
        <f ca="1">R46+R52+R56</f>
        <v>160612.32390931409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0.20643417493704852</v>
      </c>
      <c r="D63" s="773">
        <f t="shared" ca="1" si="9"/>
        <v>0.23764705882352946</v>
      </c>
      <c r="E63" s="965">
        <f t="shared" ca="1" si="9"/>
        <v>0.20199999999999999</v>
      </c>
      <c r="F63" s="773">
        <f t="shared" si="9"/>
        <v>0.22700000000000006</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8164.1582738487368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360</v>
      </c>
      <c r="D76" s="948">
        <f>'lokale energieproductie'!C8</f>
        <v>423.52941176470591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85.552941176470597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8164.1582738487368</v>
      </c>
      <c r="C78" s="745">
        <f>SUM(C72:C77)</f>
        <v>360</v>
      </c>
      <c r="D78" s="746">
        <f t="shared" ref="D78:H78" si="10">SUM(D76:D77)</f>
        <v>423.52941176470591</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85.552941176470597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514.28571428571433</v>
      </c>
      <c r="D87" s="769">
        <f>'lokale energieproductie'!C17</f>
        <v>605.04201680672281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122.21848739495802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514.28571428571433</v>
      </c>
      <c r="D90" s="745">
        <f t="shared" ref="D90:H90" si="12">SUM(D87:D89)</f>
        <v>605.04201680672281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122.21848739495802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22977.634455987598</v>
      </c>
      <c r="C4" s="449">
        <f>huishoudens!C8</f>
        <v>0</v>
      </c>
      <c r="D4" s="449">
        <f>huishoudens!D8</f>
        <v>25143.535178760438</v>
      </c>
      <c r="E4" s="449">
        <f>huishoudens!E8</f>
        <v>1758.9483944806018</v>
      </c>
      <c r="F4" s="449">
        <f>huishoudens!F8</f>
        <v>38532.588177874968</v>
      </c>
      <c r="G4" s="449">
        <f>huishoudens!G8</f>
        <v>0</v>
      </c>
      <c r="H4" s="449">
        <f>huishoudens!H8</f>
        <v>0</v>
      </c>
      <c r="I4" s="449">
        <f>huishoudens!I8</f>
        <v>0</v>
      </c>
      <c r="J4" s="449">
        <f>huishoudens!J8</f>
        <v>219.60143447969341</v>
      </c>
      <c r="K4" s="449">
        <f>huishoudens!K8</f>
        <v>0</v>
      </c>
      <c r="L4" s="449">
        <f>huishoudens!L8</f>
        <v>0</v>
      </c>
      <c r="M4" s="449">
        <f>huishoudens!M8</f>
        <v>0</v>
      </c>
      <c r="N4" s="449">
        <f>huishoudens!N8</f>
        <v>6816.2817009103046</v>
      </c>
      <c r="O4" s="449">
        <f>huishoudens!O8</f>
        <v>448.37455758146922</v>
      </c>
      <c r="P4" s="450">
        <f>huishoudens!P8</f>
        <v>905.92050046091197</v>
      </c>
      <c r="Q4" s="451">
        <f>SUM(B4:P4)</f>
        <v>96802.884400535986</v>
      </c>
    </row>
    <row r="5" spans="1:17">
      <c r="A5" s="448" t="s">
        <v>155</v>
      </c>
      <c r="B5" s="449">
        <f ca="1">tertiair!B16</f>
        <v>33802.420260621853</v>
      </c>
      <c r="C5" s="449">
        <f ca="1">tertiair!C16</f>
        <v>514.28571428571433</v>
      </c>
      <c r="D5" s="449">
        <f ca="1">tertiair!D16</f>
        <v>18904.819349962818</v>
      </c>
      <c r="E5" s="449">
        <f>tertiair!E16</f>
        <v>155.58021339633194</v>
      </c>
      <c r="F5" s="449">
        <f ca="1">tertiair!F16</f>
        <v>4215.417473910853</v>
      </c>
      <c r="G5" s="449">
        <f>tertiair!G16</f>
        <v>0</v>
      </c>
      <c r="H5" s="449">
        <f>tertiair!H16</f>
        <v>0</v>
      </c>
      <c r="I5" s="449">
        <f>tertiair!I16</f>
        <v>0</v>
      </c>
      <c r="J5" s="449">
        <f>tertiair!J16</f>
        <v>1.3424561452667275E-2</v>
      </c>
      <c r="K5" s="449">
        <f>tertiair!K16</f>
        <v>0</v>
      </c>
      <c r="L5" s="449">
        <f ca="1">tertiair!L16</f>
        <v>0</v>
      </c>
      <c r="M5" s="449">
        <f>tertiair!M16</f>
        <v>0</v>
      </c>
      <c r="N5" s="449">
        <f ca="1">tertiair!N16</f>
        <v>544.63289122072001</v>
      </c>
      <c r="O5" s="449">
        <f>tertiair!O16</f>
        <v>9.7945215316823084</v>
      </c>
      <c r="P5" s="450">
        <f>tertiair!P16</f>
        <v>157.61741491948504</v>
      </c>
      <c r="Q5" s="448">
        <f t="shared" ref="Q5:Q14" ca="1" si="0">SUM(B5:P5)</f>
        <v>58304.581264410903</v>
      </c>
    </row>
    <row r="6" spans="1:17">
      <c r="A6" s="448" t="s">
        <v>193</v>
      </c>
      <c r="B6" s="449">
        <f>'openbare verlichting'!B8</f>
        <v>836.73400000000004</v>
      </c>
      <c r="C6" s="449"/>
      <c r="D6" s="449"/>
      <c r="E6" s="449"/>
      <c r="F6" s="449"/>
      <c r="G6" s="449"/>
      <c r="H6" s="449"/>
      <c r="I6" s="449"/>
      <c r="J6" s="449"/>
      <c r="K6" s="449"/>
      <c r="L6" s="449"/>
      <c r="M6" s="449"/>
      <c r="N6" s="449"/>
      <c r="O6" s="449"/>
      <c r="P6" s="450"/>
      <c r="Q6" s="448">
        <f t="shared" si="0"/>
        <v>836.73400000000004</v>
      </c>
    </row>
    <row r="7" spans="1:17">
      <c r="A7" s="448" t="s">
        <v>111</v>
      </c>
      <c r="B7" s="449">
        <f>landbouw!B8</f>
        <v>1616.0335459206299</v>
      </c>
      <c r="C7" s="449">
        <f>landbouw!C8</f>
        <v>0</v>
      </c>
      <c r="D7" s="449">
        <f>landbouw!D8</f>
        <v>3921.9213229171814</v>
      </c>
      <c r="E7" s="449">
        <f>landbouw!E8</f>
        <v>46.285935584617619</v>
      </c>
      <c r="F7" s="449">
        <f>landbouw!F8</f>
        <v>5115.5274235462302</v>
      </c>
      <c r="G7" s="449">
        <f>landbouw!G8</f>
        <v>0</v>
      </c>
      <c r="H7" s="449">
        <f>landbouw!H8</f>
        <v>0</v>
      </c>
      <c r="I7" s="449">
        <f>landbouw!I8</f>
        <v>0</v>
      </c>
      <c r="J7" s="449">
        <f>landbouw!J8</f>
        <v>410.90658340872704</v>
      </c>
      <c r="K7" s="449">
        <f>landbouw!K8</f>
        <v>0</v>
      </c>
      <c r="L7" s="449">
        <f>landbouw!L8</f>
        <v>0</v>
      </c>
      <c r="M7" s="449">
        <f>landbouw!M8</f>
        <v>0</v>
      </c>
      <c r="N7" s="449">
        <f>landbouw!N8</f>
        <v>0</v>
      </c>
      <c r="O7" s="449">
        <f>landbouw!O8</f>
        <v>0</v>
      </c>
      <c r="P7" s="450">
        <f>landbouw!P8</f>
        <v>0</v>
      </c>
      <c r="Q7" s="448">
        <f t="shared" si="0"/>
        <v>11110.674811377387</v>
      </c>
    </row>
    <row r="8" spans="1:17">
      <c r="A8" s="448" t="s">
        <v>617</v>
      </c>
      <c r="B8" s="449">
        <f>industrie!B18</f>
        <v>62963.105524899729</v>
      </c>
      <c r="C8" s="449">
        <f>industrie!C18</f>
        <v>0</v>
      </c>
      <c r="D8" s="449">
        <f>industrie!D18</f>
        <v>62229.18822101281</v>
      </c>
      <c r="E8" s="449">
        <f>industrie!E18</f>
        <v>799.34627859781733</v>
      </c>
      <c r="F8" s="449">
        <f>industrie!F18</f>
        <v>12085.706463676135</v>
      </c>
      <c r="G8" s="449">
        <f>industrie!G18</f>
        <v>0</v>
      </c>
      <c r="H8" s="449">
        <f>industrie!H18</f>
        <v>0</v>
      </c>
      <c r="I8" s="449">
        <f>industrie!I18</f>
        <v>0</v>
      </c>
      <c r="J8" s="449">
        <f>industrie!J18</f>
        <v>3.0407838868787289</v>
      </c>
      <c r="K8" s="449">
        <f>industrie!K18</f>
        <v>0</v>
      </c>
      <c r="L8" s="449">
        <f>industrie!L18</f>
        <v>0</v>
      </c>
      <c r="M8" s="449">
        <f>industrie!M18</f>
        <v>0</v>
      </c>
      <c r="N8" s="449">
        <f>industrie!N18</f>
        <v>2258.084431301827</v>
      </c>
      <c r="O8" s="449">
        <f>industrie!O18</f>
        <v>0</v>
      </c>
      <c r="P8" s="450">
        <f>industrie!P18</f>
        <v>0</v>
      </c>
      <c r="Q8" s="448">
        <f t="shared" si="0"/>
        <v>140338.47170337522</v>
      </c>
    </row>
    <row r="9" spans="1:17" s="454" customFormat="1">
      <c r="A9" s="452" t="s">
        <v>543</v>
      </c>
      <c r="B9" s="453">
        <f>transport!B14</f>
        <v>691.06025703686942</v>
      </c>
      <c r="C9" s="453">
        <f>transport!C14</f>
        <v>0</v>
      </c>
      <c r="D9" s="453">
        <f>transport!D14</f>
        <v>1062.401466785301</v>
      </c>
      <c r="E9" s="453">
        <f>transport!E14</f>
        <v>475.92190109356193</v>
      </c>
      <c r="F9" s="453">
        <f>transport!F14</f>
        <v>0</v>
      </c>
      <c r="G9" s="453">
        <f>transport!G14</f>
        <v>306720.6937398864</v>
      </c>
      <c r="H9" s="453">
        <f>transport!H14</f>
        <v>53643.372107530937</v>
      </c>
      <c r="I9" s="453">
        <f>transport!I14</f>
        <v>0</v>
      </c>
      <c r="J9" s="453">
        <f>transport!J14</f>
        <v>0</v>
      </c>
      <c r="K9" s="453">
        <f>transport!K14</f>
        <v>0</v>
      </c>
      <c r="L9" s="453">
        <f>transport!L14</f>
        <v>0</v>
      </c>
      <c r="M9" s="453">
        <f>transport!M14</f>
        <v>21414.169360570366</v>
      </c>
      <c r="N9" s="453">
        <f>transport!N14</f>
        <v>0</v>
      </c>
      <c r="O9" s="453">
        <f>transport!O14</f>
        <v>0</v>
      </c>
      <c r="P9" s="453">
        <f>transport!P14</f>
        <v>0</v>
      </c>
      <c r="Q9" s="452">
        <f>SUM(B9:P9)</f>
        <v>384007.61883290345</v>
      </c>
    </row>
    <row r="10" spans="1:17">
      <c r="A10" s="448" t="s">
        <v>533</v>
      </c>
      <c r="B10" s="449">
        <f>transport!B54</f>
        <v>10.537241599144959</v>
      </c>
      <c r="C10" s="449">
        <f>transport!C54</f>
        <v>0</v>
      </c>
      <c r="D10" s="449">
        <f>transport!D54</f>
        <v>0</v>
      </c>
      <c r="E10" s="449">
        <f>transport!E54</f>
        <v>0</v>
      </c>
      <c r="F10" s="449">
        <f>transport!F54</f>
        <v>0</v>
      </c>
      <c r="G10" s="449">
        <f>transport!G54</f>
        <v>659.66318041892771</v>
      </c>
      <c r="H10" s="449">
        <f>transport!H54</f>
        <v>0</v>
      </c>
      <c r="I10" s="449">
        <f>transport!I54</f>
        <v>0</v>
      </c>
      <c r="J10" s="449">
        <f>transport!J54</f>
        <v>0</v>
      </c>
      <c r="K10" s="449">
        <f>transport!K54</f>
        <v>0</v>
      </c>
      <c r="L10" s="449">
        <f>transport!L54</f>
        <v>0</v>
      </c>
      <c r="M10" s="449">
        <f>transport!M54</f>
        <v>37.876399171775169</v>
      </c>
      <c r="N10" s="449">
        <f>transport!N54</f>
        <v>0</v>
      </c>
      <c r="O10" s="449">
        <f>transport!O54</f>
        <v>0</v>
      </c>
      <c r="P10" s="450">
        <f>transport!P54</f>
        <v>0</v>
      </c>
      <c r="Q10" s="448">
        <f t="shared" si="0"/>
        <v>708.07682118984781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561.73840632074609</v>
      </c>
      <c r="C14" s="456"/>
      <c r="D14" s="456">
        <f>'SEAP template'!E25</f>
        <v>672.88925043734798</v>
      </c>
      <c r="E14" s="456"/>
      <c r="F14" s="456"/>
      <c r="G14" s="456"/>
      <c r="H14" s="456"/>
      <c r="I14" s="456"/>
      <c r="J14" s="456"/>
      <c r="K14" s="456"/>
      <c r="L14" s="456"/>
      <c r="M14" s="456"/>
      <c r="N14" s="456"/>
      <c r="O14" s="456"/>
      <c r="P14" s="457"/>
      <c r="Q14" s="448">
        <f t="shared" si="0"/>
        <v>1234.627656758094</v>
      </c>
    </row>
    <row r="15" spans="1:17" s="460" customFormat="1">
      <c r="A15" s="458" t="s">
        <v>537</v>
      </c>
      <c r="B15" s="459">
        <f ca="1">SUM(B4:B14)</f>
        <v>123459.26369238655</v>
      </c>
      <c r="C15" s="459">
        <f t="shared" ref="C15:Q15" ca="1" si="1">SUM(C4:C14)</f>
        <v>514.28571428571433</v>
      </c>
      <c r="D15" s="459">
        <f t="shared" ca="1" si="1"/>
        <v>111934.75478987589</v>
      </c>
      <c r="E15" s="459">
        <f t="shared" si="1"/>
        <v>3236.0827231529302</v>
      </c>
      <c r="F15" s="459">
        <f t="shared" ca="1" si="1"/>
        <v>59949.23953900818</v>
      </c>
      <c r="G15" s="459">
        <f t="shared" si="1"/>
        <v>307380.35692030535</v>
      </c>
      <c r="H15" s="459">
        <f t="shared" si="1"/>
        <v>53643.372107530937</v>
      </c>
      <c r="I15" s="459">
        <f t="shared" si="1"/>
        <v>0</v>
      </c>
      <c r="J15" s="459">
        <f t="shared" si="1"/>
        <v>633.56222633675191</v>
      </c>
      <c r="K15" s="459">
        <f t="shared" si="1"/>
        <v>0</v>
      </c>
      <c r="L15" s="459">
        <f t="shared" ca="1" si="1"/>
        <v>0</v>
      </c>
      <c r="M15" s="459">
        <f t="shared" si="1"/>
        <v>21452.045759742141</v>
      </c>
      <c r="N15" s="459">
        <f t="shared" ca="1" si="1"/>
        <v>9618.9990234328507</v>
      </c>
      <c r="O15" s="459">
        <f t="shared" si="1"/>
        <v>458.16907911315155</v>
      </c>
      <c r="P15" s="459">
        <f t="shared" si="1"/>
        <v>1063.537915380397</v>
      </c>
      <c r="Q15" s="459">
        <f t="shared" ca="1" si="1"/>
        <v>693343.66949055088</v>
      </c>
    </row>
    <row r="17" spans="1:17">
      <c r="A17" s="461" t="s">
        <v>538</v>
      </c>
      <c r="B17" s="778">
        <f ca="1">huishoudens!B10</f>
        <v>0.20643417493704852</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4743.3690109268973</v>
      </c>
      <c r="C22" s="449">
        <f t="shared" ref="C22:C32" ca="1" si="3">C4*$C$17</f>
        <v>0</v>
      </c>
      <c r="D22" s="449">
        <f t="shared" ref="D22:D32" si="4">D4*$D$17</f>
        <v>5078.9941061096088</v>
      </c>
      <c r="E22" s="449">
        <f t="shared" ref="E22:E32" si="5">E4*$E$17</f>
        <v>399.28128554709662</v>
      </c>
      <c r="F22" s="449">
        <f t="shared" ref="F22:F32" si="6">F4*$F$17</f>
        <v>10288.201043492618</v>
      </c>
      <c r="G22" s="449">
        <f t="shared" ref="G22:G32" si="7">G4*$G$17</f>
        <v>0</v>
      </c>
      <c r="H22" s="449">
        <f t="shared" ref="H22:H32" si="8">H4*$H$17</f>
        <v>0</v>
      </c>
      <c r="I22" s="449">
        <f t="shared" ref="I22:I32" si="9">I4*$I$17</f>
        <v>0</v>
      </c>
      <c r="J22" s="449">
        <f t="shared" ref="J22:J32" si="10">J4*$J$17</f>
        <v>77.738907805811465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20587.584353882034</v>
      </c>
    </row>
    <row r="23" spans="1:17">
      <c r="A23" s="448" t="s">
        <v>155</v>
      </c>
      <c r="B23" s="449">
        <f t="shared" ca="1" si="2"/>
        <v>6977.974737376845</v>
      </c>
      <c r="C23" s="449">
        <f t="shared" ca="1" si="3"/>
        <v>122.21848739495802</v>
      </c>
      <c r="D23" s="449">
        <f t="shared" ca="1" si="4"/>
        <v>3818.7735086924895</v>
      </c>
      <c r="E23" s="449">
        <f t="shared" si="5"/>
        <v>35.316708440967354</v>
      </c>
      <c r="F23" s="449">
        <f t="shared" ca="1" si="6"/>
        <v>1125.5164655341978</v>
      </c>
      <c r="G23" s="449">
        <f t="shared" si="7"/>
        <v>0</v>
      </c>
      <c r="H23" s="449">
        <f t="shared" si="8"/>
        <v>0</v>
      </c>
      <c r="I23" s="449">
        <f t="shared" si="9"/>
        <v>0</v>
      </c>
      <c r="J23" s="449">
        <f t="shared" si="10"/>
        <v>4.7522947542442155E-3</v>
      </c>
      <c r="K23" s="449">
        <f t="shared" si="11"/>
        <v>0</v>
      </c>
      <c r="L23" s="449">
        <f t="shared" ca="1" si="12"/>
        <v>0</v>
      </c>
      <c r="M23" s="449">
        <f t="shared" si="13"/>
        <v>0</v>
      </c>
      <c r="N23" s="449">
        <f t="shared" ca="1" si="14"/>
        <v>0</v>
      </c>
      <c r="O23" s="449">
        <f t="shared" si="15"/>
        <v>0</v>
      </c>
      <c r="P23" s="450">
        <f t="shared" si="16"/>
        <v>0</v>
      </c>
      <c r="Q23" s="448">
        <f t="shared" ref="Q23:Q31" ca="1" si="17">SUM(B23:P23)</f>
        <v>12079.804659734211</v>
      </c>
    </row>
    <row r="24" spans="1:17">
      <c r="A24" s="448" t="s">
        <v>193</v>
      </c>
      <c r="B24" s="449">
        <f t="shared" ca="1" si="2"/>
        <v>172.73049293177635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172.73049293177635</v>
      </c>
    </row>
    <row r="25" spans="1:17">
      <c r="A25" s="448" t="s">
        <v>111</v>
      </c>
      <c r="B25" s="449">
        <f t="shared" ca="1" si="2"/>
        <v>333.60455172271816</v>
      </c>
      <c r="C25" s="449">
        <f t="shared" ca="1" si="3"/>
        <v>0</v>
      </c>
      <c r="D25" s="449">
        <f t="shared" si="4"/>
        <v>792.22810722927068</v>
      </c>
      <c r="E25" s="449">
        <f t="shared" si="5"/>
        <v>10.506907377708199</v>
      </c>
      <c r="F25" s="449">
        <f t="shared" si="6"/>
        <v>1365.8458220868436</v>
      </c>
      <c r="G25" s="449">
        <f t="shared" si="7"/>
        <v>0</v>
      </c>
      <c r="H25" s="449">
        <f t="shared" si="8"/>
        <v>0</v>
      </c>
      <c r="I25" s="449">
        <f t="shared" si="9"/>
        <v>0</v>
      </c>
      <c r="J25" s="449">
        <f t="shared" si="10"/>
        <v>145.46093052668937</v>
      </c>
      <c r="K25" s="449">
        <f t="shared" si="11"/>
        <v>0</v>
      </c>
      <c r="L25" s="449">
        <f t="shared" si="12"/>
        <v>0</v>
      </c>
      <c r="M25" s="449">
        <f t="shared" si="13"/>
        <v>0</v>
      </c>
      <c r="N25" s="449">
        <f t="shared" si="14"/>
        <v>0</v>
      </c>
      <c r="O25" s="449">
        <f t="shared" si="15"/>
        <v>0</v>
      </c>
      <c r="P25" s="450">
        <f t="shared" si="16"/>
        <v>0</v>
      </c>
      <c r="Q25" s="448">
        <f t="shared" ca="1" si="17"/>
        <v>2647.6463189432297</v>
      </c>
    </row>
    <row r="26" spans="1:17">
      <c r="A26" s="448" t="s">
        <v>617</v>
      </c>
      <c r="B26" s="449">
        <f t="shared" ca="1" si="2"/>
        <v>12997.736740506996</v>
      </c>
      <c r="C26" s="449">
        <f t="shared" ca="1" si="3"/>
        <v>0</v>
      </c>
      <c r="D26" s="449">
        <f t="shared" si="4"/>
        <v>12570.296020644588</v>
      </c>
      <c r="E26" s="449">
        <f t="shared" si="5"/>
        <v>181.45160524170453</v>
      </c>
      <c r="F26" s="449">
        <f t="shared" si="6"/>
        <v>3226.8836258015281</v>
      </c>
      <c r="G26" s="449">
        <f t="shared" si="7"/>
        <v>0</v>
      </c>
      <c r="H26" s="449">
        <f t="shared" si="8"/>
        <v>0</v>
      </c>
      <c r="I26" s="449">
        <f t="shared" si="9"/>
        <v>0</v>
      </c>
      <c r="J26" s="449">
        <f t="shared" si="10"/>
        <v>1.07643749595507</v>
      </c>
      <c r="K26" s="449">
        <f t="shared" si="11"/>
        <v>0</v>
      </c>
      <c r="L26" s="449">
        <f t="shared" si="12"/>
        <v>0</v>
      </c>
      <c r="M26" s="449">
        <f t="shared" si="13"/>
        <v>0</v>
      </c>
      <c r="N26" s="449">
        <f t="shared" si="14"/>
        <v>0</v>
      </c>
      <c r="O26" s="449">
        <f t="shared" si="15"/>
        <v>0</v>
      </c>
      <c r="P26" s="450">
        <f t="shared" si="16"/>
        <v>0</v>
      </c>
      <c r="Q26" s="448">
        <f t="shared" ca="1" si="17"/>
        <v>28977.444429690771</v>
      </c>
    </row>
    <row r="27" spans="1:17" s="454" customFormat="1">
      <c r="A27" s="452" t="s">
        <v>543</v>
      </c>
      <c r="B27" s="772">
        <f t="shared" ca="1" si="2"/>
        <v>142.65845399319082</v>
      </c>
      <c r="C27" s="453">
        <f t="shared" ca="1" si="3"/>
        <v>0</v>
      </c>
      <c r="D27" s="453">
        <f t="shared" si="4"/>
        <v>214.6050962906308</v>
      </c>
      <c r="E27" s="453">
        <f t="shared" si="5"/>
        <v>108.03427154823856</v>
      </c>
      <c r="F27" s="453">
        <f t="shared" si="6"/>
        <v>0</v>
      </c>
      <c r="G27" s="453">
        <f t="shared" si="7"/>
        <v>81894.425228549677</v>
      </c>
      <c r="H27" s="453">
        <f t="shared" si="8"/>
        <v>13357.199654775202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95716.922705156947</v>
      </c>
    </row>
    <row r="28" spans="1:17" ht="16.5" customHeight="1">
      <c r="A28" s="448" t="s">
        <v>533</v>
      </c>
      <c r="B28" s="449">
        <f t="shared" ca="1" si="2"/>
        <v>2.1752467756318352</v>
      </c>
      <c r="C28" s="449">
        <f t="shared" ca="1" si="3"/>
        <v>0</v>
      </c>
      <c r="D28" s="449">
        <f t="shared" si="4"/>
        <v>0</v>
      </c>
      <c r="E28" s="449">
        <f t="shared" si="5"/>
        <v>0</v>
      </c>
      <c r="F28" s="449">
        <f t="shared" si="6"/>
        <v>0</v>
      </c>
      <c r="G28" s="449">
        <f t="shared" si="7"/>
        <v>176.13006917185371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178.30531594748555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115.96200443927574</v>
      </c>
      <c r="C32" s="449">
        <f t="shared" ca="1" si="3"/>
        <v>0</v>
      </c>
      <c r="D32" s="449">
        <f t="shared" si="4"/>
        <v>135.92362858834431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251.88563302762006</v>
      </c>
    </row>
    <row r="33" spans="1:17" s="460" customFormat="1">
      <c r="A33" s="458" t="s">
        <v>537</v>
      </c>
      <c r="B33" s="459">
        <f ca="1">SUM(B22:B32)</f>
        <v>25486.211238673328</v>
      </c>
      <c r="C33" s="459">
        <f t="shared" ref="C33:Q33" ca="1" si="19">SUM(C22:C32)</f>
        <v>122.21848739495802</v>
      </c>
      <c r="D33" s="459">
        <f t="shared" ca="1" si="19"/>
        <v>22610.820467554931</v>
      </c>
      <c r="E33" s="459">
        <f t="shared" si="19"/>
        <v>734.59077815571527</v>
      </c>
      <c r="F33" s="459">
        <f t="shared" ca="1" si="19"/>
        <v>16006.446956915188</v>
      </c>
      <c r="G33" s="459">
        <f t="shared" si="19"/>
        <v>82070.555297721527</v>
      </c>
      <c r="H33" s="459">
        <f t="shared" si="19"/>
        <v>13357.199654775202</v>
      </c>
      <c r="I33" s="459">
        <f t="shared" si="19"/>
        <v>0</v>
      </c>
      <c r="J33" s="459">
        <f t="shared" si="19"/>
        <v>224.28102812321015</v>
      </c>
      <c r="K33" s="459">
        <f t="shared" si="19"/>
        <v>0</v>
      </c>
      <c r="L33" s="459">
        <f t="shared" ca="1" si="19"/>
        <v>0</v>
      </c>
      <c r="M33" s="459">
        <f t="shared" si="19"/>
        <v>0</v>
      </c>
      <c r="N33" s="459">
        <f t="shared" ca="1" si="19"/>
        <v>0</v>
      </c>
      <c r="O33" s="459">
        <f t="shared" si="19"/>
        <v>0</v>
      </c>
      <c r="P33" s="459">
        <f t="shared" si="19"/>
        <v>0</v>
      </c>
      <c r="Q33" s="459">
        <f t="shared" ca="1" si="19"/>
        <v>160612.32390931406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8164.1582738487368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360</v>
      </c>
      <c r="D8" s="1016">
        <f>'SEAP template'!D76</f>
        <v>423.52941176470591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85.552941176470597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8164.1582738487368</v>
      </c>
      <c r="C10" s="1018">
        <f>SUM(C4:C9)</f>
        <v>360</v>
      </c>
      <c r="D10" s="1018">
        <f t="shared" ref="D10:H10" si="0">SUM(D8:D9)</f>
        <v>423.52941176470591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85.552941176470597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0.20643417493704852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514.28571428571433</v>
      </c>
      <c r="D17" s="1017">
        <f>'SEAP template'!D87</f>
        <v>605.04201680672281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122.21848739495802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514.28571428571433</v>
      </c>
      <c r="D20" s="1018">
        <f t="shared" ref="D20:H20" si="2">SUM(D17:D19)</f>
        <v>605.04201680672281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122.21848739495802</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0.20643417493704852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0.20643417493704852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0.20643417493704852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4814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2001.05</v>
      </c>
      <c r="C14" s="326"/>
      <c r="D14" s="326"/>
      <c r="E14" s="326"/>
      <c r="F14" s="326"/>
    </row>
    <row r="15" spans="1:6">
      <c r="A15" s="1312" t="s">
        <v>183</v>
      </c>
      <c r="B15" s="1313">
        <v>52</v>
      </c>
      <c r="C15" s="326"/>
      <c r="D15" s="326"/>
      <c r="E15" s="326"/>
      <c r="F15" s="326"/>
    </row>
    <row r="16" spans="1:6">
      <c r="A16" s="1312" t="s">
        <v>6</v>
      </c>
      <c r="B16" s="1313">
        <v>1463</v>
      </c>
      <c r="C16" s="326"/>
      <c r="D16" s="326"/>
      <c r="E16" s="326"/>
      <c r="F16" s="326"/>
    </row>
    <row r="17" spans="1:6">
      <c r="A17" s="1312" t="s">
        <v>7</v>
      </c>
      <c r="B17" s="1313">
        <v>463</v>
      </c>
      <c r="C17" s="326"/>
      <c r="D17" s="326"/>
      <c r="E17" s="326"/>
      <c r="F17" s="326"/>
    </row>
    <row r="18" spans="1:6">
      <c r="A18" s="1312" t="s">
        <v>8</v>
      </c>
      <c r="B18" s="1313">
        <v>1019</v>
      </c>
      <c r="C18" s="326"/>
      <c r="D18" s="326"/>
      <c r="E18" s="326"/>
      <c r="F18" s="326"/>
    </row>
    <row r="19" spans="1:6">
      <c r="A19" s="1312" t="s">
        <v>9</v>
      </c>
      <c r="B19" s="1313">
        <v>1019</v>
      </c>
      <c r="C19" s="326"/>
      <c r="D19" s="326"/>
      <c r="E19" s="326"/>
      <c r="F19" s="326"/>
    </row>
    <row r="20" spans="1:6">
      <c r="A20" s="1312" t="s">
        <v>10</v>
      </c>
      <c r="B20" s="1313">
        <v>642</v>
      </c>
      <c r="C20" s="326"/>
      <c r="D20" s="326"/>
      <c r="E20" s="326"/>
      <c r="F20" s="326"/>
    </row>
    <row r="21" spans="1:6">
      <c r="A21" s="1312" t="s">
        <v>11</v>
      </c>
      <c r="B21" s="1313">
        <v>8381</v>
      </c>
      <c r="C21" s="326"/>
      <c r="D21" s="326"/>
      <c r="E21" s="326"/>
      <c r="F21" s="326"/>
    </row>
    <row r="22" spans="1:6">
      <c r="A22" s="1312" t="s">
        <v>12</v>
      </c>
      <c r="B22" s="1313">
        <v>17293</v>
      </c>
      <c r="C22" s="326"/>
      <c r="D22" s="326"/>
      <c r="E22" s="326"/>
      <c r="F22" s="326"/>
    </row>
    <row r="23" spans="1:6">
      <c r="A23" s="1312" t="s">
        <v>13</v>
      </c>
      <c r="B23" s="1313">
        <v>160</v>
      </c>
      <c r="C23" s="326"/>
      <c r="D23" s="326"/>
      <c r="E23" s="326"/>
      <c r="F23" s="326"/>
    </row>
    <row r="24" spans="1:6">
      <c r="A24" s="1312" t="s">
        <v>14</v>
      </c>
      <c r="B24" s="1313">
        <v>11</v>
      </c>
      <c r="C24" s="326"/>
      <c r="D24" s="326"/>
      <c r="E24" s="326"/>
      <c r="F24" s="326"/>
    </row>
    <row r="25" spans="1:6">
      <c r="A25" s="1312" t="s">
        <v>15</v>
      </c>
      <c r="B25" s="1313">
        <v>929</v>
      </c>
      <c r="C25" s="326"/>
      <c r="D25" s="326"/>
      <c r="E25" s="326"/>
      <c r="F25" s="326"/>
    </row>
    <row r="26" spans="1:6">
      <c r="A26" s="1312" t="s">
        <v>16</v>
      </c>
      <c r="B26" s="1313">
        <v>80</v>
      </c>
      <c r="C26" s="326"/>
      <c r="D26" s="326"/>
      <c r="E26" s="326"/>
      <c r="F26" s="326"/>
    </row>
    <row r="27" spans="1:6">
      <c r="A27" s="1312" t="s">
        <v>17</v>
      </c>
      <c r="B27" s="1313">
        <v>0</v>
      </c>
      <c r="C27" s="326"/>
      <c r="D27" s="326"/>
      <c r="E27" s="326"/>
      <c r="F27" s="326"/>
    </row>
    <row r="28" spans="1:6" s="43" customFormat="1">
      <c r="A28" s="1314" t="s">
        <v>18</v>
      </c>
      <c r="B28" s="1315">
        <v>58953</v>
      </c>
      <c r="C28" s="332"/>
      <c r="D28" s="332"/>
      <c r="E28" s="332"/>
      <c r="F28" s="332"/>
    </row>
    <row r="29" spans="1:6">
      <c r="A29" s="1314" t="s">
        <v>684</v>
      </c>
      <c r="B29" s="1315">
        <v>136</v>
      </c>
      <c r="C29" s="332"/>
      <c r="D29" s="332"/>
      <c r="E29" s="332"/>
      <c r="F29" s="332"/>
    </row>
    <row r="30" spans="1:6">
      <c r="A30" s="1307" t="s">
        <v>685</v>
      </c>
      <c r="B30" s="1316">
        <v>50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1931.5290901023</v>
      </c>
      <c r="E36" s="1313">
        <v>4</v>
      </c>
      <c r="F36" s="1313">
        <v>50755.138045591601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2060</v>
      </c>
      <c r="D39" s="1313">
        <v>27844446.488106798</v>
      </c>
      <c r="E39" s="1313">
        <v>4637</v>
      </c>
      <c r="F39" s="1313">
        <v>18638851.937938102</v>
      </c>
    </row>
    <row r="40" spans="1:6">
      <c r="A40" s="1312" t="s">
        <v>29</v>
      </c>
      <c r="B40" s="1312" t="s">
        <v>28</v>
      </c>
      <c r="C40" s="1313">
        <v>0</v>
      </c>
      <c r="D40" s="1313">
        <v>0</v>
      </c>
      <c r="E40" s="1313">
        <v>1</v>
      </c>
      <c r="F40" s="1313">
        <v>26.268799919999999</v>
      </c>
    </row>
    <row r="41" spans="1:6">
      <c r="A41" s="1312" t="s">
        <v>31</v>
      </c>
      <c r="B41" s="1312" t="s">
        <v>32</v>
      </c>
      <c r="C41" s="1313">
        <v>56</v>
      </c>
      <c r="D41" s="1313">
        <v>4763912.5466304598</v>
      </c>
      <c r="E41" s="1313">
        <v>216</v>
      </c>
      <c r="F41" s="1313">
        <v>17277659.371815</v>
      </c>
    </row>
    <row r="42" spans="1:6">
      <c r="A42" s="1312" t="s">
        <v>31</v>
      </c>
      <c r="B42" s="1312" t="s">
        <v>33</v>
      </c>
      <c r="C42" s="1313">
        <v>0</v>
      </c>
      <c r="D42" s="1313">
        <v>0</v>
      </c>
      <c r="E42" s="1313">
        <v>4</v>
      </c>
      <c r="F42" s="1313">
        <v>3078059.8161617299</v>
      </c>
    </row>
    <row r="43" spans="1:6">
      <c r="A43" s="1312" t="s">
        <v>31</v>
      </c>
      <c r="B43" s="1312" t="s">
        <v>34</v>
      </c>
      <c r="C43" s="1313">
        <v>0</v>
      </c>
      <c r="D43" s="1313">
        <v>0</v>
      </c>
      <c r="E43" s="1313">
        <v>0</v>
      </c>
      <c r="F43" s="1313">
        <v>0</v>
      </c>
    </row>
    <row r="44" spans="1:6">
      <c r="A44" s="1312" t="s">
        <v>31</v>
      </c>
      <c r="B44" s="1312" t="s">
        <v>35</v>
      </c>
      <c r="C44" s="1313">
        <v>6</v>
      </c>
      <c r="D44" s="1313">
        <v>1464002.5152260701</v>
      </c>
      <c r="E44" s="1313">
        <v>20</v>
      </c>
      <c r="F44" s="1313">
        <v>1931980.3146540001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745179.17215062503</v>
      </c>
      <c r="E47" s="1313">
        <v>10</v>
      </c>
      <c r="F47" s="1313">
        <v>2452317.6205319399</v>
      </c>
    </row>
    <row r="48" spans="1:6">
      <c r="A48" s="1312" t="s">
        <v>31</v>
      </c>
      <c r="B48" s="1312" t="s">
        <v>28</v>
      </c>
      <c r="C48" s="1313">
        <v>3</v>
      </c>
      <c r="D48" s="1313">
        <v>304402.92013994377</v>
      </c>
      <c r="E48" s="1313">
        <v>2</v>
      </c>
      <c r="F48" s="1313">
        <v>179237.370338648</v>
      </c>
    </row>
    <row r="49" spans="1:6">
      <c r="A49" s="1312" t="s">
        <v>31</v>
      </c>
      <c r="B49" s="1312" t="s">
        <v>39</v>
      </c>
      <c r="C49" s="1313">
        <v>3</v>
      </c>
      <c r="D49" s="1313">
        <v>126582.170664283</v>
      </c>
      <c r="E49" s="1313">
        <v>6</v>
      </c>
      <c r="F49" s="1313">
        <v>46277.518340819202</v>
      </c>
    </row>
    <row r="50" spans="1:6">
      <c r="A50" s="1312" t="s">
        <v>31</v>
      </c>
      <c r="B50" s="1312" t="s">
        <v>40</v>
      </c>
      <c r="C50" s="1313">
        <v>5</v>
      </c>
      <c r="D50" s="1313">
        <v>61509750.377306901</v>
      </c>
      <c r="E50" s="1313">
        <v>12</v>
      </c>
      <c r="F50" s="1313">
        <v>37997573.513057597</v>
      </c>
    </row>
    <row r="51" spans="1:6">
      <c r="A51" s="1312" t="s">
        <v>41</v>
      </c>
      <c r="B51" s="1312" t="s">
        <v>42</v>
      </c>
      <c r="C51" s="1313">
        <v>14</v>
      </c>
      <c r="D51" s="1313">
        <v>4343212.9821895696</v>
      </c>
      <c r="E51" s="1313">
        <v>98</v>
      </c>
      <c r="F51" s="1313">
        <v>1616033.54592063</v>
      </c>
    </row>
    <row r="52" spans="1:6">
      <c r="A52" s="1312" t="s">
        <v>41</v>
      </c>
      <c r="B52" s="1312" t="s">
        <v>28</v>
      </c>
      <c r="C52" s="1313">
        <v>0</v>
      </c>
      <c r="D52" s="1313">
        <v>0</v>
      </c>
      <c r="E52" s="1313">
        <v>0</v>
      </c>
      <c r="F52" s="1313">
        <v>0</v>
      </c>
    </row>
    <row r="53" spans="1:6">
      <c r="A53" s="1312" t="s">
        <v>43</v>
      </c>
      <c r="B53" s="1312" t="s">
        <v>44</v>
      </c>
      <c r="C53" s="1313">
        <v>46</v>
      </c>
      <c r="D53" s="1313">
        <v>672889.25043734803</v>
      </c>
      <c r="E53" s="1313">
        <v>144</v>
      </c>
      <c r="F53" s="1313">
        <v>561738.40632074606</v>
      </c>
    </row>
    <row r="54" spans="1:6">
      <c r="A54" s="1312" t="s">
        <v>45</v>
      </c>
      <c r="B54" s="1312" t="s">
        <v>46</v>
      </c>
      <c r="C54" s="1313">
        <v>0</v>
      </c>
      <c r="D54" s="1313">
        <v>0</v>
      </c>
      <c r="E54" s="1313">
        <v>1</v>
      </c>
      <c r="F54" s="1313">
        <v>836734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22</v>
      </c>
      <c r="D57" s="1313">
        <v>2088269.8078532501</v>
      </c>
      <c r="E57" s="1313">
        <v>83</v>
      </c>
      <c r="F57" s="1313">
        <v>1327302.0566120399</v>
      </c>
    </row>
    <row r="58" spans="1:6">
      <c r="A58" s="1312" t="s">
        <v>48</v>
      </c>
      <c r="B58" s="1312" t="s">
        <v>50</v>
      </c>
      <c r="C58" s="1313">
        <v>15</v>
      </c>
      <c r="D58" s="1313">
        <v>3297361.0826811702</v>
      </c>
      <c r="E58" s="1313">
        <v>44</v>
      </c>
      <c r="F58" s="1313">
        <v>1999649.5317123299</v>
      </c>
    </row>
    <row r="59" spans="1:6">
      <c r="A59" s="1312" t="s">
        <v>48</v>
      </c>
      <c r="B59" s="1312" t="s">
        <v>51</v>
      </c>
      <c r="C59" s="1313">
        <v>72</v>
      </c>
      <c r="D59" s="1313">
        <v>9366229.4463024996</v>
      </c>
      <c r="E59" s="1313">
        <v>228</v>
      </c>
      <c r="F59" s="1313">
        <v>16966963.850400601</v>
      </c>
    </row>
    <row r="60" spans="1:6">
      <c r="A60" s="1312" t="s">
        <v>48</v>
      </c>
      <c r="B60" s="1312" t="s">
        <v>52</v>
      </c>
      <c r="C60" s="1313">
        <v>27</v>
      </c>
      <c r="D60" s="1313">
        <v>1146167.03474538</v>
      </c>
      <c r="E60" s="1313">
        <v>45</v>
      </c>
      <c r="F60" s="1313">
        <v>1554816.0918665701</v>
      </c>
    </row>
    <row r="61" spans="1:6">
      <c r="A61" s="1312" t="s">
        <v>48</v>
      </c>
      <c r="B61" s="1312" t="s">
        <v>53</v>
      </c>
      <c r="C61" s="1313">
        <v>136</v>
      </c>
      <c r="D61" s="1313">
        <v>5773535.5196739901</v>
      </c>
      <c r="E61" s="1313">
        <v>378</v>
      </c>
      <c r="F61" s="1313">
        <v>11520640.9570655</v>
      </c>
    </row>
    <row r="62" spans="1:6">
      <c r="A62" s="1312" t="s">
        <v>48</v>
      </c>
      <c r="B62" s="1312" t="s">
        <v>54</v>
      </c>
      <c r="C62" s="1313">
        <v>6</v>
      </c>
      <c r="D62" s="1313">
        <v>403066.98530433601</v>
      </c>
      <c r="E62" s="1313">
        <v>12</v>
      </c>
      <c r="F62" s="1313">
        <v>73047.772964808304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6</v>
      </c>
      <c r="F66" s="1313">
        <v>357974.27310439298</v>
      </c>
    </row>
    <row r="67" spans="1:6">
      <c r="A67" s="1314" t="s">
        <v>55</v>
      </c>
      <c r="B67" s="1314" t="s">
        <v>58</v>
      </c>
      <c r="C67" s="1313">
        <v>0</v>
      </c>
      <c r="D67" s="1313">
        <v>0</v>
      </c>
      <c r="E67" s="1313">
        <v>0</v>
      </c>
      <c r="F67" s="1313">
        <v>0</v>
      </c>
    </row>
    <row r="68" spans="1:6">
      <c r="A68" s="1307" t="s">
        <v>55</v>
      </c>
      <c r="B68" s="1307" t="s">
        <v>59</v>
      </c>
      <c r="C68" s="1316">
        <v>6</v>
      </c>
      <c r="D68" s="1316">
        <v>265538.73567921098</v>
      </c>
      <c r="E68" s="1316">
        <v>18</v>
      </c>
      <c r="F68" s="1316">
        <v>2081549.83807115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88920670</v>
      </c>
      <c r="E73" s="447"/>
      <c r="F73" s="326"/>
    </row>
    <row r="74" spans="1:6">
      <c r="A74" s="1312" t="s">
        <v>63</v>
      </c>
      <c r="B74" s="1312" t="s">
        <v>638</v>
      </c>
      <c r="C74" s="1326" t="s">
        <v>640</v>
      </c>
      <c r="D74" s="1327">
        <v>12134445.746656531</v>
      </c>
      <c r="E74" s="447"/>
      <c r="F74" s="326"/>
    </row>
    <row r="75" spans="1:6">
      <c r="A75" s="1312" t="s">
        <v>64</v>
      </c>
      <c r="B75" s="1312" t="s">
        <v>637</v>
      </c>
      <c r="C75" s="1326" t="s">
        <v>641</v>
      </c>
      <c r="D75" s="1327">
        <v>21831727</v>
      </c>
      <c r="E75" s="447"/>
      <c r="F75" s="326"/>
    </row>
    <row r="76" spans="1:6">
      <c r="A76" s="1312" t="s">
        <v>64</v>
      </c>
      <c r="B76" s="1312" t="s">
        <v>638</v>
      </c>
      <c r="C76" s="1326" t="s">
        <v>642</v>
      </c>
      <c r="D76" s="1327">
        <v>2239002.7466565319</v>
      </c>
      <c r="E76" s="447"/>
      <c r="F76" s="326"/>
    </row>
    <row r="77" spans="1:6">
      <c r="A77" s="1312" t="s">
        <v>65</v>
      </c>
      <c r="B77" s="1312" t="s">
        <v>637</v>
      </c>
      <c r="C77" s="1326" t="s">
        <v>643</v>
      </c>
      <c r="D77" s="1327">
        <v>199950109</v>
      </c>
      <c r="E77" s="447"/>
      <c r="F77" s="326"/>
    </row>
    <row r="78" spans="1:6">
      <c r="A78" s="1307" t="s">
        <v>65</v>
      </c>
      <c r="B78" s="1307" t="s">
        <v>638</v>
      </c>
      <c r="C78" s="1307" t="s">
        <v>644</v>
      </c>
      <c r="D78" s="1328">
        <v>52918449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196542.50668693599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4338.7562492495772</v>
      </c>
      <c r="C91" s="326"/>
      <c r="D91" s="326"/>
      <c r="E91" s="326"/>
      <c r="F91" s="326"/>
    </row>
    <row r="92" spans="1:6">
      <c r="A92" s="1307" t="s">
        <v>68</v>
      </c>
      <c r="B92" s="1308">
        <v>3825.4020245991596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273</v>
      </c>
      <c r="C97" s="326"/>
      <c r="D97" s="326"/>
      <c r="E97" s="326"/>
      <c r="F97" s="326"/>
    </row>
    <row r="98" spans="1:6">
      <c r="A98" s="1312" t="s">
        <v>71</v>
      </c>
      <c r="B98" s="1313">
        <v>0</v>
      </c>
      <c r="C98" s="326"/>
      <c r="D98" s="326"/>
      <c r="E98" s="326"/>
      <c r="F98" s="326"/>
    </row>
    <row r="99" spans="1:6">
      <c r="A99" s="1312" t="s">
        <v>72</v>
      </c>
      <c r="B99" s="1313">
        <v>63</v>
      </c>
      <c r="C99" s="326"/>
      <c r="D99" s="326"/>
      <c r="E99" s="326"/>
      <c r="F99" s="326"/>
    </row>
    <row r="100" spans="1:6">
      <c r="A100" s="1312" t="s">
        <v>73</v>
      </c>
      <c r="B100" s="1313">
        <v>633</v>
      </c>
      <c r="C100" s="326"/>
      <c r="D100" s="326"/>
      <c r="E100" s="326"/>
      <c r="F100" s="326"/>
    </row>
    <row r="101" spans="1:6">
      <c r="A101" s="1312" t="s">
        <v>74</v>
      </c>
      <c r="B101" s="1313">
        <v>90</v>
      </c>
      <c r="C101" s="326"/>
      <c r="D101" s="326"/>
      <c r="E101" s="326"/>
      <c r="F101" s="326"/>
    </row>
    <row r="102" spans="1:6">
      <c r="A102" s="1312" t="s">
        <v>75</v>
      </c>
      <c r="B102" s="1313">
        <v>66</v>
      </c>
      <c r="C102" s="326"/>
      <c r="D102" s="326"/>
      <c r="E102" s="326"/>
      <c r="F102" s="326"/>
    </row>
    <row r="103" spans="1:6">
      <c r="A103" s="1312" t="s">
        <v>76</v>
      </c>
      <c r="B103" s="1313">
        <v>140</v>
      </c>
      <c r="C103" s="326"/>
      <c r="D103" s="326"/>
      <c r="E103" s="326"/>
      <c r="F103" s="326"/>
    </row>
    <row r="104" spans="1:6">
      <c r="A104" s="1312" t="s">
        <v>77</v>
      </c>
      <c r="B104" s="1313">
        <v>2713</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62</v>
      </c>
      <c r="C123" s="1313">
        <v>25</v>
      </c>
      <c r="D123" s="326"/>
      <c r="E123" s="326"/>
      <c r="F123" s="326"/>
    </row>
    <row r="124" spans="1:6" s="43" customFormat="1">
      <c r="A124" s="1314" t="s">
        <v>88</v>
      </c>
      <c r="B124" s="1335">
        <v>0</v>
      </c>
      <c r="C124" s="1335">
        <v>2</v>
      </c>
      <c r="D124" s="332"/>
      <c r="E124" s="332"/>
      <c r="F124" s="332"/>
    </row>
    <row r="125" spans="1:6">
      <c r="A125" s="1307" t="s">
        <v>786</v>
      </c>
      <c r="B125" s="1335">
        <v>0</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199</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123459.26369238656</v>
      </c>
      <c r="C3" s="43" t="s">
        <v>169</v>
      </c>
      <c r="D3" s="43"/>
      <c r="E3" s="154"/>
      <c r="F3" s="43"/>
      <c r="G3" s="43"/>
      <c r="H3" s="43"/>
      <c r="I3" s="43"/>
      <c r="J3" s="43"/>
      <c r="K3" s="96"/>
    </row>
    <row r="4" spans="1:11">
      <c r="A4" s="354" t="s">
        <v>170</v>
      </c>
      <c r="B4" s="49">
        <f>IF(ISERROR('SEAP template'!B78+'SEAP template'!C78),0,'SEAP template'!B78+'SEAP template'!C78)</f>
        <v>8524.1582738487377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85.552941176470597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0.20643417493704852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122.21848739495802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514.28571428571433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836.73400000000004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836.73400000000004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0.20643417493704852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172.73049293177635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18638.87820673802</v>
      </c>
      <c r="C5" s="17">
        <f>IF(ISERROR('Eigen informatie GS &amp; warmtenet'!B59),0,'Eigen informatie GS &amp; warmtenet'!B59)</f>
        <v>0</v>
      </c>
      <c r="D5" s="30">
        <f>(SUM(HH_hh_gas_kWh,HH_rest_gas_kWh)/1000)*0.903</f>
        <v>25143.535178760438</v>
      </c>
      <c r="E5" s="17">
        <f>B32*B41</f>
        <v>1758.9483944806018</v>
      </c>
      <c r="F5" s="17">
        <f>B36*B45</f>
        <v>38532.588177874968</v>
      </c>
      <c r="G5" s="18"/>
      <c r="H5" s="17"/>
      <c r="I5" s="17"/>
      <c r="J5" s="17">
        <f>B35*B44+C35*C44</f>
        <v>219.60143447969341</v>
      </c>
      <c r="K5" s="17"/>
      <c r="L5" s="17"/>
      <c r="M5" s="17"/>
      <c r="N5" s="17">
        <f>B34*B43+C34*C43</f>
        <v>6816.2817009103046</v>
      </c>
      <c r="O5" s="17">
        <f>B52*B53*B54</f>
        <v>448.37455758146922</v>
      </c>
      <c r="P5" s="17">
        <f>B60*B61*B62/1000-B60*B61*B62/1000/B63</f>
        <v>905.92050046091197</v>
      </c>
    </row>
    <row r="6" spans="1:16">
      <c r="A6" s="16" t="s">
        <v>603</v>
      </c>
      <c r="B6" s="780">
        <f>kWh_PV_kleiner_dan_10kW</f>
        <v>4338.7562492495772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22977.634455987598</v>
      </c>
      <c r="C8" s="21">
        <f>C5</f>
        <v>0</v>
      </c>
      <c r="D8" s="21">
        <f>D5</f>
        <v>25143.535178760438</v>
      </c>
      <c r="E8" s="21">
        <f>E5</f>
        <v>1758.9483944806018</v>
      </c>
      <c r="F8" s="21">
        <f>F5</f>
        <v>38532.588177874968</v>
      </c>
      <c r="G8" s="21"/>
      <c r="H8" s="21"/>
      <c r="I8" s="21"/>
      <c r="J8" s="21">
        <f>J5</f>
        <v>219.60143447969341</v>
      </c>
      <c r="K8" s="21"/>
      <c r="L8" s="21">
        <f>L5</f>
        <v>0</v>
      </c>
      <c r="M8" s="21">
        <f>M5</f>
        <v>0</v>
      </c>
      <c r="N8" s="21">
        <f>N5</f>
        <v>6816.2817009103046</v>
      </c>
      <c r="O8" s="21">
        <f>O5</f>
        <v>448.37455758146922</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0.20643417493704852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4743.3690109268973</v>
      </c>
      <c r="C12" s="23">
        <f ca="1">C10*C8</f>
        <v>0</v>
      </c>
      <c r="D12" s="23">
        <f>D8*D10</f>
        <v>5078.9941061096088</v>
      </c>
      <c r="E12" s="23">
        <f>E10*E8</f>
        <v>399.28128554709662</v>
      </c>
      <c r="F12" s="23">
        <f>F10*F8</f>
        <v>10288.201043492618</v>
      </c>
      <c r="G12" s="23"/>
      <c r="H12" s="23"/>
      <c r="I12" s="23"/>
      <c r="J12" s="23">
        <f>J10*J8</f>
        <v>77.738907805811465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4814</v>
      </c>
      <c r="C26" s="36"/>
      <c r="D26" s="225"/>
    </row>
    <row r="27" spans="1:5" s="15" customFormat="1">
      <c r="A27" s="227" t="s">
        <v>866</v>
      </c>
      <c r="B27" s="37">
        <f>SUM(HH_hh_gas_aantal,HH_rest_gas_aantal)</f>
        <v>2060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1957</v>
      </c>
      <c r="C31" s="34" t="s">
        <v>110</v>
      </c>
      <c r="D31" s="171"/>
    </row>
    <row r="32" spans="1:5">
      <c r="A32" s="168" t="s">
        <v>72</v>
      </c>
      <c r="B32" s="33">
        <f>IF((B21*($B$26-($B$27-0.05*$B$27)-$B$60))&lt;0,0,(B21*($B$26-($B$27-0.05*$B$27)-$B$60)))</f>
        <v>43.990175580893045</v>
      </c>
      <c r="C32" s="34" t="s">
        <v>110</v>
      </c>
      <c r="D32" s="171"/>
    </row>
    <row r="33" spans="1:6">
      <c r="A33" s="168" t="s">
        <v>73</v>
      </c>
      <c r="B33" s="33">
        <f>IF((B22*($B$26-($B$27-0.05*$B$27)-$B$60))&lt;0,0,B22*($B$26-($B$27-0.05*$B$27)-$B$60))</f>
        <v>714.31332793470733</v>
      </c>
      <c r="C33" s="34" t="s">
        <v>110</v>
      </c>
      <c r="D33" s="171"/>
    </row>
    <row r="34" spans="1:6">
      <c r="A34" s="168" t="s">
        <v>74</v>
      </c>
      <c r="B34" s="33">
        <f>IF((B24*($B$26-($B$27-0.05*$B$27)-$B$60))&lt;0,0,B24*($B$26-($B$27-0.05*$B$27)-$B$60))</f>
        <v>136.9434242375477</v>
      </c>
      <c r="C34" s="33">
        <f>B26*C24</f>
        <v>986.41719422870369</v>
      </c>
      <c r="D34" s="230"/>
    </row>
    <row r="35" spans="1:6">
      <c r="A35" s="168" t="s">
        <v>76</v>
      </c>
      <c r="B35" s="33">
        <f>IF((B19*($B$26-($B$27-0.05*$B$27)-$B$60))&lt;0,0,B19*($B$26-($B$27-0.05*$B$27)-$B$60))</f>
        <v>19.122424449565035</v>
      </c>
      <c r="C35" s="33">
        <f>B35/2</f>
        <v>9.5612122247825173</v>
      </c>
      <c r="D35" s="230"/>
    </row>
    <row r="36" spans="1:6">
      <c r="A36" s="168" t="s">
        <v>77</v>
      </c>
      <c r="B36" s="33">
        <f>IF((B18*($B$26-($B$27-0.05*$B$27)-$B$60))&lt;0,0,B18*($B$26-($B$27-0.05*$B$27)-$B$60))</f>
        <v>1856.6306477972864</v>
      </c>
      <c r="C36" s="34" t="s">
        <v>110</v>
      </c>
      <c r="D36" s="171"/>
    </row>
    <row r="37" spans="1:6">
      <c r="A37" s="168" t="s">
        <v>78</v>
      </c>
      <c r="B37" s="33">
        <f>B60</f>
        <v>86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33442.420260621853</v>
      </c>
      <c r="C5" s="17">
        <f>IF(ISERROR('Eigen informatie GS &amp; warmtenet'!B60),0,'Eigen informatie GS &amp; warmtenet'!B60)</f>
        <v>0</v>
      </c>
      <c r="D5" s="30">
        <f>SUM(D6:D12)</f>
        <v>19933.390778534245</v>
      </c>
      <c r="E5" s="17">
        <f>SUM(E6:E12)</f>
        <v>155.58021339633194</v>
      </c>
      <c r="F5" s="17">
        <f>SUM(F6:F12)</f>
        <v>4215.417473910853</v>
      </c>
      <c r="G5" s="18"/>
      <c r="H5" s="17"/>
      <c r="I5" s="17"/>
      <c r="J5" s="17">
        <f>SUM(J6:J12)</f>
        <v>1.3424561452667275E-2</v>
      </c>
      <c r="K5" s="17"/>
      <c r="L5" s="17"/>
      <c r="M5" s="17"/>
      <c r="N5" s="17">
        <f>SUM(N6:N12)</f>
        <v>544.63289122072001</v>
      </c>
      <c r="O5" s="17">
        <f>B38*B39*B40</f>
        <v>9.7945215316823084</v>
      </c>
      <c r="P5" s="17">
        <f>B46*B47*B48/1000-B46*B47*B48/1000/B49</f>
        <v>157.61741491948504</v>
      </c>
      <c r="R5" s="32"/>
    </row>
    <row r="6" spans="1:18">
      <c r="A6" s="32" t="s">
        <v>53</v>
      </c>
      <c r="B6" s="37">
        <f>B26</f>
        <v>11520.6409570655</v>
      </c>
      <c r="C6" s="33"/>
      <c r="D6" s="37">
        <f>IF(ISERROR(TER_kantoor_gas_kWh/1000),0,TER_kantoor_gas_kWh/1000)*0.903</f>
        <v>5213.5025742656135</v>
      </c>
      <c r="E6" s="33">
        <f>$C$26*'E Balans VL '!I12/100/3.6*1000000</f>
        <v>2.7450291728894185</v>
      </c>
      <c r="F6" s="33">
        <f>$C$26*('E Balans VL '!L12+'E Balans VL '!N12)/100/3.6*1000000</f>
        <v>1000.6805250359487</v>
      </c>
      <c r="G6" s="34"/>
      <c r="H6" s="33"/>
      <c r="I6" s="33"/>
      <c r="J6" s="33">
        <f>$C$26*('E Balans VL '!D12+'E Balans VL '!E12)/100/3.6*1000000</f>
        <v>0</v>
      </c>
      <c r="K6" s="33"/>
      <c r="L6" s="33"/>
      <c r="M6" s="33"/>
      <c r="N6" s="33">
        <f>$C$26*'E Balans VL '!Y12/100/3.6*1000000</f>
        <v>15.398948379081132</v>
      </c>
      <c r="O6" s="33"/>
      <c r="P6" s="33"/>
      <c r="R6" s="32"/>
    </row>
    <row r="7" spans="1:18">
      <c r="A7" s="32" t="s">
        <v>52</v>
      </c>
      <c r="B7" s="37">
        <f t="shared" ref="B7:B12" si="0">B27</f>
        <v>1554.8160918665701</v>
      </c>
      <c r="C7" s="33"/>
      <c r="D7" s="37">
        <f>IF(ISERROR(TER_horeca_gas_kWh/1000),0,TER_horeca_gas_kWh/1000)*0.903</f>
        <v>1034.9888323750783</v>
      </c>
      <c r="E7" s="33">
        <f>$C$27*'E Balans VL '!I9/100/3.6*1000000</f>
        <v>0</v>
      </c>
      <c r="F7" s="33">
        <f>$C$27*('E Balans VL '!L9+'E Balans VL '!N9)/100/3.6*1000000</f>
        <v>126.68937333530644</v>
      </c>
      <c r="G7" s="34"/>
      <c r="H7" s="33"/>
      <c r="I7" s="33"/>
      <c r="J7" s="33">
        <f>$C$27*('E Balans VL '!D9+'E Balans VL '!E9)/100/3.6*1000000</f>
        <v>0</v>
      </c>
      <c r="K7" s="33"/>
      <c r="L7" s="33"/>
      <c r="M7" s="33"/>
      <c r="N7" s="33">
        <f>$C$27*'E Balans VL '!Y9/100/3.6*1000000</f>
        <v>0.43065511089047076</v>
      </c>
      <c r="O7" s="33"/>
      <c r="P7" s="33"/>
      <c r="R7" s="32"/>
    </row>
    <row r="8" spans="1:18">
      <c r="A8" s="6" t="s">
        <v>51</v>
      </c>
      <c r="B8" s="37">
        <f t="shared" si="0"/>
        <v>16966.9638504006</v>
      </c>
      <c r="C8" s="33"/>
      <c r="D8" s="37">
        <f>IF(ISERROR(TER_handel_gas_kWh/1000),0,TER_handel_gas_kWh/1000)*0.903</f>
        <v>8457.7051900111564</v>
      </c>
      <c r="E8" s="33">
        <f>$C$28*'E Balans VL '!I13/100/3.6*1000000</f>
        <v>135.62736992881182</v>
      </c>
      <c r="F8" s="33">
        <f>$C$28*('E Balans VL '!L13+'E Balans VL '!N13)/100/3.6*1000000</f>
        <v>1685.5623857362143</v>
      </c>
      <c r="G8" s="34"/>
      <c r="H8" s="33"/>
      <c r="I8" s="33"/>
      <c r="J8" s="33">
        <f>$C$28*('E Balans VL '!D13+'E Balans VL '!E13)/100/3.6*1000000</f>
        <v>0</v>
      </c>
      <c r="K8" s="33"/>
      <c r="L8" s="33"/>
      <c r="M8" s="33"/>
      <c r="N8" s="33">
        <f>$C$28*'E Balans VL '!Y13/100/3.6*1000000</f>
        <v>6.3381709390381991</v>
      </c>
      <c r="O8" s="33"/>
      <c r="P8" s="33"/>
      <c r="R8" s="32"/>
    </row>
    <row r="9" spans="1:18">
      <c r="A9" s="32" t="s">
        <v>50</v>
      </c>
      <c r="B9" s="37">
        <f t="shared" si="0"/>
        <v>1999.6495317123299</v>
      </c>
      <c r="C9" s="33"/>
      <c r="D9" s="37">
        <f>IF(ISERROR(TER_gezond_gas_kWh/1000),0,TER_gezond_gas_kWh/1000)*0.903</f>
        <v>2977.5170576610967</v>
      </c>
      <c r="E9" s="33">
        <f>$C$29*'E Balans VL '!I10/100/3.6*1000000</f>
        <v>0</v>
      </c>
      <c r="F9" s="33">
        <f>$C$29*('E Balans VL '!L10+'E Balans VL '!N10)/100/3.6*1000000</f>
        <v>182.30064049776129</v>
      </c>
      <c r="G9" s="34"/>
      <c r="H9" s="33"/>
      <c r="I9" s="33"/>
      <c r="J9" s="33">
        <f>$C$29*('E Balans VL '!D10+'E Balans VL '!E10)/100/3.6*1000000</f>
        <v>0</v>
      </c>
      <c r="K9" s="33"/>
      <c r="L9" s="33"/>
      <c r="M9" s="33"/>
      <c r="N9" s="33">
        <f>$C$29*'E Balans VL '!Y10/100/3.6*1000000</f>
        <v>14.615646070805326</v>
      </c>
      <c r="O9" s="33"/>
      <c r="P9" s="33"/>
      <c r="R9" s="32"/>
    </row>
    <row r="10" spans="1:18">
      <c r="A10" s="32" t="s">
        <v>49</v>
      </c>
      <c r="B10" s="37">
        <f t="shared" si="0"/>
        <v>1327.3020566120399</v>
      </c>
      <c r="C10" s="33"/>
      <c r="D10" s="37">
        <f>IF(ISERROR(TER_ander_gas_kWh/1000),0,TER_ander_gas_kWh/1000)*0.903</f>
        <v>1885.7076364914847</v>
      </c>
      <c r="E10" s="33">
        <f>$C$30*'E Balans VL '!I14/100/3.6*1000000</f>
        <v>17.207814294630719</v>
      </c>
      <c r="F10" s="33">
        <f>$C$30*('E Balans VL '!L14+'E Balans VL '!N14)/100/3.6*1000000</f>
        <v>1217.3223426603834</v>
      </c>
      <c r="G10" s="34"/>
      <c r="H10" s="33"/>
      <c r="I10" s="33"/>
      <c r="J10" s="33">
        <f>$C$30*('E Balans VL '!D14+'E Balans VL '!E14)/100/3.6*1000000</f>
        <v>1.3424561452667275E-2</v>
      </c>
      <c r="K10" s="33"/>
      <c r="L10" s="33"/>
      <c r="M10" s="33"/>
      <c r="N10" s="33">
        <f>$C$30*'E Balans VL '!Y14/100/3.6*1000000</f>
        <v>507.61942523571901</v>
      </c>
      <c r="O10" s="33"/>
      <c r="P10" s="33"/>
      <c r="R10" s="32"/>
    </row>
    <row r="11" spans="1:18">
      <c r="A11" s="32" t="s">
        <v>54</v>
      </c>
      <c r="B11" s="37">
        <f t="shared" si="0"/>
        <v>73.047772964808303</v>
      </c>
      <c r="C11" s="33"/>
      <c r="D11" s="37">
        <f>IF(ISERROR(TER_onderwijs_gas_kWh/1000),0,TER_onderwijs_gas_kWh/1000)*0.903</f>
        <v>363.96948772981546</v>
      </c>
      <c r="E11" s="33">
        <f>$C$31*'E Balans VL '!I11/100/3.6*1000000</f>
        <v>0</v>
      </c>
      <c r="F11" s="33">
        <f>$C$31*('E Balans VL '!L11+'E Balans VL '!N11)/100/3.6*1000000</f>
        <v>2.8622066452391457</v>
      </c>
      <c r="G11" s="34"/>
      <c r="H11" s="33"/>
      <c r="I11" s="33"/>
      <c r="J11" s="33">
        <f>$C$31*('E Balans VL '!D11+'E Balans VL '!E11)/100/3.6*1000000</f>
        <v>0</v>
      </c>
      <c r="K11" s="33"/>
      <c r="L11" s="33"/>
      <c r="M11" s="33"/>
      <c r="N11" s="33">
        <f>$C$31*'E Balans VL '!Y11/100/3.6*1000000</f>
        <v>0.2300454851859097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360</v>
      </c>
      <c r="C13" s="243">
        <f ca="1">'lokale energieproductie'!O39+'lokale energieproductie'!O32</f>
        <v>514.28571428571433</v>
      </c>
      <c r="D13" s="304">
        <f ca="1">('lokale energieproductie'!P32+'lokale energieproductie'!P39)*(-1)</f>
        <v>-1028.5714285714287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33802.420260621853</v>
      </c>
      <c r="C16" s="21">
        <f t="shared" ca="1" si="1"/>
        <v>514.28571428571433</v>
      </c>
      <c r="D16" s="21">
        <f t="shared" ca="1" si="1"/>
        <v>18904.819349962818</v>
      </c>
      <c r="E16" s="21">
        <f t="shared" si="1"/>
        <v>155.58021339633194</v>
      </c>
      <c r="F16" s="21">
        <f t="shared" ca="1" si="1"/>
        <v>4215.417473910853</v>
      </c>
      <c r="G16" s="21">
        <f t="shared" si="1"/>
        <v>0</v>
      </c>
      <c r="H16" s="21">
        <f t="shared" si="1"/>
        <v>0</v>
      </c>
      <c r="I16" s="21">
        <f t="shared" si="1"/>
        <v>0</v>
      </c>
      <c r="J16" s="21">
        <f t="shared" si="1"/>
        <v>1.3424561452667275E-2</v>
      </c>
      <c r="K16" s="21">
        <f t="shared" si="1"/>
        <v>0</v>
      </c>
      <c r="L16" s="21">
        <f t="shared" ca="1" si="1"/>
        <v>0</v>
      </c>
      <c r="M16" s="21">
        <f t="shared" si="1"/>
        <v>0</v>
      </c>
      <c r="N16" s="21">
        <f t="shared" ca="1" si="1"/>
        <v>544.63289122072001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0.20643417493704852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6977.974737376845</v>
      </c>
      <c r="C20" s="23">
        <f t="shared" ref="C20:P20" ca="1" si="2">C16*C18</f>
        <v>122.21848739495802</v>
      </c>
      <c r="D20" s="23">
        <f t="shared" ca="1" si="2"/>
        <v>3818.7735086924895</v>
      </c>
      <c r="E20" s="23">
        <f t="shared" si="2"/>
        <v>35.316708440967354</v>
      </c>
      <c r="F20" s="23">
        <f t="shared" ca="1" si="2"/>
        <v>1125.5164655341978</v>
      </c>
      <c r="G20" s="23">
        <f t="shared" si="2"/>
        <v>0</v>
      </c>
      <c r="H20" s="23">
        <f t="shared" si="2"/>
        <v>0</v>
      </c>
      <c r="I20" s="23">
        <f t="shared" si="2"/>
        <v>0</v>
      </c>
      <c r="J20" s="23">
        <f t="shared" si="2"/>
        <v>4.7522947542442155E-3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11520.6409570655</v>
      </c>
      <c r="C26" s="39">
        <f>IF(ISERROR(B26*3.6/1000000/'E Balans VL '!Z12*100),0,B26*3.6/1000000/'E Balans VL '!Z12*100)</f>
        <v>0.3305261049070668</v>
      </c>
      <c r="D26" s="233" t="s">
        <v>841</v>
      </c>
      <c r="F26" s="6"/>
    </row>
    <row r="27" spans="1:18" ht="30">
      <c r="A27" s="228" t="s">
        <v>52</v>
      </c>
      <c r="B27" s="33">
        <f>IF(ISERROR(TER_horeca_ele_kWh/1000),0,TER_horeca_ele_kWh/1000)</f>
        <v>1554.8160918665701</v>
      </c>
      <c r="C27" s="39">
        <f>IF(ISERROR(B27*3.6/1000000/'E Balans VL '!Z9*100),0,B27*3.6/1000000/'E Balans VL '!Z9*100)</f>
        <v>0.1139063773503308</v>
      </c>
      <c r="D27" s="233" t="s">
        <v>841</v>
      </c>
      <c r="F27" s="6"/>
    </row>
    <row r="28" spans="1:18" ht="30">
      <c r="A28" s="168" t="s">
        <v>51</v>
      </c>
      <c r="B28" s="33">
        <f>IF(ISERROR(TER_handel_ele_kWh/1000),0,TER_handel_ele_kWh/1000)</f>
        <v>16966.9638504006</v>
      </c>
      <c r="C28" s="39">
        <f>IF(ISERROR(B28*3.6/1000000/'E Balans VL '!Z13*100),0,B28*3.6/1000000/'E Balans VL '!Z13*100)</f>
        <v>0.52429349378571788</v>
      </c>
      <c r="D28" s="233" t="s">
        <v>841</v>
      </c>
      <c r="F28" s="6"/>
    </row>
    <row r="29" spans="1:18" ht="30">
      <c r="A29" s="228" t="s">
        <v>50</v>
      </c>
      <c r="B29" s="33">
        <f>IF(ISERROR(TER_gezond_ele_kWh/1000),0,TER_gezond_ele_kWh/1000)</f>
        <v>1999.6495317123299</v>
      </c>
      <c r="C29" s="39">
        <f>IF(ISERROR(B29*3.6/1000000/'E Balans VL '!Z10*100),0,B29*3.6/1000000/'E Balans VL '!Z10*100)</f>
        <v>0.1959779498627921</v>
      </c>
      <c r="D29" s="233" t="s">
        <v>841</v>
      </c>
      <c r="F29" s="6"/>
    </row>
    <row r="30" spans="1:18" ht="30">
      <c r="A30" s="228" t="s">
        <v>49</v>
      </c>
      <c r="B30" s="33">
        <f>IF(ISERROR(TER_ander_ele_kWh/1000),0,TER_ander_ele_kWh/1000)</f>
        <v>1327.3020566120399</v>
      </c>
      <c r="C30" s="39">
        <f>IF(ISERROR(B30*3.6/1000000/'E Balans VL '!Z14*100),0,B30*3.6/1000000/'E Balans VL '!Z14*100)</f>
        <v>5.4981139055292595E-2</v>
      </c>
      <c r="D30" s="233" t="s">
        <v>841</v>
      </c>
      <c r="F30" s="6"/>
    </row>
    <row r="31" spans="1:18" ht="30">
      <c r="A31" s="228" t="s">
        <v>54</v>
      </c>
      <c r="B31" s="33">
        <f>IF(ISERROR(TER_onderwijs_ele_kWh/1000),0,TER_onderwijs_ele_kWh/1000)</f>
        <v>73.047772964808303</v>
      </c>
      <c r="C31" s="39">
        <f>IF(ISERROR(B31*3.6/1000000/'E Balans VL '!Z11*100),0,B31*3.6/1000000/'E Balans VL '!Z11*100)</f>
        <v>2.2445359788396062E-2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62963.105524899729</v>
      </c>
      <c r="C5" s="17">
        <f>IF(ISERROR('Eigen informatie GS &amp; warmtenet'!B61),0,'Eigen informatie GS &amp; warmtenet'!B61)</f>
        <v>0</v>
      </c>
      <c r="D5" s="30">
        <f>SUM(D6:D15)</f>
        <v>62229.18822101281</v>
      </c>
      <c r="E5" s="17">
        <f>SUM(E6:E15)</f>
        <v>799.34627859781733</v>
      </c>
      <c r="F5" s="17">
        <f>SUM(F6:F15)</f>
        <v>12085.706463676135</v>
      </c>
      <c r="G5" s="18"/>
      <c r="H5" s="17"/>
      <c r="I5" s="17"/>
      <c r="J5" s="17">
        <f>SUM(J6:J15)</f>
        <v>3.0407838868787289</v>
      </c>
      <c r="K5" s="17"/>
      <c r="L5" s="17"/>
      <c r="M5" s="17"/>
      <c r="N5" s="17">
        <f>SUM(N6:N15)</f>
        <v>2258.084431301827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1931.980314654</v>
      </c>
      <c r="C8" s="33"/>
      <c r="D8" s="37">
        <f>IF( ISERROR(IND_metaal_Gas_kWH/1000),0,IND_metaal_Gas_kWH/1000)*0.903</f>
        <v>1321.9942712491413</v>
      </c>
      <c r="E8" s="33">
        <f>C30*'E Balans VL '!I18/100/3.6*1000000</f>
        <v>10.531526001944824</v>
      </c>
      <c r="F8" s="33">
        <f>C30*'E Balans VL '!L18/100/3.6*1000000+C30*'E Balans VL '!N18/100/3.6*1000000</f>
        <v>124.41967983359335</v>
      </c>
      <c r="G8" s="34"/>
      <c r="H8" s="33"/>
      <c r="I8" s="33"/>
      <c r="J8" s="40">
        <f>C30*'E Balans VL '!D18/100/3.6*1000000+C30*'E Balans VL '!E18/100/3.6*1000000</f>
        <v>1.5825275375847185</v>
      </c>
      <c r="K8" s="33"/>
      <c r="L8" s="33"/>
      <c r="M8" s="33"/>
      <c r="N8" s="33">
        <f>C30*'E Balans VL '!Y18/100/3.6*1000000</f>
        <v>41.739158051501768</v>
      </c>
      <c r="O8" s="33"/>
      <c r="P8" s="33"/>
      <c r="R8" s="32"/>
    </row>
    <row r="9" spans="1:18">
      <c r="A9" s="6" t="s">
        <v>32</v>
      </c>
      <c r="B9" s="37">
        <f t="shared" si="0"/>
        <v>17277.659371815</v>
      </c>
      <c r="C9" s="33"/>
      <c r="D9" s="37">
        <f>IF( ISERROR(IND_andere_gas_kWh/1000),0,IND_andere_gas_kWh/1000)*0.903</f>
        <v>4301.813029607305</v>
      </c>
      <c r="E9" s="33">
        <f>C31*'E Balans VL '!I19/100/3.6*1000000</f>
        <v>55.775226847209971</v>
      </c>
      <c r="F9" s="33">
        <f>C31*'E Balans VL '!L19/100/3.6*1000000+C31*'E Balans VL '!N19/100/3.6*1000000</f>
        <v>11171.870180502819</v>
      </c>
      <c r="G9" s="34"/>
      <c r="H9" s="33"/>
      <c r="I9" s="33"/>
      <c r="J9" s="40">
        <f>C31*'E Balans VL '!D19/100/3.6*1000000+C31*'E Balans VL '!E19/100/3.6*1000000</f>
        <v>0</v>
      </c>
      <c r="K9" s="33"/>
      <c r="L9" s="33"/>
      <c r="M9" s="33"/>
      <c r="N9" s="33">
        <f>C31*'E Balans VL '!Y19/100/3.6*1000000</f>
        <v>698.17025776820356</v>
      </c>
      <c r="O9" s="33"/>
      <c r="P9" s="33"/>
      <c r="R9" s="32"/>
    </row>
    <row r="10" spans="1:18">
      <c r="A10" s="6" t="s">
        <v>40</v>
      </c>
      <c r="B10" s="37">
        <f t="shared" si="0"/>
        <v>37997.573513057599</v>
      </c>
      <c r="C10" s="33"/>
      <c r="D10" s="37">
        <f>IF( ISERROR(IND_voed_gas_kWh/1000),0,IND_voed_gas_kWh/1000)*0.903</f>
        <v>55543.304590708132</v>
      </c>
      <c r="E10" s="33">
        <f>C32*'E Balans VL '!I20/100/3.6*1000000</f>
        <v>79.652226283956111</v>
      </c>
      <c r="F10" s="33">
        <f>C32*'E Balans VL '!L20/100/3.6*1000000+C32*'E Balans VL '!N20/100/3.6*1000000</f>
        <v>740.32404698066057</v>
      </c>
      <c r="G10" s="34"/>
      <c r="H10" s="33"/>
      <c r="I10" s="33"/>
      <c r="J10" s="40">
        <f>C32*'E Balans VL '!D20/100/3.6*1000000+C32*'E Balans VL '!E20/100/3.6*1000000</f>
        <v>0</v>
      </c>
      <c r="K10" s="33"/>
      <c r="L10" s="33"/>
      <c r="M10" s="33"/>
      <c r="N10" s="33">
        <f>C32*'E Balans VL '!Y20/100/3.6*1000000</f>
        <v>1511.4381296365484</v>
      </c>
      <c r="O10" s="33"/>
      <c r="P10" s="33"/>
      <c r="R10" s="32"/>
    </row>
    <row r="11" spans="1:18">
      <c r="A11" s="6" t="s">
        <v>39</v>
      </c>
      <c r="B11" s="37">
        <f t="shared" si="0"/>
        <v>46.277518340819199</v>
      </c>
      <c r="C11" s="33"/>
      <c r="D11" s="37">
        <f>IF( ISERROR(IND_textiel_gas_kWh/1000),0,IND_textiel_gas_kWh/1000)*0.903</f>
        <v>114.30370010984755</v>
      </c>
      <c r="E11" s="33">
        <f>C33*'E Balans VL '!I21/100/3.6*1000000</f>
        <v>3.9764880386095804E-2</v>
      </c>
      <c r="F11" s="33">
        <f>C33*'E Balans VL '!L21/100/3.6*1000000+C33*'E Balans VL '!N21/100/3.6*1000000</f>
        <v>0.97025620262533219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2452.3176205319401</v>
      </c>
      <c r="C13" s="33"/>
      <c r="D13" s="37">
        <f>IF( ISERROR(IND_papier_gas_kWh/1000),0,IND_papier_gas_kWh/1000)*0.903</f>
        <v>672.89679245201444</v>
      </c>
      <c r="E13" s="33">
        <f>C35*'E Balans VL '!I23/100/3.6*1000000</f>
        <v>0</v>
      </c>
      <c r="F13" s="33">
        <f>C35*'E Balans VL '!L23/100/3.6*1000000+C35*'E Balans VL '!N23/100/3.6*1000000</f>
        <v>0.32849567660657591</v>
      </c>
      <c r="G13" s="34"/>
      <c r="H13" s="33"/>
      <c r="I13" s="33"/>
      <c r="J13" s="40">
        <f>C35*'E Balans VL '!D23/100/3.6*1000000+C35*'E Balans VL '!E23/100/3.6*1000000</f>
        <v>0.48508385525163494</v>
      </c>
      <c r="K13" s="33"/>
      <c r="L13" s="33"/>
      <c r="M13" s="33"/>
      <c r="N13" s="33">
        <f>C35*'E Balans VL '!Y23/100/3.6*1000000</f>
        <v>0</v>
      </c>
      <c r="O13" s="33"/>
      <c r="P13" s="33"/>
      <c r="R13" s="32"/>
    </row>
    <row r="14" spans="1:18">
      <c r="A14" s="6" t="s">
        <v>33</v>
      </c>
      <c r="B14" s="37">
        <f t="shared" si="0"/>
        <v>3078.0598161617299</v>
      </c>
      <c r="C14" s="33"/>
      <c r="D14" s="37">
        <f>IF( ISERROR(IND_chemie_gas_kWh/1000),0,IND_chemie_gas_kWh/1000)*0.903</f>
        <v>0</v>
      </c>
      <c r="E14" s="33">
        <f>C36*'E Balans VL '!I24/100/3.6*1000000</f>
        <v>642.79538454247779</v>
      </c>
      <c r="F14" s="33">
        <f>C36*'E Balans VL '!L24/100/3.6*1000000+C36*'E Balans VL '!N24/100/3.6*1000000</f>
        <v>20.450510902789848</v>
      </c>
      <c r="G14" s="34"/>
      <c r="H14" s="33"/>
      <c r="I14" s="33"/>
      <c r="J14" s="40">
        <f>C36*'E Balans VL '!D24/100/3.6*1000000+C36*'E Balans VL '!E24/100/3.6*1000000</f>
        <v>0</v>
      </c>
      <c r="K14" s="33"/>
      <c r="L14" s="33"/>
      <c r="M14" s="33"/>
      <c r="N14" s="33">
        <f>C36*'E Balans VL '!Y24/100/3.6*1000000</f>
        <v>1.0740991089155325</v>
      </c>
      <c r="O14" s="33"/>
      <c r="P14" s="33"/>
      <c r="R14" s="32"/>
    </row>
    <row r="15" spans="1:18">
      <c r="A15" s="6" t="s">
        <v>265</v>
      </c>
      <c r="B15" s="37">
        <f t="shared" si="0"/>
        <v>179.23737033864799</v>
      </c>
      <c r="C15" s="33"/>
      <c r="D15" s="37">
        <f>IF( ISERROR(IND_rest_gas_kWh/1000),0,IND_rest_gas_kWh/1000)*0.903</f>
        <v>274.87583688636926</v>
      </c>
      <c r="E15" s="33">
        <f>C37*'E Balans VL '!I15/100/3.6*1000000</f>
        <v>10.552150041842586</v>
      </c>
      <c r="F15" s="33">
        <f>C37*'E Balans VL '!L15/100/3.6*1000000+C37*'E Balans VL '!N15/100/3.6*1000000</f>
        <v>27.34329357704032</v>
      </c>
      <c r="G15" s="34"/>
      <c r="H15" s="33"/>
      <c r="I15" s="33"/>
      <c r="J15" s="40">
        <f>C37*'E Balans VL '!D15/100/3.6*1000000+C37*'E Balans VL '!E15/100/3.6*1000000</f>
        <v>0.97317249404237538</v>
      </c>
      <c r="K15" s="33"/>
      <c r="L15" s="33"/>
      <c r="M15" s="33"/>
      <c r="N15" s="33">
        <f>C37*'E Balans VL '!Y15/100/3.6*1000000</f>
        <v>5.6627867366572673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62963.105524899729</v>
      </c>
      <c r="C18" s="21">
        <f>C5+C16</f>
        <v>0</v>
      </c>
      <c r="D18" s="21">
        <f>MAX((D5+D16),0)</f>
        <v>62229.18822101281</v>
      </c>
      <c r="E18" s="21">
        <f>MAX((E5+E16),0)</f>
        <v>799.34627859781733</v>
      </c>
      <c r="F18" s="21">
        <f>MAX((F5+F16),0)</f>
        <v>12085.706463676135</v>
      </c>
      <c r="G18" s="21"/>
      <c r="H18" s="21"/>
      <c r="I18" s="21"/>
      <c r="J18" s="21">
        <f>MAX((J5+J16),0)</f>
        <v>3.0407838868787289</v>
      </c>
      <c r="K18" s="21"/>
      <c r="L18" s="21">
        <f>MAX((L5+L16),0)</f>
        <v>0</v>
      </c>
      <c r="M18" s="21"/>
      <c r="N18" s="21">
        <f>MAX((N5+N16),0)</f>
        <v>2258.084431301827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0.20643417493704852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12997.736740506996</v>
      </c>
      <c r="C22" s="23">
        <f ca="1">C18*C20</f>
        <v>0</v>
      </c>
      <c r="D22" s="23">
        <f>D18*D20</f>
        <v>12570.296020644588</v>
      </c>
      <c r="E22" s="23">
        <f>E18*E20</f>
        <v>181.45160524170453</v>
      </c>
      <c r="F22" s="23">
        <f>F18*F20</f>
        <v>3226.8836258015281</v>
      </c>
      <c r="G22" s="23"/>
      <c r="H22" s="23"/>
      <c r="I22" s="23"/>
      <c r="J22" s="23">
        <f>J18*J20</f>
        <v>1.07643749595507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1931.980314654</v>
      </c>
      <c r="C30" s="39">
        <f>IF(ISERROR(B30*3.6/1000000/'E Balans VL '!Z18*100),0,B30*3.6/1000000/'E Balans VL '!Z18*100)</f>
        <v>0.11633855697988575</v>
      </c>
      <c r="D30" s="233" t="s">
        <v>841</v>
      </c>
    </row>
    <row r="31" spans="1:18" ht="30">
      <c r="A31" s="6" t="s">
        <v>32</v>
      </c>
      <c r="B31" s="37">
        <f>IF( ISERROR(IND_ander_ele_kWh/1000),0,IND_ander_ele_kWh/1000)</f>
        <v>17277.659371815</v>
      </c>
      <c r="C31" s="39">
        <f>IF(ISERROR(B31*3.6/1000000/'E Balans VL '!Z19*100),0,B31*3.6/1000000/'E Balans VL '!Z19*100)</f>
        <v>0.70392761167897022</v>
      </c>
      <c r="D31" s="233" t="s">
        <v>841</v>
      </c>
    </row>
    <row r="32" spans="1:18" ht="30">
      <c r="A32" s="168" t="s">
        <v>40</v>
      </c>
      <c r="B32" s="37">
        <f>IF( ISERROR(IND_voed_ele_kWh/1000),0,IND_voed_ele_kWh/1000)</f>
        <v>37997.573513057599</v>
      </c>
      <c r="C32" s="39">
        <f>IF(ISERROR(B32*3.6/1000000/'E Balans VL '!Z20*100),0,B32*3.6/1000000/'E Balans VL '!Z20*100)</f>
        <v>1.0986627639244448</v>
      </c>
      <c r="D32" s="233" t="s">
        <v>841</v>
      </c>
    </row>
    <row r="33" spans="1:5" ht="30">
      <c r="A33" s="168" t="s">
        <v>39</v>
      </c>
      <c r="B33" s="37">
        <f>IF( ISERROR(IND_textiel_ele_kWh/1000),0,IND_textiel_ele_kWh/1000)</f>
        <v>46.277518340819199</v>
      </c>
      <c r="C33" s="39">
        <f>IF(ISERROR(B33*3.6/1000000/'E Balans VL '!Z21*100),0,B33*3.6/1000000/'E Balans VL '!Z21*100)</f>
        <v>7.6105034231762295E-3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2452.3176205319401</v>
      </c>
      <c r="C35" s="39">
        <f>IF(ISERROR(B35*3.6/1000000/'E Balans VL '!Z22*100),0,B35*3.6/1000000/'E Balans VL '!Z22*100)</f>
        <v>1.0471168364220635</v>
      </c>
      <c r="D35" s="233" t="s">
        <v>841</v>
      </c>
    </row>
    <row r="36" spans="1:5" ht="30">
      <c r="A36" s="168" t="s">
        <v>33</v>
      </c>
      <c r="B36" s="37">
        <f>IF( ISERROR(IND_chemie_ele_kWh/1000),0,IND_chemie_ele_kWh/1000)</f>
        <v>3078.0598161617299</v>
      </c>
      <c r="C36" s="39">
        <f>IF(ISERROR(B36*3.6/1000000/'E Balans VL '!Z24*100),0,B36*3.6/1000000/'E Balans VL '!Z24*100)</f>
        <v>9.3399922514394648E-2</v>
      </c>
      <c r="D36" s="233" t="s">
        <v>841</v>
      </c>
    </row>
    <row r="37" spans="1:5" ht="30">
      <c r="A37" s="168" t="s">
        <v>265</v>
      </c>
      <c r="B37" s="37">
        <f>IF( ISERROR(IND_rest_ele_kWh/1000),0,IND_rest_ele_kWh/1000)</f>
        <v>179.23737033864799</v>
      </c>
      <c r="C37" s="39">
        <f>IF(ISERROR(B37*3.6/1000000/'E Balans VL '!Z15*100),0,B37*3.6/1000000/'E Balans VL '!Z15*100)</f>
        <v>1.4716745687309628E-3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1616.0335459206299</v>
      </c>
      <c r="C5" s="17">
        <f>'Eigen informatie GS &amp; warmtenet'!B62</f>
        <v>0</v>
      </c>
      <c r="D5" s="30">
        <f>IF(ISERROR(SUM(LB_lb_gas_kWh,LB_rest_gas_kWh)/1000),0,SUM(LB_lb_gas_kWh,LB_rest_gas_kWh)/1000)*0.903</f>
        <v>3921.9213229171814</v>
      </c>
      <c r="E5" s="17">
        <f>B17*'E Balans VL '!I25/3.6*1000000/100</f>
        <v>46.285935584617619</v>
      </c>
      <c r="F5" s="17">
        <f>B17*('E Balans VL '!L25/3.6*1000000+'E Balans VL '!N25/3.6*1000000)/100</f>
        <v>5115.5274235462302</v>
      </c>
      <c r="G5" s="18"/>
      <c r="H5" s="17"/>
      <c r="I5" s="17"/>
      <c r="J5" s="17">
        <f>('E Balans VL '!D25+'E Balans VL '!E25)/3.6*1000000*landbouw!B17/100</f>
        <v>410.90658340872704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1616.0335459206299</v>
      </c>
      <c r="C8" s="21">
        <f>C5+C6</f>
        <v>0</v>
      </c>
      <c r="D8" s="21">
        <f>MAX((D5+D6),0)</f>
        <v>3921.9213229171814</v>
      </c>
      <c r="E8" s="21">
        <f>MAX((E5+E6),0)</f>
        <v>46.285935584617619</v>
      </c>
      <c r="F8" s="21">
        <f>MAX((F5+F6),0)</f>
        <v>5115.5274235462302</v>
      </c>
      <c r="G8" s="21"/>
      <c r="H8" s="21"/>
      <c r="I8" s="21"/>
      <c r="J8" s="21">
        <f>MAX((J5+J6),0)</f>
        <v>410.90658340872704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0.20643417493704852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333.60455172271816</v>
      </c>
      <c r="C12" s="23">
        <f ca="1">C8*C10</f>
        <v>0</v>
      </c>
      <c r="D12" s="23">
        <f>D8*D10</f>
        <v>792.22810722927068</v>
      </c>
      <c r="E12" s="23">
        <f>E8*E10</f>
        <v>10.506907377708199</v>
      </c>
      <c r="F12" s="23">
        <f>F8*F10</f>
        <v>1365.8458220868436</v>
      </c>
      <c r="G12" s="23"/>
      <c r="H12" s="23"/>
      <c r="I12" s="23"/>
      <c r="J12" s="23">
        <f>J8*J10</f>
        <v>145.46093052668937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0.22378398558139714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380.8984258234924</v>
      </c>
      <c r="C26" s="243">
        <f>B26*'GWP N2O_CH4'!B5</f>
        <v>7998.8669422933408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169.65079753794367</v>
      </c>
      <c r="C27" s="243">
        <f>B27*'GWP N2O_CH4'!B5</f>
        <v>3562.6667482968173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5.0990627977502525</v>
      </c>
      <c r="C28" s="243">
        <f>B28*'GWP N2O_CH4'!B4</f>
        <v>1580.7094673025783</v>
      </c>
      <c r="D28" s="50"/>
    </row>
    <row r="29" spans="1:4">
      <c r="A29" s="41" t="s">
        <v>272</v>
      </c>
      <c r="B29" s="243">
        <f>B34*'ha_N2O bodem landbouw'!B4</f>
        <v>13.050252727508536</v>
      </c>
      <c r="C29" s="243">
        <f>B29*'GWP N2O_CH4'!B4</f>
        <v>4045.578345527646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2.9647838556929218E-3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2.4878169253327296E-3</v>
      </c>
      <c r="C5" s="434" t="s">
        <v>210</v>
      </c>
      <c r="D5" s="419">
        <f>SUM(D6:D11)</f>
        <v>3.8246452804270837E-3</v>
      </c>
      <c r="E5" s="419">
        <f>SUM(E6:E11)</f>
        <v>1.7133188439368229E-3</v>
      </c>
      <c r="F5" s="432" t="s">
        <v>210</v>
      </c>
      <c r="G5" s="419">
        <f>SUM(G6:G11)</f>
        <v>1.1041944974635911</v>
      </c>
      <c r="H5" s="419">
        <f>SUM(H6:H11)</f>
        <v>0.19311613958711138</v>
      </c>
      <c r="I5" s="434" t="s">
        <v>210</v>
      </c>
      <c r="J5" s="434" t="s">
        <v>210</v>
      </c>
      <c r="K5" s="434" t="s">
        <v>210</v>
      </c>
      <c r="L5" s="434" t="s">
        <v>210</v>
      </c>
      <c r="M5" s="419">
        <f>SUM(M6:M11)</f>
        <v>7.7091009698053312E-2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6.2353000338338078E-4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1.0396030122200072E-3</v>
      </c>
      <c r="E6" s="886">
        <f>vkm_GW_PW*SUMIFS(TableVerdeelsleutelVkm[LPG],TableVerdeelsleutelVkm[Voertuigtype],"Lichte voertuigen")*SUMIFS(TableECFTransport[EnergieConsumptieFactor (PJ per km)],TableECFTransport[Index],CONCATENATE($A6,"_LPG_LPG"))</f>
        <v>4.1216031142404802E-4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0.12386452723139885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5.0983951280428826E-2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1.0726438513015149E-2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2.9522898066456443E-6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0.11703062879538324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8.6351664439775915E-7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6.7197007897622394E-3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1.9102617970660231E-4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4.3619934523195594E-4</v>
      </c>
      <c r="E8" s="422">
        <f>vkm_NGW_PW*SUMIFS(TableVerdeelsleutelVkm[LPG],TableVerdeelsleutelVkm[Voertuigtype],"Lichte voertuigen")*SUMIFS(TableECFTransport[EnergieConsumptieFactor (PJ per km)],TableECFTransport[Index],CONCATENATE($A8,"_LPG_LPG"))</f>
        <v>1.6558351714717856E-4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4.5581844098769198E-2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2.1192237761803609E-2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4.1195925171754969E-3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5.4474552229359296E-7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2.7808069527931533E-2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1.923188446743376E-7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1.5966914128368382E-3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1.6568887391709055E-3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2.3488429229751207E-3</v>
      </c>
      <c r="E10" s="422">
        <f>vkm_SW_PW*SUMIFS(TableVerdeelsleutelVkm[LPG],TableVerdeelsleutelVkm[Voertuigtype],"Lichte voertuigen")*SUMIFS(TableECFTransport[EnergieConsumptieFactor (PJ per km)],TableECFTransport[Index],CONCATENATE($A10,"_LPG_LPG"))</f>
        <v>1.1355750153655964E-3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0.30961110688538468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0.12093501866881184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2.6350645585454094E-2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1.2874967742902016E-5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0.48029832092472352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3.8760405780596619E-6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2.7577940879809491E-2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691.06025703686942</v>
      </c>
      <c r="C14" s="21"/>
      <c r="D14" s="21">
        <f t="shared" ref="D14:M14" si="0">((D5)*10^9/3600)+D12</f>
        <v>1062.401466785301</v>
      </c>
      <c r="E14" s="21">
        <f t="shared" si="0"/>
        <v>475.92190109356193</v>
      </c>
      <c r="F14" s="21"/>
      <c r="G14" s="21">
        <f t="shared" si="0"/>
        <v>306720.6937398864</v>
      </c>
      <c r="H14" s="21">
        <f t="shared" si="0"/>
        <v>53643.372107530937</v>
      </c>
      <c r="I14" s="21"/>
      <c r="J14" s="21"/>
      <c r="K14" s="21"/>
      <c r="L14" s="21"/>
      <c r="M14" s="21">
        <f t="shared" si="0"/>
        <v>21414.169360570366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0.20643417493704852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142.65845399319082</v>
      </c>
      <c r="C18" s="23"/>
      <c r="D18" s="23">
        <f t="shared" ref="D18:M18" si="1">D14*D16</f>
        <v>214.6050962906308</v>
      </c>
      <c r="E18" s="23">
        <f t="shared" si="1"/>
        <v>108.03427154823856</v>
      </c>
      <c r="F18" s="23"/>
      <c r="G18" s="23">
        <f t="shared" si="1"/>
        <v>81894.425228549677</v>
      </c>
      <c r="H18" s="23">
        <f t="shared" si="1"/>
        <v>13357.199654775202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3.793406975692185E-5</v>
      </c>
      <c r="C50" s="315">
        <f t="shared" ref="C50:P50" si="2">SUM(C51:C52)</f>
        <v>0</v>
      </c>
      <c r="D50" s="315">
        <f t="shared" si="2"/>
        <v>0</v>
      </c>
      <c r="E50" s="315">
        <f t="shared" si="2"/>
        <v>0</v>
      </c>
      <c r="F50" s="315">
        <f t="shared" si="2"/>
        <v>0</v>
      </c>
      <c r="G50" s="315">
        <f t="shared" si="2"/>
        <v>2.3747874495081396E-3</v>
      </c>
      <c r="H50" s="315">
        <f t="shared" si="2"/>
        <v>0</v>
      </c>
      <c r="I50" s="315">
        <f t="shared" si="2"/>
        <v>0</v>
      </c>
      <c r="J50" s="315">
        <f t="shared" si="2"/>
        <v>0</v>
      </c>
      <c r="K50" s="315">
        <f t="shared" si="2"/>
        <v>0</v>
      </c>
      <c r="L50" s="315">
        <f t="shared" si="2"/>
        <v>0</v>
      </c>
      <c r="M50" s="315">
        <f t="shared" si="2"/>
        <v>1.3635503701839061E-4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3.793406975692185E-5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2.3747874495081396E-3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1.3635503701839061E-4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10.537241599144959</v>
      </c>
      <c r="C54" s="21">
        <f t="shared" ref="C54:P54" si="3">(C50)*10^9/3600</f>
        <v>0</v>
      </c>
      <c r="D54" s="21">
        <f t="shared" si="3"/>
        <v>0</v>
      </c>
      <c r="E54" s="21">
        <f t="shared" si="3"/>
        <v>0</v>
      </c>
      <c r="F54" s="21">
        <f t="shared" si="3"/>
        <v>0</v>
      </c>
      <c r="G54" s="21">
        <f t="shared" si="3"/>
        <v>659.66318041892771</v>
      </c>
      <c r="H54" s="21">
        <f t="shared" si="3"/>
        <v>0</v>
      </c>
      <c r="I54" s="21">
        <f t="shared" si="3"/>
        <v>0</v>
      </c>
      <c r="J54" s="21">
        <f t="shared" si="3"/>
        <v>0</v>
      </c>
      <c r="K54" s="21">
        <f t="shared" si="3"/>
        <v>0</v>
      </c>
      <c r="L54" s="21">
        <f t="shared" si="3"/>
        <v>0</v>
      </c>
      <c r="M54" s="21">
        <f t="shared" si="3"/>
        <v>37.876399171775169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0.20643417493704852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2.1752467756318352</v>
      </c>
      <c r="C58" s="23">
        <f t="shared" ref="C58:P58" ca="1" si="4">C54*C56</f>
        <v>0</v>
      </c>
      <c r="D58" s="23">
        <f t="shared" si="4"/>
        <v>0</v>
      </c>
      <c r="E58" s="23">
        <f t="shared" si="4"/>
        <v>0</v>
      </c>
      <c r="F58" s="23">
        <f t="shared" si="4"/>
        <v>0</v>
      </c>
      <c r="G58" s="23">
        <f t="shared" si="4"/>
        <v>176.13006917185371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8164.1582738487368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360</v>
      </c>
      <c r="C8" s="545">
        <f>B49</f>
        <v>423.52941176470591</v>
      </c>
      <c r="D8" s="546"/>
      <c r="E8" s="546">
        <f>E49</f>
        <v>0</v>
      </c>
      <c r="F8" s="547"/>
      <c r="G8" s="548"/>
      <c r="H8" s="546">
        <f>I49</f>
        <v>0</v>
      </c>
      <c r="I8" s="546">
        <f>G49+F49</f>
        <v>0</v>
      </c>
      <c r="J8" s="546">
        <f>H49+D49+C49</f>
        <v>0</v>
      </c>
      <c r="K8" s="546"/>
      <c r="L8" s="546"/>
      <c r="M8" s="546"/>
      <c r="N8" s="549"/>
      <c r="O8" s="550">
        <f>C8*$C$12+D8*$D$12+E8*$E$12+F8*$F$12+G8*$G$12+H8*$H$12+I8*$I$12+J8*$J$12</f>
        <v>85.552941176470597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8524.1582738487377</v>
      </c>
      <c r="C10" s="560">
        <f t="shared" ref="C10:L10" si="0">SUM(C8:C9)</f>
        <v>423.52941176470591</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85.552941176470597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514.28571428571433</v>
      </c>
      <c r="C17" s="576">
        <f>B50</f>
        <v>605.04201680672281</v>
      </c>
      <c r="D17" s="577"/>
      <c r="E17" s="577">
        <f>E50</f>
        <v>0</v>
      </c>
      <c r="F17" s="578"/>
      <c r="G17" s="579"/>
      <c r="H17" s="576">
        <f>I50</f>
        <v>0</v>
      </c>
      <c r="I17" s="577">
        <f>G50+F50</f>
        <v>0</v>
      </c>
      <c r="J17" s="577">
        <f>H50+D50+C50</f>
        <v>0</v>
      </c>
      <c r="K17" s="577"/>
      <c r="L17" s="577"/>
      <c r="M17" s="577"/>
      <c r="N17" s="962"/>
      <c r="O17" s="580">
        <f>C17*$C$22+E17*$E$22+H17*$H$22+I17*$I$22+J17*$J$22+D17*$D$22+F17*$F$22+G17*$G$22+K17*$K$22+L17*$L$22</f>
        <v>122.21848739495802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514.28571428571433</v>
      </c>
      <c r="C20" s="559">
        <f>SUM(C17:C19)</f>
        <v>605.04201680672281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122.21848739495802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44048</v>
      </c>
      <c r="C28" s="787">
        <v>9810</v>
      </c>
      <c r="D28" s="637" t="s">
        <v>874</v>
      </c>
      <c r="E28" s="636" t="s">
        <v>875</v>
      </c>
      <c r="F28" s="636" t="s">
        <v>876</v>
      </c>
      <c r="G28" s="636" t="s">
        <v>877</v>
      </c>
      <c r="H28" s="636" t="s">
        <v>878</v>
      </c>
      <c r="I28" s="636" t="s">
        <v>875</v>
      </c>
      <c r="J28" s="786">
        <v>39800</v>
      </c>
      <c r="K28" s="786">
        <v>40087</v>
      </c>
      <c r="L28" s="636" t="s">
        <v>879</v>
      </c>
      <c r="M28" s="636">
        <v>120</v>
      </c>
      <c r="N28" s="636">
        <v>0</v>
      </c>
      <c r="O28" s="636">
        <v>0</v>
      </c>
      <c r="P28" s="636">
        <v>0</v>
      </c>
      <c r="Q28" s="636">
        <v>0</v>
      </c>
      <c r="R28" s="636">
        <v>0</v>
      </c>
      <c r="S28" s="636">
        <v>0</v>
      </c>
      <c r="T28" s="636">
        <v>0</v>
      </c>
      <c r="U28" s="636">
        <v>0</v>
      </c>
      <c r="V28" s="636">
        <v>0</v>
      </c>
      <c r="W28" s="636">
        <v>0</v>
      </c>
      <c r="X28" s="636">
        <v>1100</v>
      </c>
      <c r="Y28" s="636" t="s">
        <v>51</v>
      </c>
      <c r="Z28" s="638" t="s">
        <v>155</v>
      </c>
    </row>
    <row r="29" spans="1:26" s="590" customFormat="1" ht="51">
      <c r="A29" s="589"/>
      <c r="B29" s="787">
        <v>44048</v>
      </c>
      <c r="C29" s="787">
        <v>9810</v>
      </c>
      <c r="D29" s="637" t="s">
        <v>880</v>
      </c>
      <c r="E29" s="636" t="s">
        <v>881</v>
      </c>
      <c r="F29" s="636" t="s">
        <v>882</v>
      </c>
      <c r="G29" s="636" t="s">
        <v>877</v>
      </c>
      <c r="H29" s="636" t="s">
        <v>878</v>
      </c>
      <c r="I29" s="636" t="s">
        <v>883</v>
      </c>
      <c r="J29" s="786">
        <v>39785</v>
      </c>
      <c r="K29" s="786">
        <v>40544</v>
      </c>
      <c r="L29" s="636" t="s">
        <v>879</v>
      </c>
      <c r="M29" s="636">
        <v>80</v>
      </c>
      <c r="N29" s="636">
        <v>360</v>
      </c>
      <c r="O29" s="636">
        <v>514.28571428571433</v>
      </c>
      <c r="P29" s="636">
        <v>1028.5714285714287</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200</v>
      </c>
      <c r="N30" s="594">
        <f>SUM(N28:N29)</f>
        <v>360</v>
      </c>
      <c r="O30" s="594">
        <f>SUM(O28:O29)</f>
        <v>514.28571428571433</v>
      </c>
      <c r="P30" s="594">
        <f>SUM(P28:P29)</f>
        <v>1028.5714285714287</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200</v>
      </c>
      <c r="N32" s="594">
        <f ca="1">SUMIF($Z$28:AD29,"tertiair",N28:N29)</f>
        <v>360</v>
      </c>
      <c r="O32" s="594">
        <f ca="1">SUMIF($Z$28:AE29,"tertiair",O28:O29)</f>
        <v>514.28571428571433</v>
      </c>
      <c r="P32" s="594">
        <f ca="1">SUMIF($Z$28:AF29,"tertiair",P28:P29)</f>
        <v>1028.5714285714287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423.52941176470591</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605.04201680672281</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2021-06-29T14:20:26Z</dcterms:modified>
</cp:coreProperties>
</file>