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8" i="15"/>
  <c r="C20" i="15" s="1"/>
  <c r="D40" i="14" s="1"/>
  <c r="C17" i="19"/>
  <c r="C19" i="19" s="1"/>
  <c r="D39" i="14" s="1"/>
  <c r="C56" i="22"/>
  <c r="C58" i="22" s="1"/>
  <c r="D49" i="14" s="1"/>
  <c r="D52" i="14" s="1"/>
  <c r="C10" i="17"/>
  <c r="C12" i="17" s="1"/>
  <c r="D54" i="14" s="1"/>
  <c r="D56"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9" i="48"/>
  <c r="C32" i="48"/>
  <c r="C25" i="48"/>
  <c r="C31" i="48"/>
  <c r="C26" i="48"/>
  <c r="F27" i="14"/>
  <c r="F63" i="14" s="1"/>
  <c r="C78" i="14"/>
  <c r="B78" i="14"/>
  <c r="C27" i="48" l="1"/>
  <c r="C23" i="48"/>
  <c r="C30" i="48"/>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<sst xmlns="http://schemas.openxmlformats.org/spreadsheetml/2006/main" count="2438" uniqueCount="879">
  <si>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</si>
  <si>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</si>
  <si>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</si>
  <si>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</si>
  <si>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</si>
  <si>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</si>
  <si>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</si>
  <si>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</si>
  <si>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</si>
  <si>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</si>
  <si>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</si>
  <si>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</si>
  <si>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</si>
  <si>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</si>
  <si>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</si>
  <si>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</si>
  <si>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</si>
  <si>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</si>
  <si>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</si>
  <si>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</si>
  <si>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</si>
  <si>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</si>
  <si>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</si>
  <si>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</si>
  <si>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</si>
  <si>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</si>
  <si>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</si>
  <si>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</si>
  <si>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</si>
  <si>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</si>
  <si>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</si>
  <si>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</si>
  <si>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</si>
  <si>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</si>
  <si>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</si>
  <si>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</si>
  <si>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</si>
  <si>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</si>
  <si>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</si>
  <si>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</si>
  <si>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</si>
  <si>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</si>
  <si>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</si>
  <si>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</si>
  <si>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</si>
  <si>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</si>
  <si>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</si>
  <si>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</si>
  <si>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</si>
  <si>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</si>
  <si>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</si>
  <si>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</si>
  <si>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</si>
  <si>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</si>
  <si>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</si>
  <si>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</si>
  <si>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</si>
  <si>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</si>
  <si>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</si>
  <si>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</si>
  <si>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</si>
  <si>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</si>
  <si>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</si>
  <si>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</si>
  <si>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</si>
  <si>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</si>
  <si>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</si>
  <si>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</si>
  <si>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</si>
  <si>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</si>
  <si>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</si>
  <si>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</si>
  <si>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</si>
  <si>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</si>
  <si>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</si>
  <si>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</si>
  <si>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</si>
  <si>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</si>
  <si>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</si>
  <si>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</si>
  <si>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</si>
  <si>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</si>
  <si>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</si>
  <si>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</si>
  <si>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</si>
  <si>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</si>
  <si>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</si>
  <si>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</si>
  <si>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</si>
  <si>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</si>
  <si>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</si>
  <si>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</si>
  <si>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</si>
  <si>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</si>
  <si>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</si>
  <si>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</si>
  <si>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</si>
  <si>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</si>
  <si>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</si>
  <si>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</si>
  <si>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</si>
  <si>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</si>
  <si>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</si>
  <si>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</si>
  <si>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</si>
  <si>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</si>
  <si>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</si>
  <si>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</si>
  <si>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</si>
  <si>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</si>
  <si>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</si>
  <si>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</si>
  <si>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</si>
  <si>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</si>
  <si>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</si>
  <si>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</si>
  <si>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</si>
  <si>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</si>
  <si>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</si>
  <si>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</si>
  <si>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</si>
  <si>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</si>
  <si>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</si>
  <si>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</si>
  <si>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</si>
  <si>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</si>
  <si>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</si>
  <si>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</si>
  <si>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</si>
  <si>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</si>
  <si>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</si>
  <si>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</si>
  <si>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</si>
  <si>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</si>
  <si>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</si>
  <si>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</si>
  <si>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</si>
  <si>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</si>
  <si>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</si>
  <si>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</si>
  <si>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</si>
  <si>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</si>
  <si>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</si>
  <si>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</si>
  <si>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</si>
  <si>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</si>
  <si>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</si>
  <si>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</si>
  <si>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</si>
  <si>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</si>
  <si>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</si>
  <si>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</si>
  <si>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</si>
  <si>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</si>
  <si>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</si>
  <si>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</si>
  <si>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</si>
  <si>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</si>
  <si>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</si>
  <si>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</si>
  <si>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</si>
  <si>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</si>
  <si>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</si>
  <si>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</si>
  <si>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</si>
  <si>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</si>
  <si>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</si>
  <si>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</si>
  <si>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</si>
  <si>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</si>
  <si>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</si>
  <si>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</si>
  <si>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</si>
  <si>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</si>
  <si>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</si>
  <si>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</si>
  <si>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</si>
  <si>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</si>
  <si>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</si>
  <si>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</si>
  <si>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</si>
  <si>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</si>
  <si>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</si>
  <si>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</si>
  <si>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</si>
  <si>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</si>
  <si>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</si>
  <si>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</si>
  <si>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</si>
  <si>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</si>
  <si>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</si>
  <si>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</si>
  <si>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</si>
  <si>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</si>
  <si>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</si>
  <si>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</si>
  <si>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</si>
  <si>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</si>
  <si>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</si>
  <si>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</si>
  <si>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</si>
  <si>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</si>
  <si>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</si>
  <si>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</si>
  <si>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</si>
  <si>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</si>
  <si>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</si>
  <si>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</si>
  <si>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</si>
  <si>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</si>
  <si>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</si>
  <si>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</si>
  <si>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</si>
  <si>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</si>
  <si>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</si>
  <si>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</si>
  <si>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</si>
  <si>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</si>
  <si>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</si>
  <si>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</si>
  <si>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</si>
  <si>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</si>
  <si>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</si>
  <si>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</si>
  <si>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</si>
  <si>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</si>
  <si>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</si>
  <si>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</si>
  <si>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</si>
  <si>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</si>
  <si>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</si>
  <si>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</si>
  <si>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</si>
  <si>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</si>
  <si>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</si>
  <si>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</si>
  <si>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</si>
  <si>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</si>
  <si>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</si>
  <si>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</si>
  <si>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</si>
  <si>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</si>
  <si>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</si>
  <si>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</si>
  <si>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</si>
  <si>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</si>
  <si>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</si>
  <si>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</si>
  <si>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</si>
  <si>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</si>
  <si>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</si>
  <si>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</si>
  <si>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</si>
  <si>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</si>
  <si>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</si>
  <si>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</si>
  <si>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</si>
  <si>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</si>
  <si>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</si>
  <si>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</si>
  <si>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</si>
  <si>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</si>
  <si>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</si>
  <si>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</si>
  <si>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</si>
  <si>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</si>
  <si>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</si>
  <si>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</si>
  <si>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</si>
  <si>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</si>
  <si>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</si>
  <si>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</si>
  <si>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</si>
  <si>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</si>
  <si>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</si>
  <si>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</si>
  <si>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</si>
  <si>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</si>
  <si>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</si>
  <si>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</si>
  <si>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</si>
  <si>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</si>
  <si>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</si>
  <si>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</si>
  <si>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</si>
  <si>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</si>
  <si>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</si>
  <si>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</si>
  <si>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</si>
  <si>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</si>
  <si>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</si>
  <si>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</si>
  <si>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</si>
  <si>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</si>
  <si>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</si>
  <si>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</si>
  <si>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</si>
  <si>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</si>
  <si>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</si>
  <si>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</si>
  <si>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</si>
  <si>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</si>
  <si>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</si>
  <si>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</si>
  <si>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</si>
  <si>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</si>
  <si>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</si>
  <si>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</si>
  <si>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</si>
  <si>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</si>
  <si>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</si>
  <si>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</si>
  <si>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</si>
  <si>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</si>
  <si>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</si>
  <si>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</si>
  <si>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</si>
  <si>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</si>
  <si>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</si>
  <si>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</si>
  <si>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</si>
  <si>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</si>
  <si>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</si>
  <si>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</si>
  <si>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</si>
  <si>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</si>
  <si>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</si>
  <si>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</si>
  <si>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</si>
  <si>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</si>
  <si>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</si>
  <si>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</si>
  <si>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</si>
  <si>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</si>
  <si>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</si>
  <si>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</si>
  <si>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</si>
  <si>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</si>
  <si>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</si>
  <si>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</si>
  <si>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</si>
  <si>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</si>
  <si>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</si>
  <si>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</si>
  <si>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</si>
  <si>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</si>
  <si>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</si>
  <si>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</si>
  <si>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</si>
  <si>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</si>
  <si>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</si>
  <si>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</si>
  <si>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</si>
  <si>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</si>
  <si>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</si>
  <si>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</si>
  <si>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</si>
  <si>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</si>
  <si>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</si>
  <si>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</si>
  <si>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</si>
  <si>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</si>
  <si>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</si>
  <si>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</si>
  <si>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</si>
  <si>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</si>
  <si>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</si>
  <si>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</si>
  <si>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</si>
  <si>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</si>
  <si>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</si>
  <si>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</si>
  <si>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</si>
  <si>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</si>
  <si>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</si>
  <si>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</si>
  <si>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</si>
  <si>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</si>
  <si>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</si>
  <si>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</si>
  <si>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</si>
  <si>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</si>
  <si>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</si>
  <si>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</si>
  <si>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</si>
  <si>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</si>
  <si>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</si>
  <si>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</si>
  <si>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</si>
  <si>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</si>
  <si>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</si>
  <si>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</si>
  <si>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</si>
  <si>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</si>
  <si>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</si>
  <si>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</si>
  <si>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</si>
  <si>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</si>
  <si>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</si>
  <si>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</si>
  <si>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</si>
  <si>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</si>
  <si>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</si>
  <si>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</si>
  <si>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</si>
  <si>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</si>
  <si>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</si>
  <si>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</si>
  <si>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</si>
  <si>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</si>
  <si>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</si>
  <si>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</si>
  <si>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</si>
  <si>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</si>
  <si>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</si>
  <si>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</si>
  <si>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</si>
  <si>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</si>
  <si>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</si>
  <si>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</si>
  <si>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</si>
  <si>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</si>
  <si>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</si>
  <si>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</si>
  <si>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</si>
  <si>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</si>
  <si>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</si>
  <si>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</si>
  <si>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</si>
  <si>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</si>
  <si>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</si>
  <si>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</si>
  <si>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</si>
  <si>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</si>
  <si>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</si>
  <si>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</si>
  <si>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</si>
  <si>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</si>
  <si>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</si>
  <si>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</si>
  <si>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</si>
  <si>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</si>
  <si>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</si>
  <si>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</si>
  <si>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</si>
  <si>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</si>
  <si>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</si>
  <si>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</si>
  <si>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</si>
  <si>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</si>
  <si>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</si>
  <si>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</si>
  <si>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</si>
  <si>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</si>
  <si>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</si>
  <si>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</si>
  <si>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</si>
  <si>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</si>
  <si>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</si>
  <si>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</si>
  <si>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</si>
  <si>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</si>
  <si>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</si>
  <si>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</si>
  <si>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</si>
  <si>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</si>
  <si>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</si>
  <si>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</si>
  <si>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</si>
  <si>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</si>
  <si>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</si>
  <si>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</si>
  <si>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</si>
  <si>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</si>
  <si>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</si>
  <si>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</si>
  <si>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</si>
  <si>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</si>
  <si>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</si>
  <si>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</si>
  <si>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</si>
  <si>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</si>
  <si>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</si>
  <si>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</si>
  <si>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</si>
  <si>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</si>
  <si>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</si>
  <si>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</si>
  <si>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</si>
  <si>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</si>
  <si>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</si>
  <si>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</si>
  <si>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</si>
  <si>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</si>
  <si>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</si>
  <si>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</si>
  <si>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</si>
  <si>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</si>
  <si>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</si>
  <si>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</si>
  <si>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</si>
  <si>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</si>
  <si>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</si>
  <si>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</si>
  <si>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</si>
  <si>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</si>
  <si>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</si>
  <si>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</si>
  <si>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</si>
  <si>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</si>
  <si>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</si>
  <si>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</si>
  <si>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</si>
  <si>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</si>
  <si>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</si>
  <si>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</si>
  <si>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</si>
  <si>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</si>
  <si>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</si>
  <si>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</si>
  <si>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</si>
  <si>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</si>
  <si>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</si>
  <si>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</si>
  <si>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</si>
  <si>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</si>
  <si>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</si>
  <si>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</si>
  <si>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</si>
  <si>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</si>
  <si>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</si>
  <si>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</si>
  <si>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</si>
  <si>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</si>
  <si>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</si>
  <si>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</si>
  <si>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</si>
  <si>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</si>
  <si>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</si>
  <si>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</si>
  <si>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</si>
  <si>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</si>
  <si>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</si>
  <si>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</si>
  <si>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</si>
  <si>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</si>
  <si>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</si>
  <si>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</si>
  <si>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</si>
  <si>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</si>
  <si>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</si>
  <si>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</si>
  <si>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</si>
  <si>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</si>
  <si>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</si>
  <si>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</si>
  <si>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</si>
  <si>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</si>
  <si>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</si>
  <si>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</si>
  <si>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</si>
  <si>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</si>
  <si>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</si>
  <si>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</si>
  <si>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</si>
  <si>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</si>
  <si>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</si>
  <si>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</si>
  <si>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</si>
  <si>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</si>
  <si>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</si>
  <si>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</si>
  <si>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</si>
  <si>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</si>
  <si>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</si>
  <si>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</si>
  <si>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</si>
  <si>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</si>
  <si>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</si>
  <si>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</si>
  <si>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</si>
  <si>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</si>
  <si>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</si>
  <si>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</si>
  <si>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</si>
  <si>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</si>
  <si>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</si>
  <si>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</si>
  <si>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</si>
  <si>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</si>
  <si>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</si>
  <si>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</si>
  <si>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</si>
  <si>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</si>
  <si>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</si>
  <si>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</si>
  <si>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</si>
  <si>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</si>
  <si>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</si>
  <si>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</si>
  <si>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</si>
  <si>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</si>
  <si>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</si>
  <si>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</si>
  <si>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</si>
  <si>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</si>
  <si>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</si>
  <si>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</si>
  <si>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</si>
  <si>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</si>
  <si>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</si>
  <si>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</si>
  <si>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</si>
  <si>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</si>
  <si>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</si>
  <si>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</si>
  <si>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</si>
  <si>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</si>
  <si>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</si>
  <si>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</si>
  <si>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</si>
  <si>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</si>
  <si>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</si>
  <si>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</si>
  <si>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</si>
  <si>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</si>
  <si>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</si>
  <si>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</si>
  <si>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</si>
  <si>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</si>
  <si>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</si>
  <si>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</si>
  <si>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</si>
  <si>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</si>
  <si>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</si>
  <si>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</si>
  <si>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</si>
  <si>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</si>
  <si>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</si>
  <si>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</si>
  <si>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</si>
  <si>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</si>
  <si>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</si>
  <si>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</si>
  <si>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</si>
  <si>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</si>
  <si>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</si>
  <si>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</si>
  <si>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</si>
  <si>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</si>
  <si>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</si>
  <si>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</si>
  <si>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</si>
  <si>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</si>
  <si>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</si>
  <si>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</si>
  <si>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</si>
  <si>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</si>
  <si>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</si>
  <si>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</si>
  <si>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</si>
  <si>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</si>
  <si>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</si>
  <si>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</si>
  <si>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</si>
  <si>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</si>
  <si>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</si>
  <si>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</si>
  <si>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</si>
  <si>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</si>
  <si>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</si>
  <si>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</si>
  <si>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</si>
  <si>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</si>
  <si>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</si>
  <si>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</si>
  <si>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</si>
  <si>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</si>
  <si>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</si>
  <si>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</si>
  <si>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</si>
  <si>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</si>
  <si>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</si>
  <si>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</si>
  <si>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</si>
  <si>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</si>
  <si>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</si>
  <si>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</si>
  <si>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</si>
  <si>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</si>
  <si>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</si>
  <si>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</si>
  <si>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</si>
  <si>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</si>
  <si>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</si>
  <si>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</si>
  <si>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</si>
  <si>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</si>
  <si>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</si>
  <si>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</si>
  <si>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</si>
  <si>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</si>
  <si>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</si>
  <si>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</si>
  <si>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</si>
  <si>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</si>
  <si>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</si>
  <si>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</si>
  <si>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</si>
  <si>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</si>
  <si>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</si>
  <si>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</si>
  <si>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</si>
  <si>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</si>
  <si>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</si>
  <si>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</si>
  <si>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</si>
  <si>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</si>
  <si>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</si>
  <si>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</si>
  <si>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</si>
  <si>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</si>
  <si>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</si>
  <si>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</si>
  <si>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</si>
  <si>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</si>
  <si>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</si>
  <si>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</si>
  <si>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</si>
  <si>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</si>
  <si>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</si>
  <si>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</si>
  <si>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</si>
  <si>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</si>
  <si>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</si>
  <si>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</si>
  <si>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</si>
  <si>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</si>
  <si>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</si>
  <si>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</si>
  <si>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</si>
  <si>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</si>
  <si>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</si>
  <si>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</si>
  <si>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</si>
  <si>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</si>
  <si>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</si>
  <si>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</si>
  <si>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</si>
  <si>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</si>
  <si>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</si>
  <si>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</si>
  <si>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</si>
  <si>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</si>
  <si>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</si>
  <si>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</si>
  <si>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</si>
  <si>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</si>
  <si>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</si>
  <si>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</si>
  <si>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</si>
  <si>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</si>
  <si>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</si>
  <si>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</si>
  <si>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</si>
  <si>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</si>
  <si>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</si>
  <si>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</si>
  <si>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</si>
  <si>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</si>
  <si>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</si>
  <si>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</si>
  <si>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</si>
  <si>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</si>
  <si>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</si>
  <si>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</si>
  <si>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</si>
  <si>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</si>
  <si>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</si>
  <si>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</si>
  <si>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</si>
  <si>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</si>
  <si>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</si>
  <si>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</si>
  <si>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</si>
  <si>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</si>
  <si>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</si>
  <si>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</si>
  <si>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</si>
  <si>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</si>
  <si>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</si>
  <si>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</si>
  <si>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</si>
  <si>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</si>
  <si>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</si>
  <si>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</si>
  <si>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</si>
  <si>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</si>
  <si>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</si>
  <si>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</si>
  <si>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</si>
  <si>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</si>
  <si>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</si>
  <si>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</si>
  <si>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</si>
  <si>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</si>
  <si>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</si>
  <si>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</si>
  <si>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</si>
  <si>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</si>
  <si>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</si>
  <si>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</si>
  <si>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</si>
  <si>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</si>
  <si>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</si>
  <si>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</si>
  <si>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</si>
  <si>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</si>
  <si>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</si>
  <si>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</si>
  <si>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</si>
  <si>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</si>
  <si>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</si>
  <si>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</si>
  <si>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</si>
  <si>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</si>
  <si>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</si>
  <si>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</si>
  <si>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</si>
  <si>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</si>
  <si>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</si>
  <si>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</si>
  <si>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</si>
  <si>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</si>
  <si>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</si>
  <si>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</si>
  <si>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</si>
  <si>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</si>
  <si>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</si>
  <si>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</si>
  <si>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</si>
  <si>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</si>
  <si>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</si>
  <si>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</si>
  <si>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</si>
  <si>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</si>
  <si>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</si>
  <si>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</si>
  <si>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</si>
  <si>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</si>
  <si>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</si>
  <si>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</si>
  <si>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</si>
  <si>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</si>
  <si>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</si>
  <si>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</si>
  <si>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</si>
  <si>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</si>
  <si>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</si>
  <si>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</si>
  <si>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</si>
  <si>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</si>
  <si>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</si>
  <si>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</si>
  <si>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</si>
  <si>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</si>
  <si>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</si>
  <si>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</si>
  <si>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</si>
  <si>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</si>
  <si>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44012</t>
  </si>
  <si>
    <t>DE_PINTE</t>
  </si>
  <si>
    <t>referentietaak LNE (2017); Jaarverslag De Lijn</t>
  </si>
  <si>
    <t>waterkracht</t>
  </si>
  <si>
    <t>Gaston Vander Cruyssen</t>
  </si>
  <si>
    <t>Rubenslaan 12 , 9840 De Pinte</t>
  </si>
  <si>
    <t>WKK-0423 Gaston Vander Cruyssen</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</si>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</sst>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94210.480849896136</c:v>
                </c:pt>
                <c:pt idx="1">
                  <c:v>16966.581448307395</c:v>
                </c:pt>
                <c:pt idx="2">
                  <c:v>752.06200000000001</c:v>
                </c:pt>
                <c:pt idx="3">
                  <c:v>3179.0398638664306</c:v>
                </c:pt>
                <c:pt idx="4">
                  <c:v>2315.4030879495076</c:v>
                </c:pt>
                <c:pt idx="5">
                  <c:v>211762.28515958347</c:v>
                </c:pt>
                <c:pt idx="6">
                  <c:v>969.60755125830826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94210.480849896136</c:v>
                </c:pt>
                <c:pt idx="1">
                  <c:v>16966.581448307395</c:v>
                </c:pt>
                <c:pt idx="2">
                  <c:v>752.06200000000001</c:v>
                </c:pt>
                <c:pt idx="3">
                  <c:v>3179.0398638664306</c:v>
                </c:pt>
                <c:pt idx="4">
                  <c:v>2315.4030879495076</c:v>
                </c:pt>
                <c:pt idx="5">
                  <c:v>211762.28515958347</c:v>
                </c:pt>
                <c:pt idx="6">
                  <c:v>969.60755125830826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19084.528256105648</c:v>
                </c:pt>
                <c:pt idx="1">
                  <c:v>3359.4975315836655</c:v>
                </c:pt>
                <c:pt idx="2">
                  <c:v>143.46538655606761</c:v>
                </c:pt>
                <c:pt idx="3">
                  <c:v>760.80355315199881</c:v>
                </c:pt>
                <c:pt idx="4">
                  <c:v>470.92417184333215</c:v>
                </c:pt>
                <c:pt idx="5">
                  <c:v>52742.795653998153</c:v>
                </c:pt>
                <c:pt idx="6">
                  <c:v>243.9369012461035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19084.528256105648</c:v>
                </c:pt>
                <c:pt idx="1">
                  <c:v>3359.4975315836655</c:v>
                </c:pt>
                <c:pt idx="2">
                  <c:v>143.46538655606761</c:v>
                </c:pt>
                <c:pt idx="3">
                  <c:v>760.80355315199881</c:v>
                </c:pt>
                <c:pt idx="4">
                  <c:v>470.92417184333215</c:v>
                </c:pt>
                <c:pt idx="5">
                  <c:v>52742.795653998153</c:v>
                </c:pt>
                <c:pt idx="6">
                  <c:v>243.9369012461035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44012</v>
      </c>
      <c r="B6" s="386"/>
      <c r="C6" s="387"/>
    </row>
    <row r="7" spans="1:7" s="384" customFormat="1" ht="15.75" customHeight="1">
      <c r="A7" s="388" t="str">
        <f>txtMunicipality</f>
        <v>DE_PINTE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6692.1326861090593</v>
      </c>
      <c r="D10" s="683">
        <f ca="1">tertiair!C16</f>
        <v>0</v>
      </c>
      <c r="E10" s="683">
        <f ca="1">tertiair!D16</f>
        <v>9816.6542736189585</v>
      </c>
      <c r="F10" s="683">
        <f>tertiair!E16</f>
        <v>21.133014387153327</v>
      </c>
      <c r="G10" s="683">
        <f ca="1">tertiair!F16</f>
        <v>893.59777003971749</v>
      </c>
      <c r="H10" s="683">
        <f>tertiair!G16</f>
        <v>0</v>
      </c>
      <c r="I10" s="683">
        <f>tertiair!H16</f>
        <v>0</v>
      </c>
      <c r="J10" s="683">
        <f>tertiair!I16</f>
        <v>0</v>
      </c>
      <c r="K10" s="683">
        <f>tertiair!J16</f>
        <v>4.4551554602060119E-3</v>
      </c>
      <c r="L10" s="683">
        <f>tertiair!K16</f>
        <v>0</v>
      </c>
      <c r="M10" s="683">
        <f ca="1">tertiair!L16</f>
        <v>0</v>
      </c>
      <c r="N10" s="683">
        <f>tertiair!M16</f>
        <v>0</v>
      </c>
      <c r="O10" s="683">
        <f ca="1">tertiair!N16</f>
        <v>175.35119008653757</v>
      </c>
      <c r="P10" s="683">
        <f>tertiair!O16</f>
        <v>14.691782297523464</v>
      </c>
      <c r="Q10" s="684">
        <f>tertiair!P16</f>
        <v>105.07827661299004</v>
      </c>
      <c r="R10" s="686">
        <f ca="1">SUM(C10:Q10)</f>
        <v>17718.643448307397</v>
      </c>
      <c r="S10" s="67"/>
    </row>
    <row r="11" spans="1:19" s="445" customFormat="1">
      <c r="A11" s="804" t="s">
        <v>220</v>
      </c>
      <c r="B11" s="809"/>
      <c r="C11" s="683">
        <f>huishoudens!B8</f>
        <v>21946.667082666005</v>
      </c>
      <c r="D11" s="683">
        <f>huishoudens!C8</f>
        <v>0</v>
      </c>
      <c r="E11" s="683">
        <f>huishoudens!D8</f>
        <v>39282.697323126165</v>
      </c>
      <c r="F11" s="683">
        <f>huishoudens!E8</f>
        <v>1137.6670010854778</v>
      </c>
      <c r="G11" s="683">
        <f>huishoudens!F8</f>
        <v>24922.42192775042</v>
      </c>
      <c r="H11" s="683">
        <f>huishoudens!G8</f>
        <v>0</v>
      </c>
      <c r="I11" s="683">
        <f>huishoudens!H8</f>
        <v>0</v>
      </c>
      <c r="J11" s="683">
        <f>huishoudens!I8</f>
        <v>0</v>
      </c>
      <c r="K11" s="683">
        <f>huishoudens!J8</f>
        <v>142.03560842520048</v>
      </c>
      <c r="L11" s="683">
        <f>huishoudens!K8</f>
        <v>0</v>
      </c>
      <c r="M11" s="683">
        <f>huishoudens!L8</f>
        <v>0</v>
      </c>
      <c r="N11" s="683">
        <f>huishoudens!M8</f>
        <v>0</v>
      </c>
      <c r="O11" s="683">
        <f>huishoudens!N8</f>
        <v>5897.779588399093</v>
      </c>
      <c r="P11" s="683">
        <f>huishoudens!O8</f>
        <v>365.04831236721384</v>
      </c>
      <c r="Q11" s="684">
        <f>huishoudens!P8</f>
        <v>516.16400607656612</v>
      </c>
      <c r="R11" s="686">
        <f>SUM(C11:Q11)</f>
        <v>94210.480849896136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1029.4807051166974</v>
      </c>
      <c r="D13" s="683">
        <f>industrie!C18</f>
        <v>0</v>
      </c>
      <c r="E13" s="683">
        <f>industrie!D18</f>
        <v>833.39063866099934</v>
      </c>
      <c r="F13" s="683">
        <f>industrie!E18</f>
        <v>5.5008880245304219</v>
      </c>
      <c r="G13" s="683">
        <f>industrie!F18</f>
        <v>391.50650527763298</v>
      </c>
      <c r="H13" s="683">
        <f>industrie!G18</f>
        <v>0</v>
      </c>
      <c r="I13" s="683">
        <f>industrie!H18</f>
        <v>0</v>
      </c>
      <c r="J13" s="683">
        <f>industrie!I18</f>
        <v>0</v>
      </c>
      <c r="K13" s="683">
        <f>industrie!J18</f>
        <v>1.1632579012143589</v>
      </c>
      <c r="L13" s="683">
        <f>industrie!K18</f>
        <v>0</v>
      </c>
      <c r="M13" s="683">
        <f>industrie!L18</f>
        <v>0</v>
      </c>
      <c r="N13" s="683">
        <f>industrie!M18</f>
        <v>0</v>
      </c>
      <c r="O13" s="683">
        <f>industrie!N18</f>
        <v>54.361092968432985</v>
      </c>
      <c r="P13" s="683">
        <f>industrie!O18</f>
        <v>0</v>
      </c>
      <c r="Q13" s="684">
        <f>industrie!P18</f>
        <v>0</v>
      </c>
      <c r="R13" s="686">
        <f>SUM(C13:Q13)</f>
        <v>2315.4030879495076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29668.280473891762</v>
      </c>
      <c r="D16" s="719">
        <f t="shared" ref="D16:R16" ca="1" si="0">SUM(D9:D15)</f>
        <v>0</v>
      </c>
      <c r="E16" s="719">
        <f t="shared" ca="1" si="0"/>
        <v>49932.74223540612</v>
      </c>
      <c r="F16" s="719">
        <f t="shared" si="0"/>
        <v>1164.3009034971615</v>
      </c>
      <c r="G16" s="719">
        <f t="shared" ca="1" si="0"/>
        <v>26207.52620306777</v>
      </c>
      <c r="H16" s="719">
        <f t="shared" si="0"/>
        <v>0</v>
      </c>
      <c r="I16" s="719">
        <f t="shared" si="0"/>
        <v>0</v>
      </c>
      <c r="J16" s="719">
        <f t="shared" si="0"/>
        <v>0</v>
      </c>
      <c r="K16" s="719">
        <f t="shared" si="0"/>
        <v>143.20332148187504</v>
      </c>
      <c r="L16" s="719">
        <f t="shared" si="0"/>
        <v>0</v>
      </c>
      <c r="M16" s="719">
        <f t="shared" ca="1" si="0"/>
        <v>0</v>
      </c>
      <c r="N16" s="719">
        <f t="shared" si="0"/>
        <v>0</v>
      </c>
      <c r="O16" s="719">
        <f t="shared" ca="1" si="0"/>
        <v>6127.4918714540636</v>
      </c>
      <c r="P16" s="719">
        <f t="shared" si="0"/>
        <v>379.74009466473728</v>
      </c>
      <c r="Q16" s="719">
        <f t="shared" si="0"/>
        <v>621.24228268955619</v>
      </c>
      <c r="R16" s="719">
        <f t="shared" ca="1" si="0"/>
        <v>114244.52738615304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14.429209823300754</v>
      </c>
      <c r="D19" s="683">
        <f>transport!C54</f>
        <v>0</v>
      </c>
      <c r="E19" s="683">
        <f>transport!D54</f>
        <v>0</v>
      </c>
      <c r="F19" s="683">
        <f>transport!E54</f>
        <v>0</v>
      </c>
      <c r="G19" s="683">
        <f>transport!F54</f>
        <v>0</v>
      </c>
      <c r="H19" s="683">
        <f>transport!G54</f>
        <v>903.31215749508658</v>
      </c>
      <c r="I19" s="683">
        <f>transport!H54</f>
        <v>0</v>
      </c>
      <c r="J19" s="683">
        <f>transport!I54</f>
        <v>0</v>
      </c>
      <c r="K19" s="683">
        <f>transport!J54</f>
        <v>0</v>
      </c>
      <c r="L19" s="683">
        <f>transport!K54</f>
        <v>0</v>
      </c>
      <c r="M19" s="683">
        <f>transport!L54</f>
        <v>0</v>
      </c>
      <c r="N19" s="683">
        <f>transport!M54</f>
        <v>51.866183939920909</v>
      </c>
      <c r="O19" s="683">
        <f>transport!N54</f>
        <v>0</v>
      </c>
      <c r="P19" s="683">
        <f>transport!O54</f>
        <v>0</v>
      </c>
      <c r="Q19" s="684">
        <f>transport!P54</f>
        <v>0</v>
      </c>
      <c r="R19" s="686">
        <f>SUM(C19:Q19)</f>
        <v>969.60755125830826</v>
      </c>
      <c r="S19" s="67"/>
    </row>
    <row r="20" spans="1:19" s="445" customFormat="1">
      <c r="A20" s="804" t="s">
        <v>302</v>
      </c>
      <c r="B20" s="809"/>
      <c r="C20" s="683">
        <f>transport!B14</f>
        <v>399.26044203867463</v>
      </c>
      <c r="D20" s="683">
        <f>transport!C14</f>
        <v>0</v>
      </c>
      <c r="E20" s="683">
        <f>transport!D14</f>
        <v>612.3876441671656</v>
      </c>
      <c r="F20" s="683">
        <f>transport!E14</f>
        <v>279.45202220988023</v>
      </c>
      <c r="G20" s="683">
        <f>transport!F14</f>
        <v>0</v>
      </c>
      <c r="H20" s="683">
        <f>transport!G14</f>
        <v>167581.23584799984</v>
      </c>
      <c r="I20" s="683">
        <f>transport!H14</f>
        <v>31065.476967004121</v>
      </c>
      <c r="J20" s="683">
        <f>transport!I14</f>
        <v>0</v>
      </c>
      <c r="K20" s="683">
        <f>transport!J14</f>
        <v>0</v>
      </c>
      <c r="L20" s="683">
        <f>transport!K14</f>
        <v>0</v>
      </c>
      <c r="M20" s="683">
        <f>transport!L14</f>
        <v>0</v>
      </c>
      <c r="N20" s="683">
        <f>transport!M14</f>
        <v>11824.472236163767</v>
      </c>
      <c r="O20" s="683">
        <f>transport!N14</f>
        <v>0</v>
      </c>
      <c r="P20" s="683">
        <f>transport!O14</f>
        <v>0</v>
      </c>
      <c r="Q20" s="684">
        <f>transport!P14</f>
        <v>0</v>
      </c>
      <c r="R20" s="686">
        <f>SUM(C20:Q20)</f>
        <v>211762.28515958347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413.68965186197539</v>
      </c>
      <c r="D22" s="807">
        <f t="shared" ref="D22:R22" si="1">SUM(D18:D21)</f>
        <v>0</v>
      </c>
      <c r="E22" s="807">
        <f t="shared" si="1"/>
        <v>612.3876441671656</v>
      </c>
      <c r="F22" s="807">
        <f t="shared" si="1"/>
        <v>279.45202220988023</v>
      </c>
      <c r="G22" s="807">
        <f t="shared" si="1"/>
        <v>0</v>
      </c>
      <c r="H22" s="807">
        <f t="shared" si="1"/>
        <v>168484.54800549493</v>
      </c>
      <c r="I22" s="807">
        <f t="shared" si="1"/>
        <v>31065.476967004121</v>
      </c>
      <c r="J22" s="807">
        <f t="shared" si="1"/>
        <v>0</v>
      </c>
      <c r="K22" s="807">
        <f t="shared" si="1"/>
        <v>0</v>
      </c>
      <c r="L22" s="807">
        <f t="shared" si="1"/>
        <v>0</v>
      </c>
      <c r="M22" s="807">
        <f t="shared" si="1"/>
        <v>0</v>
      </c>
      <c r="N22" s="807">
        <f t="shared" si="1"/>
        <v>11876.338420103688</v>
      </c>
      <c r="O22" s="807">
        <f t="shared" si="1"/>
        <v>0</v>
      </c>
      <c r="P22" s="807">
        <f t="shared" si="1"/>
        <v>0</v>
      </c>
      <c r="Q22" s="807">
        <f t="shared" si="1"/>
        <v>0</v>
      </c>
      <c r="R22" s="807">
        <f t="shared" si="1"/>
        <v>212731.89271084178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505.09012353136097</v>
      </c>
      <c r="D24" s="683">
        <f>+landbouw!C8</f>
        <v>22.5</v>
      </c>
      <c r="E24" s="683">
        <f>+landbouw!D8</f>
        <v>909.70012672820201</v>
      </c>
      <c r="F24" s="683">
        <f>+landbouw!E8</f>
        <v>14.466635906917837</v>
      </c>
      <c r="G24" s="683">
        <f>+landbouw!F8</f>
        <v>1598.8544203239776</v>
      </c>
      <c r="H24" s="683">
        <f>+landbouw!G8</f>
        <v>0</v>
      </c>
      <c r="I24" s="683">
        <f>+landbouw!H8</f>
        <v>0</v>
      </c>
      <c r="J24" s="683">
        <f>+landbouw!I8</f>
        <v>0</v>
      </c>
      <c r="K24" s="683">
        <f>+landbouw!J8</f>
        <v>128.42855737597222</v>
      </c>
      <c r="L24" s="683">
        <f>+landbouw!K8</f>
        <v>0</v>
      </c>
      <c r="M24" s="683">
        <f>+landbouw!L8</f>
        <v>0</v>
      </c>
      <c r="N24" s="683">
        <f>+landbouw!M8</f>
        <v>0</v>
      </c>
      <c r="O24" s="683">
        <f>+landbouw!N8</f>
        <v>0</v>
      </c>
      <c r="P24" s="683">
        <f>+landbouw!O8</f>
        <v>0</v>
      </c>
      <c r="Q24" s="684">
        <f>+landbouw!P8</f>
        <v>0</v>
      </c>
      <c r="R24" s="686">
        <f>SUM(C24:Q24)</f>
        <v>3179.0398638664306</v>
      </c>
      <c r="S24" s="67"/>
    </row>
    <row r="25" spans="1:19" s="445" customFormat="1" ht="15" thickBot="1">
      <c r="A25" s="826" t="s">
        <v>696</v>
      </c>
      <c r="B25" s="939"/>
      <c r="C25" s="940">
        <f>IF(Onbekend_ele_kWh="---",0,Onbekend_ele_kWh)/1000+IF(REST_rest_ele_kWh="---",0,REST_rest_ele_kWh)/1000</f>
        <v>607.060080432875</v>
      </c>
      <c r="D25" s="940"/>
      <c r="E25" s="940">
        <f>IF(onbekend_gas_kWh="---",0,onbekend_gas_kWh)/1000+IF(REST_rest_gas_kWh="---",0,REST_rest_gas_kWh)/1000</f>
        <v>1086.4316293952299</v>
      </c>
      <c r="F25" s="940"/>
      <c r="G25" s="940"/>
      <c r="H25" s="940"/>
      <c r="I25" s="940"/>
      <c r="J25" s="940"/>
      <c r="K25" s="940"/>
      <c r="L25" s="940"/>
      <c r="M25" s="940"/>
      <c r="N25" s="940"/>
      <c r="O25" s="940"/>
      <c r="P25" s="940"/>
      <c r="Q25" s="941"/>
      <c r="R25" s="686">
        <f>SUM(C25:Q25)</f>
        <v>1693.4917098281048</v>
      </c>
      <c r="S25" s="67"/>
    </row>
    <row r="26" spans="1:19" s="445" customFormat="1" ht="15.75" thickBot="1">
      <c r="A26" s="691" t="s">
        <v>697</v>
      </c>
      <c r="B26" s="812"/>
      <c r="C26" s="807">
        <f>SUM(C24:C25)</f>
        <v>1112.150203964236</v>
      </c>
      <c r="D26" s="807">
        <f t="shared" ref="D26:R26" si="2">SUM(D24:D25)</f>
        <v>22.5</v>
      </c>
      <c r="E26" s="807">
        <f t="shared" si="2"/>
        <v>1996.1317561234318</v>
      </c>
      <c r="F26" s="807">
        <f t="shared" si="2"/>
        <v>14.466635906917837</v>
      </c>
      <c r="G26" s="807">
        <f t="shared" si="2"/>
        <v>1598.8544203239776</v>
      </c>
      <c r="H26" s="807">
        <f t="shared" si="2"/>
        <v>0</v>
      </c>
      <c r="I26" s="807">
        <f t="shared" si="2"/>
        <v>0</v>
      </c>
      <c r="J26" s="807">
        <f t="shared" si="2"/>
        <v>0</v>
      </c>
      <c r="K26" s="807">
        <f t="shared" si="2"/>
        <v>128.42855737597222</v>
      </c>
      <c r="L26" s="807">
        <f t="shared" si="2"/>
        <v>0</v>
      </c>
      <c r="M26" s="807">
        <f t="shared" si="2"/>
        <v>0</v>
      </c>
      <c r="N26" s="807">
        <f t="shared" si="2"/>
        <v>0</v>
      </c>
      <c r="O26" s="807">
        <f t="shared" si="2"/>
        <v>0</v>
      </c>
      <c r="P26" s="807">
        <f t="shared" si="2"/>
        <v>0</v>
      </c>
      <c r="Q26" s="807">
        <f t="shared" si="2"/>
        <v>0</v>
      </c>
      <c r="R26" s="807">
        <f t="shared" si="2"/>
        <v>4872.5315736945358</v>
      </c>
      <c r="S26" s="67"/>
    </row>
    <row r="27" spans="1:19" s="445" customFormat="1" ht="17.25" thickTop="1" thickBot="1">
      <c r="A27" s="692" t="s">
        <v>115</v>
      </c>
      <c r="B27" s="799"/>
      <c r="C27" s="693">
        <f ca="1">C22+C16+C26</f>
        <v>31194.120329717975</v>
      </c>
      <c r="D27" s="693">
        <f t="shared" ref="D27:R27" ca="1" si="3">D22+D16+D26</f>
        <v>22.5</v>
      </c>
      <c r="E27" s="693">
        <f t="shared" ca="1" si="3"/>
        <v>52541.261635696719</v>
      </c>
      <c r="F27" s="693">
        <f t="shared" si="3"/>
        <v>1458.2195616139595</v>
      </c>
      <c r="G27" s="693">
        <f t="shared" ca="1" si="3"/>
        <v>27806.380623391746</v>
      </c>
      <c r="H27" s="693">
        <f t="shared" si="3"/>
        <v>168484.54800549493</v>
      </c>
      <c r="I27" s="693">
        <f t="shared" si="3"/>
        <v>31065.476967004121</v>
      </c>
      <c r="J27" s="693">
        <f t="shared" si="3"/>
        <v>0</v>
      </c>
      <c r="K27" s="693">
        <f t="shared" si="3"/>
        <v>271.63187885784725</v>
      </c>
      <c r="L27" s="693">
        <f t="shared" si="3"/>
        <v>0</v>
      </c>
      <c r="M27" s="693">
        <f t="shared" ca="1" si="3"/>
        <v>0</v>
      </c>
      <c r="N27" s="693">
        <f t="shared" si="3"/>
        <v>11876.338420103688</v>
      </c>
      <c r="O27" s="693">
        <f t="shared" ca="1" si="3"/>
        <v>6127.4918714540636</v>
      </c>
      <c r="P27" s="693">
        <f t="shared" si="3"/>
        <v>379.74009466473728</v>
      </c>
      <c r="Q27" s="693">
        <f t="shared" si="3"/>
        <v>621.24228268955619</v>
      </c>
      <c r="R27" s="693">
        <f t="shared" ca="1" si="3"/>
        <v>331848.95167068939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1276.6093788771821</v>
      </c>
      <c r="D40" s="683">
        <f ca="1">tertiair!C20</f>
        <v>0</v>
      </c>
      <c r="E40" s="683">
        <f ca="1">tertiair!D20</f>
        <v>1982.9641632710297</v>
      </c>
      <c r="F40" s="683">
        <f>tertiair!E20</f>
        <v>4.7971942658838058</v>
      </c>
      <c r="G40" s="683">
        <f ca="1">tertiair!F20</f>
        <v>238.59060460060459</v>
      </c>
      <c r="H40" s="683">
        <f>tertiair!G20</f>
        <v>0</v>
      </c>
      <c r="I40" s="683">
        <f>tertiair!H20</f>
        <v>0</v>
      </c>
      <c r="J40" s="683">
        <f>tertiair!I20</f>
        <v>0</v>
      </c>
      <c r="K40" s="683">
        <f>tertiair!J20</f>
        <v>1.5771250329129282E-3</v>
      </c>
      <c r="L40" s="683">
        <f>tertiair!K20</f>
        <v>0</v>
      </c>
      <c r="M40" s="683">
        <f ca="1">tertiair!L20</f>
        <v>0</v>
      </c>
      <c r="N40" s="683">
        <f>tertiair!M20</f>
        <v>0</v>
      </c>
      <c r="O40" s="683">
        <f ca="1">tertiair!N20</f>
        <v>0</v>
      </c>
      <c r="P40" s="683">
        <f>tertiair!O20</f>
        <v>0</v>
      </c>
      <c r="Q40" s="766">
        <f>tertiair!P20</f>
        <v>0</v>
      </c>
      <c r="R40" s="845">
        <f t="shared" ca="1" si="4"/>
        <v>3502.9629181397331</v>
      </c>
    </row>
    <row r="41" spans="1:18">
      <c r="A41" s="817" t="s">
        <v>220</v>
      </c>
      <c r="B41" s="824"/>
      <c r="C41" s="683">
        <f ca="1">huishoudens!B12</f>
        <v>4186.6057274958748</v>
      </c>
      <c r="D41" s="683">
        <f ca="1">huishoudens!C12</f>
        <v>0</v>
      </c>
      <c r="E41" s="683">
        <f>huishoudens!D12</f>
        <v>7935.104859271486</v>
      </c>
      <c r="F41" s="683">
        <f>huishoudens!E12</f>
        <v>258.25040924640348</v>
      </c>
      <c r="G41" s="683">
        <f>huishoudens!F12</f>
        <v>6654.2866547093627</v>
      </c>
      <c r="H41" s="683">
        <f>huishoudens!G12</f>
        <v>0</v>
      </c>
      <c r="I41" s="683">
        <f>huishoudens!H12</f>
        <v>0</v>
      </c>
      <c r="J41" s="683">
        <f>huishoudens!I12</f>
        <v>0</v>
      </c>
      <c r="K41" s="683">
        <f>huishoudens!J12</f>
        <v>50.280605382520967</v>
      </c>
      <c r="L41" s="683">
        <f>huishoudens!K12</f>
        <v>0</v>
      </c>
      <c r="M41" s="683">
        <f>huishoudens!L12</f>
        <v>0</v>
      </c>
      <c r="N41" s="683">
        <f>huishoudens!M12</f>
        <v>0</v>
      </c>
      <c r="O41" s="683">
        <f>huishoudens!N12</f>
        <v>0</v>
      </c>
      <c r="P41" s="683">
        <f>huishoudens!O12</f>
        <v>0</v>
      </c>
      <c r="Q41" s="766">
        <f>huishoudens!P12</f>
        <v>0</v>
      </c>
      <c r="R41" s="845">
        <f t="shared" ca="1" si="4"/>
        <v>19084.528256105648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196.386531046084</v>
      </c>
      <c r="D43" s="683">
        <f ca="1">industrie!C22</f>
        <v>0</v>
      </c>
      <c r="E43" s="683">
        <f>industrie!D22</f>
        <v>168.34490900952187</v>
      </c>
      <c r="F43" s="683">
        <f>industrie!E22</f>
        <v>1.2487015815684057</v>
      </c>
      <c r="G43" s="683">
        <f>industrie!F22</f>
        <v>104.53223690912802</v>
      </c>
      <c r="H43" s="683">
        <f>industrie!G22</f>
        <v>0</v>
      </c>
      <c r="I43" s="683">
        <f>industrie!H22</f>
        <v>0</v>
      </c>
      <c r="J43" s="683">
        <f>industrie!I22</f>
        <v>0</v>
      </c>
      <c r="K43" s="683">
        <f>industrie!J22</f>
        <v>0.41179329702988304</v>
      </c>
      <c r="L43" s="683">
        <f>industrie!K22</f>
        <v>0</v>
      </c>
      <c r="M43" s="683">
        <f>industrie!L22</f>
        <v>0</v>
      </c>
      <c r="N43" s="683">
        <f>industrie!M22</f>
        <v>0</v>
      </c>
      <c r="O43" s="683">
        <f>industrie!N22</f>
        <v>0</v>
      </c>
      <c r="P43" s="683">
        <f>industrie!O22</f>
        <v>0</v>
      </c>
      <c r="Q43" s="766">
        <f>industrie!P22</f>
        <v>0</v>
      </c>
      <c r="R43" s="844">
        <f t="shared" ca="1" si="4"/>
        <v>470.92417184333215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5659.6016374191413</v>
      </c>
      <c r="D46" s="719">
        <f t="shared" ref="D46:Q46" ca="1" si="5">SUM(D39:D45)</f>
        <v>0</v>
      </c>
      <c r="E46" s="719">
        <f t="shared" ca="1" si="5"/>
        <v>10086.413931552037</v>
      </c>
      <c r="F46" s="719">
        <f t="shared" si="5"/>
        <v>264.29630509385572</v>
      </c>
      <c r="G46" s="719">
        <f t="shared" ca="1" si="5"/>
        <v>6997.4094962190957</v>
      </c>
      <c r="H46" s="719">
        <f t="shared" si="5"/>
        <v>0</v>
      </c>
      <c r="I46" s="719">
        <f t="shared" si="5"/>
        <v>0</v>
      </c>
      <c r="J46" s="719">
        <f t="shared" si="5"/>
        <v>0</v>
      </c>
      <c r="K46" s="719">
        <f t="shared" si="5"/>
        <v>50.693975804583758</v>
      </c>
      <c r="L46" s="719">
        <f t="shared" si="5"/>
        <v>0</v>
      </c>
      <c r="M46" s="719">
        <f t="shared" ca="1" si="5"/>
        <v>0</v>
      </c>
      <c r="N46" s="719">
        <f t="shared" si="5"/>
        <v>0</v>
      </c>
      <c r="O46" s="719">
        <f t="shared" ca="1" si="5"/>
        <v>0</v>
      </c>
      <c r="P46" s="719">
        <f t="shared" si="5"/>
        <v>0</v>
      </c>
      <c r="Q46" s="719">
        <f t="shared" si="5"/>
        <v>0</v>
      </c>
      <c r="R46" s="719">
        <f ca="1">SUM(R39:R45)</f>
        <v>23058.415346088714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2.7525551949153799</v>
      </c>
      <c r="D49" s="683">
        <f ca="1">transport!C58</f>
        <v>0</v>
      </c>
      <c r="E49" s="683">
        <f>transport!D58</f>
        <v>0</v>
      </c>
      <c r="F49" s="683">
        <f>transport!E58</f>
        <v>0</v>
      </c>
      <c r="G49" s="683">
        <f>transport!F58</f>
        <v>0</v>
      </c>
      <c r="H49" s="683">
        <f>transport!G58</f>
        <v>241.18434605118813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243.9369012461035</v>
      </c>
    </row>
    <row r="50" spans="1:18">
      <c r="A50" s="820" t="s">
        <v>302</v>
      </c>
      <c r="B50" s="830"/>
      <c r="C50" s="689">
        <f ca="1">transport!B18</f>
        <v>76.164004634757347</v>
      </c>
      <c r="D50" s="689">
        <f>transport!C18</f>
        <v>0</v>
      </c>
      <c r="E50" s="689">
        <f>transport!D18</f>
        <v>123.70230412176745</v>
      </c>
      <c r="F50" s="689">
        <f>transport!E18</f>
        <v>63.435609041642813</v>
      </c>
      <c r="G50" s="689">
        <f>transport!F18</f>
        <v>0</v>
      </c>
      <c r="H50" s="689">
        <f>transport!G18</f>
        <v>44744.189971415959</v>
      </c>
      <c r="I50" s="689">
        <f>transport!H18</f>
        <v>7735.3037647840256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52742.795653998153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78.916559829672721</v>
      </c>
      <c r="D52" s="719">
        <f t="shared" ref="D52:Q52" ca="1" si="6">SUM(D48:D51)</f>
        <v>0</v>
      </c>
      <c r="E52" s="719">
        <f t="shared" si="6"/>
        <v>123.70230412176745</v>
      </c>
      <c r="F52" s="719">
        <f t="shared" si="6"/>
        <v>63.435609041642813</v>
      </c>
      <c r="G52" s="719">
        <f t="shared" si="6"/>
        <v>0</v>
      </c>
      <c r="H52" s="719">
        <f t="shared" si="6"/>
        <v>44985.374317467147</v>
      </c>
      <c r="I52" s="719">
        <f t="shared" si="6"/>
        <v>7735.3037647840256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52986.732555244256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96.352361664435435</v>
      </c>
      <c r="D54" s="689">
        <f ca="1">+landbouw!C12</f>
        <v>5.0500000000000007</v>
      </c>
      <c r="E54" s="689">
        <f>+landbouw!D12</f>
        <v>183.75942559909683</v>
      </c>
      <c r="F54" s="689">
        <f>+landbouw!E12</f>
        <v>3.2839263508703489</v>
      </c>
      <c r="G54" s="689">
        <f>+landbouw!F12</f>
        <v>426.89413022650206</v>
      </c>
      <c r="H54" s="689">
        <f>+landbouw!G12</f>
        <v>0</v>
      </c>
      <c r="I54" s="689">
        <f>+landbouw!H12</f>
        <v>0</v>
      </c>
      <c r="J54" s="689">
        <f>+landbouw!I12</f>
        <v>0</v>
      </c>
      <c r="K54" s="689">
        <f>+landbouw!J12</f>
        <v>45.463709311094163</v>
      </c>
      <c r="L54" s="689">
        <f>+landbouw!K12</f>
        <v>0</v>
      </c>
      <c r="M54" s="689">
        <f>+landbouw!L12</f>
        <v>0</v>
      </c>
      <c r="N54" s="689">
        <f>+landbouw!M12</f>
        <v>0</v>
      </c>
      <c r="O54" s="689">
        <f>+landbouw!N12</f>
        <v>0</v>
      </c>
      <c r="P54" s="689">
        <f>+landbouw!O12</f>
        <v>0</v>
      </c>
      <c r="Q54" s="690">
        <f>+landbouw!P12</f>
        <v>0</v>
      </c>
      <c r="R54" s="718">
        <f ca="1">SUM(C54:Q54)</f>
        <v>760.80355315199881</v>
      </c>
    </row>
    <row r="55" spans="1:18" ht="15" thickBot="1">
      <c r="A55" s="820" t="s">
        <v>696</v>
      </c>
      <c r="B55" s="830"/>
      <c r="C55" s="689">
        <f ca="1">C25*'EF ele_warmte'!B12</f>
        <v>115.8044271643294</v>
      </c>
      <c r="D55" s="689"/>
      <c r="E55" s="689">
        <f>E25*EF_CO2_aardgas</f>
        <v>219.45918913783646</v>
      </c>
      <c r="F55" s="689"/>
      <c r="G55" s="689"/>
      <c r="H55" s="689"/>
      <c r="I55" s="689"/>
      <c r="J55" s="689"/>
      <c r="K55" s="689"/>
      <c r="L55" s="689"/>
      <c r="M55" s="689"/>
      <c r="N55" s="689"/>
      <c r="O55" s="689"/>
      <c r="P55" s="689"/>
      <c r="Q55" s="690"/>
      <c r="R55" s="718">
        <f ca="1">SUM(C55:Q55)</f>
        <v>335.26361630216587</v>
      </c>
    </row>
    <row r="56" spans="1:18" ht="15.75" thickBot="1">
      <c r="A56" s="818" t="s">
        <v>697</v>
      </c>
      <c r="B56" s="831"/>
      <c r="C56" s="719">
        <f ca="1">SUM(C54:C55)</f>
        <v>212.15678882876483</v>
      </c>
      <c r="D56" s="719">
        <f t="shared" ref="D56:Q56" ca="1" si="7">SUM(D54:D55)</f>
        <v>5.0500000000000007</v>
      </c>
      <c r="E56" s="719">
        <f t="shared" si="7"/>
        <v>403.21861473693332</v>
      </c>
      <c r="F56" s="719">
        <f t="shared" si="7"/>
        <v>3.2839263508703489</v>
      </c>
      <c r="G56" s="719">
        <f t="shared" si="7"/>
        <v>426.89413022650206</v>
      </c>
      <c r="H56" s="719">
        <f t="shared" si="7"/>
        <v>0</v>
      </c>
      <c r="I56" s="719">
        <f t="shared" si="7"/>
        <v>0</v>
      </c>
      <c r="J56" s="719">
        <f t="shared" si="7"/>
        <v>0</v>
      </c>
      <c r="K56" s="719">
        <f t="shared" si="7"/>
        <v>45.463709311094163</v>
      </c>
      <c r="L56" s="719">
        <f t="shared" si="7"/>
        <v>0</v>
      </c>
      <c r="M56" s="719">
        <f t="shared" si="7"/>
        <v>0</v>
      </c>
      <c r="N56" s="719">
        <f t="shared" si="7"/>
        <v>0</v>
      </c>
      <c r="O56" s="719">
        <f t="shared" si="7"/>
        <v>0</v>
      </c>
      <c r="P56" s="719">
        <f t="shared" si="7"/>
        <v>0</v>
      </c>
      <c r="Q56" s="720">
        <f t="shared" si="7"/>
        <v>0</v>
      </c>
      <c r="R56" s="721">
        <f ca="1">SUM(R54:R55)</f>
        <v>1096.0671694541647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5950.674986077579</v>
      </c>
      <c r="D61" s="727">
        <f t="shared" ref="D61:Q61" ca="1" si="8">D46+D52+D56</f>
        <v>5.0500000000000007</v>
      </c>
      <c r="E61" s="727">
        <f t="shared" ca="1" si="8"/>
        <v>10613.334850410738</v>
      </c>
      <c r="F61" s="727">
        <f t="shared" si="8"/>
        <v>331.01584048636886</v>
      </c>
      <c r="G61" s="727">
        <f t="shared" ca="1" si="8"/>
        <v>7424.3036264455977</v>
      </c>
      <c r="H61" s="727">
        <f t="shared" si="8"/>
        <v>44985.374317467147</v>
      </c>
      <c r="I61" s="727">
        <f t="shared" si="8"/>
        <v>7735.3037647840256</v>
      </c>
      <c r="J61" s="727">
        <f t="shared" si="8"/>
        <v>0</v>
      </c>
      <c r="K61" s="727">
        <f t="shared" si="8"/>
        <v>96.157685115677921</v>
      </c>
      <c r="L61" s="727">
        <f t="shared" si="8"/>
        <v>0</v>
      </c>
      <c r="M61" s="727">
        <f t="shared" ca="1" si="8"/>
        <v>0</v>
      </c>
      <c r="N61" s="727">
        <f t="shared" si="8"/>
        <v>0</v>
      </c>
      <c r="O61" s="727">
        <f t="shared" ca="1" si="8"/>
        <v>0</v>
      </c>
      <c r="P61" s="727">
        <f t="shared" si="8"/>
        <v>0</v>
      </c>
      <c r="Q61" s="727">
        <f t="shared" si="8"/>
        <v>0</v>
      </c>
      <c r="R61" s="727">
        <f ca="1">R46+R52+R56</f>
        <v>77141.215070787133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0.1907627117924687</v>
      </c>
      <c r="D63" s="773">
        <f t="shared" ca="1" si="9"/>
        <v>0.22444444444444447</v>
      </c>
      <c r="E63" s="965">
        <f t="shared" ca="1" si="9"/>
        <v>0.20200000000000001</v>
      </c>
      <c r="F63" s="773">
        <f t="shared" si="9"/>
        <v>0.22700000000000004</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4268.0593067425034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4.5</v>
      </c>
      <c r="D76" s="948">
        <f>'lokale energieproductie'!C8</f>
        <v>5</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1.01</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4268.0593067425034</v>
      </c>
      <c r="C78" s="745">
        <f>SUM(C72:C77)</f>
        <v>4.5</v>
      </c>
      <c r="D78" s="746">
        <f t="shared" ref="D78:H78" si="10">SUM(D76:D77)</f>
        <v>5</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1.01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22.5</v>
      </c>
      <c r="D87" s="769">
        <f>'lokale energieproductie'!C17</f>
        <v>25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5.0500000000000007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22.5</v>
      </c>
      <c r="D90" s="745">
        <f t="shared" ref="D90:H90" si="12">SUM(D87:D89)</f>
        <v>25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5.0500000000000007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21946.667082666005</v>
      </c>
      <c r="C4" s="449">
        <f>huishoudens!C8</f>
        <v>0</v>
      </c>
      <c r="D4" s="449">
        <f>huishoudens!D8</f>
        <v>39282.697323126165</v>
      </c>
      <c r="E4" s="449">
        <f>huishoudens!E8</f>
        <v>1137.6670010854778</v>
      </c>
      <c r="F4" s="449">
        <f>huishoudens!F8</f>
        <v>24922.42192775042</v>
      </c>
      <c r="G4" s="449">
        <f>huishoudens!G8</f>
        <v>0</v>
      </c>
      <c r="H4" s="449">
        <f>huishoudens!H8</f>
        <v>0</v>
      </c>
      <c r="I4" s="449">
        <f>huishoudens!I8</f>
        <v>0</v>
      </c>
      <c r="J4" s="449">
        <f>huishoudens!J8</f>
        <v>142.03560842520048</v>
      </c>
      <c r="K4" s="449">
        <f>huishoudens!K8</f>
        <v>0</v>
      </c>
      <c r="L4" s="449">
        <f>huishoudens!L8</f>
        <v>0</v>
      </c>
      <c r="M4" s="449">
        <f>huishoudens!M8</f>
        <v>0</v>
      </c>
      <c r="N4" s="449">
        <f>huishoudens!N8</f>
        <v>5897.779588399093</v>
      </c>
      <c r="O4" s="449">
        <f>huishoudens!O8</f>
        <v>365.04831236721384</v>
      </c>
      <c r="P4" s="450">
        <f>huishoudens!P8</f>
        <v>516.16400607656612</v>
      </c>
      <c r="Q4" s="451">
        <f>SUM(B4:P4)</f>
        <v>94210.480849896136</v>
      </c>
    </row>
    <row r="5" spans="1:17">
      <c r="A5" s="448" t="s">
        <v>155</v>
      </c>
      <c r="B5" s="449">
        <f ca="1">tertiair!B16</f>
        <v>5940.0706861090594</v>
      </c>
      <c r="C5" s="449">
        <f ca="1">tertiair!C16</f>
        <v>0</v>
      </c>
      <c r="D5" s="449">
        <f ca="1">tertiair!D16</f>
        <v>9816.6542736189585</v>
      </c>
      <c r="E5" s="449">
        <f>tertiair!E16</f>
        <v>21.133014387153327</v>
      </c>
      <c r="F5" s="449">
        <f ca="1">tertiair!F16</f>
        <v>893.59777003971749</v>
      </c>
      <c r="G5" s="449">
        <f>tertiair!G16</f>
        <v>0</v>
      </c>
      <c r="H5" s="449">
        <f>tertiair!H16</f>
        <v>0</v>
      </c>
      <c r="I5" s="449">
        <f>tertiair!I16</f>
        <v>0</v>
      </c>
      <c r="J5" s="449">
        <f>tertiair!J16</f>
        <v>4.4551554602060119E-3</v>
      </c>
      <c r="K5" s="449">
        <f>tertiair!K16</f>
        <v>0</v>
      </c>
      <c r="L5" s="449">
        <f ca="1">tertiair!L16</f>
        <v>0</v>
      </c>
      <c r="M5" s="449">
        <f>tertiair!M16</f>
        <v>0</v>
      </c>
      <c r="N5" s="449">
        <f ca="1">tertiair!N16</f>
        <v>175.35119008653757</v>
      </c>
      <c r="O5" s="449">
        <f>tertiair!O16</f>
        <v>14.691782297523464</v>
      </c>
      <c r="P5" s="450">
        <f>tertiair!P16</f>
        <v>105.07827661299004</v>
      </c>
      <c r="Q5" s="448">
        <f t="shared" ref="Q5:Q14" ca="1" si="0">SUM(B5:P5)</f>
        <v>16966.581448307395</v>
      </c>
    </row>
    <row r="6" spans="1:17">
      <c r="A6" s="448" t="s">
        <v>193</v>
      </c>
      <c r="B6" s="449">
        <f>'openbare verlichting'!B8</f>
        <v>752.06200000000001</v>
      </c>
      <c r="C6" s="449"/>
      <c r="D6" s="449"/>
      <c r="E6" s="449"/>
      <c r="F6" s="449"/>
      <c r="G6" s="449"/>
      <c r="H6" s="449"/>
      <c r="I6" s="449"/>
      <c r="J6" s="449"/>
      <c r="K6" s="449"/>
      <c r="L6" s="449"/>
      <c r="M6" s="449"/>
      <c r="N6" s="449"/>
      <c r="O6" s="449"/>
      <c r="P6" s="450"/>
      <c r="Q6" s="448">
        <f t="shared" si="0"/>
        <v>752.06200000000001</v>
      </c>
    </row>
    <row r="7" spans="1:17">
      <c r="A7" s="448" t="s">
        <v>111</v>
      </c>
      <c r="B7" s="449">
        <f>landbouw!B8</f>
        <v>505.09012353136097</v>
      </c>
      <c r="C7" s="449">
        <f>landbouw!C8</f>
        <v>22.5</v>
      </c>
      <c r="D7" s="449">
        <f>landbouw!D8</f>
        <v>909.70012672820201</v>
      </c>
      <c r="E7" s="449">
        <f>landbouw!E8</f>
        <v>14.466635906917837</v>
      </c>
      <c r="F7" s="449">
        <f>landbouw!F8</f>
        <v>1598.8544203239776</v>
      </c>
      <c r="G7" s="449">
        <f>landbouw!G8</f>
        <v>0</v>
      </c>
      <c r="H7" s="449">
        <f>landbouw!H8</f>
        <v>0</v>
      </c>
      <c r="I7" s="449">
        <f>landbouw!I8</f>
        <v>0</v>
      </c>
      <c r="J7" s="449">
        <f>landbouw!J8</f>
        <v>128.42855737597222</v>
      </c>
      <c r="K7" s="449">
        <f>landbouw!K8</f>
        <v>0</v>
      </c>
      <c r="L7" s="449">
        <f>landbouw!L8</f>
        <v>0</v>
      </c>
      <c r="M7" s="449">
        <f>landbouw!M8</f>
        <v>0</v>
      </c>
      <c r="N7" s="449">
        <f>landbouw!N8</f>
        <v>0</v>
      </c>
      <c r="O7" s="449">
        <f>landbouw!O8</f>
        <v>0</v>
      </c>
      <c r="P7" s="450">
        <f>landbouw!P8</f>
        <v>0</v>
      </c>
      <c r="Q7" s="448">
        <f t="shared" si="0"/>
        <v>3179.0398638664306</v>
      </c>
    </row>
    <row r="8" spans="1:17">
      <c r="A8" s="448" t="s">
        <v>617</v>
      </c>
      <c r="B8" s="449">
        <f>industrie!B18</f>
        <v>1029.4807051166974</v>
      </c>
      <c r="C8" s="449">
        <f>industrie!C18</f>
        <v>0</v>
      </c>
      <c r="D8" s="449">
        <f>industrie!D18</f>
        <v>833.39063866099934</v>
      </c>
      <c r="E8" s="449">
        <f>industrie!E18</f>
        <v>5.5008880245304219</v>
      </c>
      <c r="F8" s="449">
        <f>industrie!F18</f>
        <v>391.50650527763298</v>
      </c>
      <c r="G8" s="449">
        <f>industrie!G18</f>
        <v>0</v>
      </c>
      <c r="H8" s="449">
        <f>industrie!H18</f>
        <v>0</v>
      </c>
      <c r="I8" s="449">
        <f>industrie!I18</f>
        <v>0</v>
      </c>
      <c r="J8" s="449">
        <f>industrie!J18</f>
        <v>1.1632579012143589</v>
      </c>
      <c r="K8" s="449">
        <f>industrie!K18</f>
        <v>0</v>
      </c>
      <c r="L8" s="449">
        <f>industrie!L18</f>
        <v>0</v>
      </c>
      <c r="M8" s="449">
        <f>industrie!M18</f>
        <v>0</v>
      </c>
      <c r="N8" s="449">
        <f>industrie!N18</f>
        <v>54.361092968432985</v>
      </c>
      <c r="O8" s="449">
        <f>industrie!O18</f>
        <v>0</v>
      </c>
      <c r="P8" s="450">
        <f>industrie!P18</f>
        <v>0</v>
      </c>
      <c r="Q8" s="448">
        <f t="shared" si="0"/>
        <v>2315.4030879495076</v>
      </c>
    </row>
    <row r="9" spans="1:17" s="454" customFormat="1">
      <c r="A9" s="452" t="s">
        <v>543</v>
      </c>
      <c r="B9" s="453">
        <f>transport!B14</f>
        <v>399.26044203867463</v>
      </c>
      <c r="C9" s="453">
        <f>transport!C14</f>
        <v>0</v>
      </c>
      <c r="D9" s="453">
        <f>transport!D14</f>
        <v>612.3876441671656</v>
      </c>
      <c r="E9" s="453">
        <f>transport!E14</f>
        <v>279.45202220988023</v>
      </c>
      <c r="F9" s="453">
        <f>transport!F14</f>
        <v>0</v>
      </c>
      <c r="G9" s="453">
        <f>transport!G14</f>
        <v>167581.23584799984</v>
      </c>
      <c r="H9" s="453">
        <f>transport!H14</f>
        <v>31065.476967004121</v>
      </c>
      <c r="I9" s="453">
        <f>transport!I14</f>
        <v>0</v>
      </c>
      <c r="J9" s="453">
        <f>transport!J14</f>
        <v>0</v>
      </c>
      <c r="K9" s="453">
        <f>transport!K14</f>
        <v>0</v>
      </c>
      <c r="L9" s="453">
        <f>transport!L14</f>
        <v>0</v>
      </c>
      <c r="M9" s="453">
        <f>transport!M14</f>
        <v>11824.472236163767</v>
      </c>
      <c r="N9" s="453">
        <f>transport!N14</f>
        <v>0</v>
      </c>
      <c r="O9" s="453">
        <f>transport!O14</f>
        <v>0</v>
      </c>
      <c r="P9" s="453">
        <f>transport!P14</f>
        <v>0</v>
      </c>
      <c r="Q9" s="452">
        <f>SUM(B9:P9)</f>
        <v>211762.28515958347</v>
      </c>
    </row>
    <row r="10" spans="1:17">
      <c r="A10" s="448" t="s">
        <v>533</v>
      </c>
      <c r="B10" s="449">
        <f>transport!B54</f>
        <v>14.429209823300754</v>
      </c>
      <c r="C10" s="449">
        <f>transport!C54</f>
        <v>0</v>
      </c>
      <c r="D10" s="449">
        <f>transport!D54</f>
        <v>0</v>
      </c>
      <c r="E10" s="449">
        <f>transport!E54</f>
        <v>0</v>
      </c>
      <c r="F10" s="449">
        <f>transport!F54</f>
        <v>0</v>
      </c>
      <c r="G10" s="449">
        <f>transport!G54</f>
        <v>903.31215749508658</v>
      </c>
      <c r="H10" s="449">
        <f>transport!H54</f>
        <v>0</v>
      </c>
      <c r="I10" s="449">
        <f>transport!I54</f>
        <v>0</v>
      </c>
      <c r="J10" s="449">
        <f>transport!J54</f>
        <v>0</v>
      </c>
      <c r="K10" s="449">
        <f>transport!K54</f>
        <v>0</v>
      </c>
      <c r="L10" s="449">
        <f>transport!L54</f>
        <v>0</v>
      </c>
      <c r="M10" s="449">
        <f>transport!M54</f>
        <v>51.866183939920909</v>
      </c>
      <c r="N10" s="449">
        <f>transport!N54</f>
        <v>0</v>
      </c>
      <c r="O10" s="449">
        <f>transport!O54</f>
        <v>0</v>
      </c>
      <c r="P10" s="450">
        <f>transport!P54</f>
        <v>0</v>
      </c>
      <c r="Q10" s="448">
        <f t="shared" si="0"/>
        <v>969.60755125830826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607.060080432875</v>
      </c>
      <c r="C14" s="456"/>
      <c r="D14" s="456">
        <f>'SEAP template'!E25</f>
        <v>1086.4316293952299</v>
      </c>
      <c r="E14" s="456"/>
      <c r="F14" s="456"/>
      <c r="G14" s="456"/>
      <c r="H14" s="456"/>
      <c r="I14" s="456"/>
      <c r="J14" s="456"/>
      <c r="K14" s="456"/>
      <c r="L14" s="456"/>
      <c r="M14" s="456"/>
      <c r="N14" s="456"/>
      <c r="O14" s="456"/>
      <c r="P14" s="457"/>
      <c r="Q14" s="448">
        <f t="shared" si="0"/>
        <v>1693.4917098281048</v>
      </c>
    </row>
    <row r="15" spans="1:17" s="460" customFormat="1">
      <c r="A15" s="458" t="s">
        <v>537</v>
      </c>
      <c r="B15" s="459">
        <f ca="1">SUM(B4:B14)</f>
        <v>31194.120329717975</v>
      </c>
      <c r="C15" s="459">
        <f t="shared" ref="C15:Q15" ca="1" si="1">SUM(C4:C14)</f>
        <v>22.5</v>
      </c>
      <c r="D15" s="459">
        <f t="shared" ca="1" si="1"/>
        <v>52541.261635696719</v>
      </c>
      <c r="E15" s="459">
        <f t="shared" si="1"/>
        <v>1458.2195616139595</v>
      </c>
      <c r="F15" s="459">
        <f t="shared" ca="1" si="1"/>
        <v>27806.380623391746</v>
      </c>
      <c r="G15" s="459">
        <f t="shared" si="1"/>
        <v>168484.54800549493</v>
      </c>
      <c r="H15" s="459">
        <f t="shared" si="1"/>
        <v>31065.476967004121</v>
      </c>
      <c r="I15" s="459">
        <f t="shared" si="1"/>
        <v>0</v>
      </c>
      <c r="J15" s="459">
        <f t="shared" si="1"/>
        <v>271.63187885784725</v>
      </c>
      <c r="K15" s="459">
        <f t="shared" si="1"/>
        <v>0</v>
      </c>
      <c r="L15" s="459">
        <f t="shared" ca="1" si="1"/>
        <v>0</v>
      </c>
      <c r="M15" s="459">
        <f t="shared" si="1"/>
        <v>11876.338420103688</v>
      </c>
      <c r="N15" s="459">
        <f t="shared" ca="1" si="1"/>
        <v>6127.4918714540636</v>
      </c>
      <c r="O15" s="459">
        <f t="shared" si="1"/>
        <v>379.74009466473728</v>
      </c>
      <c r="P15" s="459">
        <f t="shared" si="1"/>
        <v>621.24228268955619</v>
      </c>
      <c r="Q15" s="459">
        <f t="shared" ca="1" si="1"/>
        <v>331848.95167068933</v>
      </c>
    </row>
    <row r="17" spans="1:17">
      <c r="A17" s="461" t="s">
        <v>538</v>
      </c>
      <c r="B17" s="778">
        <f ca="1">huishoudens!B10</f>
        <v>0.1907627117924687</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4186.6057274958748</v>
      </c>
      <c r="C22" s="449">
        <f t="shared" ref="C22:C32" ca="1" si="3">C4*$C$17</f>
        <v>0</v>
      </c>
      <c r="D22" s="449">
        <f t="shared" ref="D22:D32" si="4">D4*$D$17</f>
        <v>7935.104859271486</v>
      </c>
      <c r="E22" s="449">
        <f t="shared" ref="E22:E32" si="5">E4*$E$17</f>
        <v>258.25040924640348</v>
      </c>
      <c r="F22" s="449">
        <f t="shared" ref="F22:F32" si="6">F4*$F$17</f>
        <v>6654.2866547093627</v>
      </c>
      <c r="G22" s="449">
        <f t="shared" ref="G22:G32" si="7">G4*$G$17</f>
        <v>0</v>
      </c>
      <c r="H22" s="449">
        <f t="shared" ref="H22:H32" si="8">H4*$H$17</f>
        <v>0</v>
      </c>
      <c r="I22" s="449">
        <f t="shared" ref="I22:I32" si="9">I4*$I$17</f>
        <v>0</v>
      </c>
      <c r="J22" s="449">
        <f t="shared" ref="J22:J32" si="10">J4*$J$17</f>
        <v>50.280605382520967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19084.528256105648</v>
      </c>
    </row>
    <row r="23" spans="1:17">
      <c r="A23" s="448" t="s">
        <v>155</v>
      </c>
      <c r="B23" s="449">
        <f t="shared" ca="1" si="2"/>
        <v>1133.1439923211144</v>
      </c>
      <c r="C23" s="449">
        <f t="shared" ca="1" si="3"/>
        <v>0</v>
      </c>
      <c r="D23" s="449">
        <f t="shared" ca="1" si="4"/>
        <v>1982.9641632710297</v>
      </c>
      <c r="E23" s="449">
        <f t="shared" si="5"/>
        <v>4.7971942658838058</v>
      </c>
      <c r="F23" s="449">
        <f t="shared" ca="1" si="6"/>
        <v>238.59060460060459</v>
      </c>
      <c r="G23" s="449">
        <f t="shared" si="7"/>
        <v>0</v>
      </c>
      <c r="H23" s="449">
        <f t="shared" si="8"/>
        <v>0</v>
      </c>
      <c r="I23" s="449">
        <f t="shared" si="9"/>
        <v>0</v>
      </c>
      <c r="J23" s="449">
        <f t="shared" si="10"/>
        <v>1.5771250329129282E-3</v>
      </c>
      <c r="K23" s="449">
        <f t="shared" si="11"/>
        <v>0</v>
      </c>
      <c r="L23" s="449">
        <f t="shared" ca="1" si="12"/>
        <v>0</v>
      </c>
      <c r="M23" s="449">
        <f t="shared" si="13"/>
        <v>0</v>
      </c>
      <c r="N23" s="449">
        <f t="shared" ca="1" si="14"/>
        <v>0</v>
      </c>
      <c r="O23" s="449">
        <f t="shared" si="15"/>
        <v>0</v>
      </c>
      <c r="P23" s="450">
        <f t="shared" si="16"/>
        <v>0</v>
      </c>
      <c r="Q23" s="448">
        <f t="shared" ref="Q23:Q31" ca="1" si="17">SUM(B23:P23)</f>
        <v>3359.4975315836655</v>
      </c>
    </row>
    <row r="24" spans="1:17">
      <c r="A24" s="448" t="s">
        <v>193</v>
      </c>
      <c r="B24" s="449">
        <f t="shared" ca="1" si="2"/>
        <v>143.46538655606761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143.46538655606761</v>
      </c>
    </row>
    <row r="25" spans="1:17">
      <c r="A25" s="448" t="s">
        <v>111</v>
      </c>
      <c r="B25" s="449">
        <f t="shared" ca="1" si="2"/>
        <v>96.352361664435435</v>
      </c>
      <c r="C25" s="449">
        <f t="shared" ca="1" si="3"/>
        <v>5.0500000000000007</v>
      </c>
      <c r="D25" s="449">
        <f t="shared" si="4"/>
        <v>183.75942559909683</v>
      </c>
      <c r="E25" s="449">
        <f t="shared" si="5"/>
        <v>3.2839263508703489</v>
      </c>
      <c r="F25" s="449">
        <f t="shared" si="6"/>
        <v>426.89413022650206</v>
      </c>
      <c r="G25" s="449">
        <f t="shared" si="7"/>
        <v>0</v>
      </c>
      <c r="H25" s="449">
        <f t="shared" si="8"/>
        <v>0</v>
      </c>
      <c r="I25" s="449">
        <f t="shared" si="9"/>
        <v>0</v>
      </c>
      <c r="J25" s="449">
        <f t="shared" si="10"/>
        <v>45.463709311094163</v>
      </c>
      <c r="K25" s="449">
        <f t="shared" si="11"/>
        <v>0</v>
      </c>
      <c r="L25" s="449">
        <f t="shared" si="12"/>
        <v>0</v>
      </c>
      <c r="M25" s="449">
        <f t="shared" si="13"/>
        <v>0</v>
      </c>
      <c r="N25" s="449">
        <f t="shared" si="14"/>
        <v>0</v>
      </c>
      <c r="O25" s="449">
        <f t="shared" si="15"/>
        <v>0</v>
      </c>
      <c r="P25" s="450">
        <f t="shared" si="16"/>
        <v>0</v>
      </c>
      <c r="Q25" s="448">
        <f t="shared" ca="1" si="17"/>
        <v>760.80355315199881</v>
      </c>
    </row>
    <row r="26" spans="1:17">
      <c r="A26" s="448" t="s">
        <v>617</v>
      </c>
      <c r="B26" s="449">
        <f t="shared" ca="1" si="2"/>
        <v>196.386531046084</v>
      </c>
      <c r="C26" s="449">
        <f t="shared" ca="1" si="3"/>
        <v>0</v>
      </c>
      <c r="D26" s="449">
        <f t="shared" si="4"/>
        <v>168.34490900952187</v>
      </c>
      <c r="E26" s="449">
        <f t="shared" si="5"/>
        <v>1.2487015815684057</v>
      </c>
      <c r="F26" s="449">
        <f t="shared" si="6"/>
        <v>104.53223690912802</v>
      </c>
      <c r="G26" s="449">
        <f t="shared" si="7"/>
        <v>0</v>
      </c>
      <c r="H26" s="449">
        <f t="shared" si="8"/>
        <v>0</v>
      </c>
      <c r="I26" s="449">
        <f t="shared" si="9"/>
        <v>0</v>
      </c>
      <c r="J26" s="449">
        <f t="shared" si="10"/>
        <v>0.41179329702988304</v>
      </c>
      <c r="K26" s="449">
        <f t="shared" si="11"/>
        <v>0</v>
      </c>
      <c r="L26" s="449">
        <f t="shared" si="12"/>
        <v>0</v>
      </c>
      <c r="M26" s="449">
        <f t="shared" si="13"/>
        <v>0</v>
      </c>
      <c r="N26" s="449">
        <f t="shared" si="14"/>
        <v>0</v>
      </c>
      <c r="O26" s="449">
        <f t="shared" si="15"/>
        <v>0</v>
      </c>
      <c r="P26" s="450">
        <f t="shared" si="16"/>
        <v>0</v>
      </c>
      <c r="Q26" s="448">
        <f t="shared" ca="1" si="17"/>
        <v>470.92417184333215</v>
      </c>
    </row>
    <row r="27" spans="1:17" s="454" customFormat="1">
      <c r="A27" s="452" t="s">
        <v>543</v>
      </c>
      <c r="B27" s="772">
        <f t="shared" ca="1" si="2"/>
        <v>76.164004634757347</v>
      </c>
      <c r="C27" s="453">
        <f t="shared" ca="1" si="3"/>
        <v>0</v>
      </c>
      <c r="D27" s="453">
        <f t="shared" si="4"/>
        <v>123.70230412176745</v>
      </c>
      <c r="E27" s="453">
        <f t="shared" si="5"/>
        <v>63.435609041642813</v>
      </c>
      <c r="F27" s="453">
        <f t="shared" si="6"/>
        <v>0</v>
      </c>
      <c r="G27" s="453">
        <f t="shared" si="7"/>
        <v>44744.189971415959</v>
      </c>
      <c r="H27" s="453">
        <f t="shared" si="8"/>
        <v>7735.3037647840256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52742.795653998153</v>
      </c>
    </row>
    <row r="28" spans="1:17" ht="16.5" customHeight="1">
      <c r="A28" s="448" t="s">
        <v>533</v>
      </c>
      <c r="B28" s="449">
        <f t="shared" ca="1" si="2"/>
        <v>2.7525551949153799</v>
      </c>
      <c r="C28" s="449">
        <f t="shared" ca="1" si="3"/>
        <v>0</v>
      </c>
      <c r="D28" s="449">
        <f t="shared" si="4"/>
        <v>0</v>
      </c>
      <c r="E28" s="449">
        <f t="shared" si="5"/>
        <v>0</v>
      </c>
      <c r="F28" s="449">
        <f t="shared" si="6"/>
        <v>0</v>
      </c>
      <c r="G28" s="449">
        <f t="shared" si="7"/>
        <v>241.18434605118813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243.9369012461035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115.8044271643294</v>
      </c>
      <c r="C32" s="449">
        <f t="shared" ca="1" si="3"/>
        <v>0</v>
      </c>
      <c r="D32" s="449">
        <f t="shared" si="4"/>
        <v>219.45918913783646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335.26361630216587</v>
      </c>
    </row>
    <row r="33" spans="1:17" s="460" customFormat="1">
      <c r="A33" s="458" t="s">
        <v>537</v>
      </c>
      <c r="B33" s="459">
        <f ca="1">SUM(B22:B32)</f>
        <v>5950.674986077579</v>
      </c>
      <c r="C33" s="459">
        <f t="shared" ref="C33:Q33" ca="1" si="19">SUM(C22:C32)</f>
        <v>5.0500000000000007</v>
      </c>
      <c r="D33" s="459">
        <f t="shared" ca="1" si="19"/>
        <v>10613.334850410738</v>
      </c>
      <c r="E33" s="459">
        <f t="shared" si="19"/>
        <v>331.01584048636886</v>
      </c>
      <c r="F33" s="459">
        <f t="shared" ca="1" si="19"/>
        <v>7424.3036264455977</v>
      </c>
      <c r="G33" s="459">
        <f t="shared" si="19"/>
        <v>44985.374317467147</v>
      </c>
      <c r="H33" s="459">
        <f t="shared" si="19"/>
        <v>7735.3037647840256</v>
      </c>
      <c r="I33" s="459">
        <f t="shared" si="19"/>
        <v>0</v>
      </c>
      <c r="J33" s="459">
        <f t="shared" si="19"/>
        <v>96.157685115677921</v>
      </c>
      <c r="K33" s="459">
        <f t="shared" si="19"/>
        <v>0</v>
      </c>
      <c r="L33" s="459">
        <f t="shared" ca="1" si="19"/>
        <v>0</v>
      </c>
      <c r="M33" s="459">
        <f t="shared" si="19"/>
        <v>0</v>
      </c>
      <c r="N33" s="459">
        <f t="shared" ca="1" si="19"/>
        <v>0</v>
      </c>
      <c r="O33" s="459">
        <f t="shared" si="19"/>
        <v>0</v>
      </c>
      <c r="P33" s="459">
        <f t="shared" si="19"/>
        <v>0</v>
      </c>
      <c r="Q33" s="459">
        <f t="shared" ca="1" si="19"/>
        <v>77141.215070787148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4268.0593067425034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4.5</v>
      </c>
      <c r="D8" s="1016">
        <f>'SEAP template'!D76</f>
        <v>5</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1.01</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4268.0593067425034</v>
      </c>
      <c r="C10" s="1018">
        <f>SUM(C4:C9)</f>
        <v>4.5</v>
      </c>
      <c r="D10" s="1018">
        <f t="shared" ref="D10:H10" si="0">SUM(D8:D9)</f>
        <v>5</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1.01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0.1907627117924687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22.5</v>
      </c>
      <c r="D17" s="1017">
        <f>'SEAP template'!D87</f>
        <v>25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5.0500000000000007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22.5</v>
      </c>
      <c r="D20" s="1018">
        <f t="shared" ref="D20:H20" si="2">SUM(D17:D19)</f>
        <v>25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5.0500000000000007</v>
      </c>
    </row>
    <row r="21" spans="1:16">
      <c r="B21" s="883"/>
    </row>
    <row r="22" spans="1:16">
      <c r="A22" s="461" t="s">
        <v>755</v>
      </c>
      <c r="B22" s="778" t="s">
        <v>753</v>
      </c>
      <c r="C22" s="778">
        <f ca="1">'EF ele_warmte'!B22</f>
        <v>0.22444444444444447</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0.1907627117924687</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0.1907627117924687</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0.1907627117924687</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4411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775.45</v>
      </c>
      <c r="C14" s="326"/>
      <c r="D14" s="326"/>
      <c r="E14" s="326"/>
      <c r="F14" s="326"/>
    </row>
    <row r="15" spans="1:6">
      <c r="A15" s="1312" t="s">
        <v>183</v>
      </c>
      <c r="B15" s="1313">
        <v>11</v>
      </c>
      <c r="C15" s="326"/>
      <c r="D15" s="326"/>
      <c r="E15" s="326"/>
      <c r="F15" s="326"/>
    </row>
    <row r="16" spans="1:6">
      <c r="A16" s="1312" t="s">
        <v>6</v>
      </c>
      <c r="B16" s="1313">
        <v>405</v>
      </c>
      <c r="C16" s="326"/>
      <c r="D16" s="326"/>
      <c r="E16" s="326"/>
      <c r="F16" s="326"/>
    </row>
    <row r="17" spans="1:6">
      <c r="A17" s="1312" t="s">
        <v>7</v>
      </c>
      <c r="B17" s="1313">
        <v>113</v>
      </c>
      <c r="C17" s="326"/>
      <c r="D17" s="326"/>
      <c r="E17" s="326"/>
      <c r="F17" s="326"/>
    </row>
    <row r="18" spans="1:6">
      <c r="A18" s="1312" t="s">
        <v>8</v>
      </c>
      <c r="B18" s="1313">
        <v>284</v>
      </c>
      <c r="C18" s="326"/>
      <c r="D18" s="326"/>
      <c r="E18" s="326"/>
      <c r="F18" s="326"/>
    </row>
    <row r="19" spans="1:6">
      <c r="A19" s="1312" t="s">
        <v>9</v>
      </c>
      <c r="B19" s="1313">
        <v>264</v>
      </c>
      <c r="C19" s="326"/>
      <c r="D19" s="326"/>
      <c r="E19" s="326"/>
      <c r="F19" s="326"/>
    </row>
    <row r="20" spans="1:6">
      <c r="A20" s="1312" t="s">
        <v>10</v>
      </c>
      <c r="B20" s="1313">
        <v>148</v>
      </c>
      <c r="C20" s="326"/>
      <c r="D20" s="326"/>
      <c r="E20" s="326"/>
      <c r="F20" s="326"/>
    </row>
    <row r="21" spans="1:6">
      <c r="A21" s="1312" t="s">
        <v>11</v>
      </c>
      <c r="B21" s="1313">
        <v>154</v>
      </c>
      <c r="C21" s="326"/>
      <c r="D21" s="326"/>
      <c r="E21" s="326"/>
      <c r="F21" s="326"/>
    </row>
    <row r="22" spans="1:6">
      <c r="A22" s="1312" t="s">
        <v>12</v>
      </c>
      <c r="B22" s="1313">
        <v>417</v>
      </c>
      <c r="C22" s="326"/>
      <c r="D22" s="326"/>
      <c r="E22" s="326"/>
      <c r="F22" s="326"/>
    </row>
    <row r="23" spans="1:6">
      <c r="A23" s="1312" t="s">
        <v>13</v>
      </c>
      <c r="B23" s="1313">
        <v>0</v>
      </c>
      <c r="C23" s="326"/>
      <c r="D23" s="326"/>
      <c r="E23" s="326"/>
      <c r="F23" s="326"/>
    </row>
    <row r="24" spans="1:6">
      <c r="A24" s="1312" t="s">
        <v>14</v>
      </c>
      <c r="B24" s="1313">
        <v>1</v>
      </c>
      <c r="C24" s="326"/>
      <c r="D24" s="326"/>
      <c r="E24" s="326"/>
      <c r="F24" s="326"/>
    </row>
    <row r="25" spans="1:6">
      <c r="A25" s="1312" t="s">
        <v>15</v>
      </c>
      <c r="B25" s="1313">
        <v>49</v>
      </c>
      <c r="C25" s="326"/>
      <c r="D25" s="326"/>
      <c r="E25" s="326"/>
      <c r="F25" s="326"/>
    </row>
    <row r="26" spans="1:6">
      <c r="A26" s="1312" t="s">
        <v>16</v>
      </c>
      <c r="B26" s="1313">
        <v>42</v>
      </c>
      <c r="C26" s="326"/>
      <c r="D26" s="326"/>
      <c r="E26" s="326"/>
      <c r="F26" s="326"/>
    </row>
    <row r="27" spans="1:6">
      <c r="A27" s="1312" t="s">
        <v>17</v>
      </c>
      <c r="B27" s="1313">
        <v>1</v>
      </c>
      <c r="C27" s="326"/>
      <c r="D27" s="326"/>
      <c r="E27" s="326"/>
      <c r="F27" s="326"/>
    </row>
    <row r="28" spans="1:6" s="43" customFormat="1">
      <c r="A28" s="1314" t="s">
        <v>18</v>
      </c>
      <c r="B28" s="1315">
        <v>5</v>
      </c>
      <c r="C28" s="332"/>
      <c r="D28" s="332"/>
      <c r="E28" s="332"/>
      <c r="F28" s="332"/>
    </row>
    <row r="29" spans="1:6">
      <c r="A29" s="1314" t="s">
        <v>684</v>
      </c>
      <c r="B29" s="1315">
        <v>61</v>
      </c>
      <c r="C29" s="332"/>
      <c r="D29" s="332"/>
      <c r="E29" s="332"/>
      <c r="F29" s="332"/>
    </row>
    <row r="30" spans="1:6">
      <c r="A30" s="1307" t="s">
        <v>685</v>
      </c>
      <c r="B30" s="1316">
        <v>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2936.3782648264</v>
      </c>
    </row>
    <row r="39" spans="1:6">
      <c r="A39" s="1312" t="s">
        <v>29</v>
      </c>
      <c r="B39" s="1312" t="s">
        <v>30</v>
      </c>
      <c r="C39" s="1313">
        <v>2705</v>
      </c>
      <c r="D39" s="1313">
        <v>43502433.358943701</v>
      </c>
      <c r="E39" s="1313">
        <v>4344</v>
      </c>
      <c r="F39" s="1313">
        <v>18317091.812751301</v>
      </c>
    </row>
    <row r="40" spans="1:6">
      <c r="A40" s="1312" t="s">
        <v>29</v>
      </c>
      <c r="B40" s="1312" t="s">
        <v>28</v>
      </c>
      <c r="C40" s="1313">
        <v>0</v>
      </c>
      <c r="D40" s="1313">
        <v>0</v>
      </c>
      <c r="E40" s="1313">
        <v>0</v>
      </c>
      <c r="F40" s="1313">
        <v>0</v>
      </c>
    </row>
    <row r="41" spans="1:6">
      <c r="A41" s="1312" t="s">
        <v>31</v>
      </c>
      <c r="B41" s="1312" t="s">
        <v>32</v>
      </c>
      <c r="C41" s="1313">
        <v>57</v>
      </c>
      <c r="D41" s="1313">
        <v>685217.00386874902</v>
      </c>
      <c r="E41" s="1313">
        <v>93</v>
      </c>
      <c r="F41" s="1313">
        <v>578071.32204281096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0</v>
      </c>
      <c r="F44" s="1313">
        <v>0</v>
      </c>
    </row>
    <row r="45" spans="1:6">
      <c r="A45" s="1312" t="s">
        <v>31</v>
      </c>
      <c r="B45" s="1312" t="s">
        <v>36</v>
      </c>
      <c r="C45" s="1313">
        <v>0</v>
      </c>
      <c r="D45" s="1313">
        <v>0</v>
      </c>
      <c r="E45" s="1313">
        <v>3</v>
      </c>
      <c r="F45" s="1313">
        <v>26324.8611698762</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72994.017782233495</v>
      </c>
      <c r="E48" s="1313">
        <v>4</v>
      </c>
      <c r="F48" s="1313">
        <v>40736.8640363452</v>
      </c>
    </row>
    <row r="49" spans="1:6">
      <c r="A49" s="1312" t="s">
        <v>31</v>
      </c>
      <c r="B49" s="1312" t="s">
        <v>39</v>
      </c>
      <c r="C49" s="1313">
        <v>0</v>
      </c>
      <c r="D49" s="1313">
        <v>0</v>
      </c>
      <c r="E49" s="1313">
        <v>0</v>
      </c>
      <c r="F49" s="1313">
        <v>0</v>
      </c>
    </row>
    <row r="50" spans="1:6">
      <c r="A50" s="1312" t="s">
        <v>31</v>
      </c>
      <c r="B50" s="1312" t="s">
        <v>40</v>
      </c>
      <c r="C50" s="1313">
        <v>3</v>
      </c>
      <c r="D50" s="1313">
        <v>164702.19945754399</v>
      </c>
      <c r="E50" s="1313">
        <v>6</v>
      </c>
      <c r="F50" s="1313">
        <v>384347.657867665</v>
      </c>
    </row>
    <row r="51" spans="1:6">
      <c r="A51" s="1312" t="s">
        <v>41</v>
      </c>
      <c r="B51" s="1312" t="s">
        <v>42</v>
      </c>
      <c r="C51" s="1313">
        <v>6</v>
      </c>
      <c r="D51" s="1313">
        <v>1040642.4437743101</v>
      </c>
      <c r="E51" s="1313">
        <v>39</v>
      </c>
      <c r="F51" s="1313">
        <v>505090.12353136099</v>
      </c>
    </row>
    <row r="52" spans="1:6">
      <c r="A52" s="1312" t="s">
        <v>41</v>
      </c>
      <c r="B52" s="1312" t="s">
        <v>28</v>
      </c>
      <c r="C52" s="1313">
        <v>0</v>
      </c>
      <c r="D52" s="1313">
        <v>0</v>
      </c>
      <c r="E52" s="1313">
        <v>0</v>
      </c>
      <c r="F52" s="1313">
        <v>0</v>
      </c>
    </row>
    <row r="53" spans="1:6">
      <c r="A53" s="1312" t="s">
        <v>43</v>
      </c>
      <c r="B53" s="1312" t="s">
        <v>44</v>
      </c>
      <c r="C53" s="1313">
        <v>62</v>
      </c>
      <c r="D53" s="1313">
        <v>1086431.62939523</v>
      </c>
      <c r="E53" s="1313">
        <v>151</v>
      </c>
      <c r="F53" s="1313">
        <v>607060.08043287497</v>
      </c>
    </row>
    <row r="54" spans="1:6">
      <c r="A54" s="1312" t="s">
        <v>45</v>
      </c>
      <c r="B54" s="1312" t="s">
        <v>46</v>
      </c>
      <c r="C54" s="1313">
        <v>0</v>
      </c>
      <c r="D54" s="1313">
        <v>0</v>
      </c>
      <c r="E54" s="1313">
        <v>1</v>
      </c>
      <c r="F54" s="1313">
        <v>752062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23</v>
      </c>
      <c r="D57" s="1313">
        <v>590767.67984923697</v>
      </c>
      <c r="E57" s="1313">
        <v>45</v>
      </c>
      <c r="F57" s="1313">
        <v>440486.41929251997</v>
      </c>
    </row>
    <row r="58" spans="1:6">
      <c r="A58" s="1312" t="s">
        <v>48</v>
      </c>
      <c r="B58" s="1312" t="s">
        <v>50</v>
      </c>
      <c r="C58" s="1313">
        <v>16</v>
      </c>
      <c r="D58" s="1313">
        <v>614803.48379225098</v>
      </c>
      <c r="E58" s="1313">
        <v>33</v>
      </c>
      <c r="F58" s="1313">
        <v>294672.42070141999</v>
      </c>
    </row>
    <row r="59" spans="1:6">
      <c r="A59" s="1312" t="s">
        <v>48</v>
      </c>
      <c r="B59" s="1312" t="s">
        <v>51</v>
      </c>
      <c r="C59" s="1313">
        <v>64</v>
      </c>
      <c r="D59" s="1313">
        <v>1760445.82801952</v>
      </c>
      <c r="E59" s="1313">
        <v>116</v>
      </c>
      <c r="F59" s="1313">
        <v>1856382.40997542</v>
      </c>
    </row>
    <row r="60" spans="1:6">
      <c r="A60" s="1312" t="s">
        <v>48</v>
      </c>
      <c r="B60" s="1312" t="s">
        <v>52</v>
      </c>
      <c r="C60" s="1313">
        <v>29</v>
      </c>
      <c r="D60" s="1313">
        <v>2740503.30027139</v>
      </c>
      <c r="E60" s="1313">
        <v>33</v>
      </c>
      <c r="F60" s="1313">
        <v>719655.73457049998</v>
      </c>
    </row>
    <row r="61" spans="1:6">
      <c r="A61" s="1312" t="s">
        <v>48</v>
      </c>
      <c r="B61" s="1312" t="s">
        <v>53</v>
      </c>
      <c r="C61" s="1313">
        <v>107</v>
      </c>
      <c r="D61" s="1313">
        <v>4820362.9906320497</v>
      </c>
      <c r="E61" s="1313">
        <v>226</v>
      </c>
      <c r="F61" s="1313">
        <v>2447304.04583797</v>
      </c>
    </row>
    <row r="62" spans="1:6">
      <c r="A62" s="1312" t="s">
        <v>48</v>
      </c>
      <c r="B62" s="1312" t="s">
        <v>54</v>
      </c>
      <c r="C62" s="1313">
        <v>6</v>
      </c>
      <c r="D62" s="1313">
        <v>344273.166625985</v>
      </c>
      <c r="E62" s="1313">
        <v>9</v>
      </c>
      <c r="F62" s="1313">
        <v>181569.655731229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49480.067781134399</v>
      </c>
      <c r="E65" s="1313">
        <v>2</v>
      </c>
      <c r="F65" s="1313">
        <v>18434.198176199799</v>
      </c>
    </row>
    <row r="66" spans="1:6">
      <c r="A66" s="1312" t="s">
        <v>55</v>
      </c>
      <c r="B66" s="1312" t="s">
        <v>57</v>
      </c>
      <c r="C66" s="1313">
        <v>0</v>
      </c>
      <c r="D66" s="1313">
        <v>0</v>
      </c>
      <c r="E66" s="1313">
        <v>4</v>
      </c>
      <c r="F66" s="1313">
        <v>255632.22802700801</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19963646</v>
      </c>
      <c r="E73" s="447"/>
      <c r="F73" s="326"/>
    </row>
    <row r="74" spans="1:6">
      <c r="A74" s="1312" t="s">
        <v>63</v>
      </c>
      <c r="B74" s="1312" t="s">
        <v>638</v>
      </c>
      <c r="C74" s="1326" t="s">
        <v>640</v>
      </c>
      <c r="D74" s="1327">
        <v>2808766.90447425</v>
      </c>
      <c r="E74" s="447"/>
      <c r="F74" s="326"/>
    </row>
    <row r="75" spans="1:6">
      <c r="A75" s="1312" t="s">
        <v>64</v>
      </c>
      <c r="B75" s="1312" t="s">
        <v>637</v>
      </c>
      <c r="C75" s="1326" t="s">
        <v>641</v>
      </c>
      <c r="D75" s="1327">
        <v>19037175</v>
      </c>
      <c r="E75" s="447"/>
      <c r="F75" s="326"/>
    </row>
    <row r="76" spans="1:6">
      <c r="A76" s="1312" t="s">
        <v>64</v>
      </c>
      <c r="B76" s="1312" t="s">
        <v>638</v>
      </c>
      <c r="C76" s="1326" t="s">
        <v>642</v>
      </c>
      <c r="D76" s="1327">
        <v>1160430.90447425</v>
      </c>
      <c r="E76" s="447"/>
      <c r="F76" s="326"/>
    </row>
    <row r="77" spans="1:6">
      <c r="A77" s="1312" t="s">
        <v>65</v>
      </c>
      <c r="B77" s="1312" t="s">
        <v>637</v>
      </c>
      <c r="C77" s="1326" t="s">
        <v>643</v>
      </c>
      <c r="D77" s="1327">
        <v>135422646</v>
      </c>
      <c r="E77" s="447"/>
      <c r="F77" s="326"/>
    </row>
    <row r="78" spans="1:6">
      <c r="A78" s="1307" t="s">
        <v>65</v>
      </c>
      <c r="B78" s="1307" t="s">
        <v>638</v>
      </c>
      <c r="C78" s="1307" t="s">
        <v>644</v>
      </c>
      <c r="D78" s="1328">
        <v>31350214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269136.19105149998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3629.5752699147042</v>
      </c>
      <c r="C91" s="326"/>
      <c r="D91" s="326"/>
      <c r="E91" s="326"/>
      <c r="F91" s="326"/>
    </row>
    <row r="92" spans="1:6">
      <c r="A92" s="1307" t="s">
        <v>68</v>
      </c>
      <c r="B92" s="1308">
        <v>638.4840368277994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766</v>
      </c>
      <c r="C97" s="326"/>
      <c r="D97" s="326"/>
      <c r="E97" s="326"/>
      <c r="F97" s="326"/>
    </row>
    <row r="98" spans="1:6">
      <c r="A98" s="1312" t="s">
        <v>71</v>
      </c>
      <c r="B98" s="1313">
        <v>0</v>
      </c>
      <c r="C98" s="326"/>
      <c r="D98" s="326"/>
      <c r="E98" s="326"/>
      <c r="F98" s="326"/>
    </row>
    <row r="99" spans="1:6">
      <c r="A99" s="1312" t="s">
        <v>72</v>
      </c>
      <c r="B99" s="1313">
        <v>41</v>
      </c>
      <c r="C99" s="326"/>
      <c r="D99" s="326"/>
      <c r="E99" s="326"/>
      <c r="F99" s="326"/>
    </row>
    <row r="100" spans="1:6">
      <c r="A100" s="1312" t="s">
        <v>73</v>
      </c>
      <c r="B100" s="1313">
        <v>622</v>
      </c>
      <c r="C100" s="326"/>
      <c r="D100" s="326"/>
      <c r="E100" s="326"/>
      <c r="F100" s="326"/>
    </row>
    <row r="101" spans="1:6">
      <c r="A101" s="1312" t="s">
        <v>74</v>
      </c>
      <c r="B101" s="1313">
        <v>45</v>
      </c>
      <c r="C101" s="326"/>
      <c r="D101" s="326"/>
      <c r="E101" s="326"/>
      <c r="F101" s="326"/>
    </row>
    <row r="102" spans="1:6">
      <c r="A102" s="1312" t="s">
        <v>75</v>
      </c>
      <c r="B102" s="1313">
        <v>57</v>
      </c>
      <c r="C102" s="326"/>
      <c r="D102" s="326"/>
      <c r="E102" s="326"/>
      <c r="F102" s="326"/>
    </row>
    <row r="103" spans="1:6">
      <c r="A103" s="1312" t="s">
        <v>76</v>
      </c>
      <c r="B103" s="1313">
        <v>58</v>
      </c>
      <c r="C103" s="326"/>
      <c r="D103" s="326"/>
      <c r="E103" s="326"/>
      <c r="F103" s="326"/>
    </row>
    <row r="104" spans="1:6">
      <c r="A104" s="1312" t="s">
        <v>77</v>
      </c>
      <c r="B104" s="1313">
        <v>2056</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33</v>
      </c>
      <c r="C123" s="1313">
        <v>30</v>
      </c>
      <c r="D123" s="326"/>
      <c r="E123" s="326"/>
      <c r="F123" s="326"/>
    </row>
    <row r="124" spans="1:6" s="43" customFormat="1">
      <c r="A124" s="1314" t="s">
        <v>88</v>
      </c>
      <c r="B124" s="1335">
        <v>1</v>
      </c>
      <c r="C124" s="1335">
        <v>4</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150</v>
      </c>
      <c r="C129" s="326"/>
      <c r="D129" s="326"/>
      <c r="E129" s="326"/>
      <c r="F129" s="326"/>
    </row>
    <row r="130" spans="1:6">
      <c r="A130" s="1312" t="s">
        <v>290</v>
      </c>
      <c r="B130" s="1313">
        <v>3</v>
      </c>
      <c r="C130" s="326"/>
      <c r="D130" s="326"/>
      <c r="E130" s="326"/>
      <c r="F130" s="326"/>
    </row>
    <row r="131" spans="1:6">
      <c r="A131" s="1312" t="s">
        <v>291</v>
      </c>
      <c r="B131" s="1313">
        <v>1</v>
      </c>
      <c r="C131" s="326"/>
      <c r="D131" s="326"/>
      <c r="E131" s="326"/>
      <c r="F131" s="326"/>
    </row>
    <row r="132" spans="1:6">
      <c r="A132" s="1307" t="s">
        <v>292</v>
      </c>
      <c r="B132" s="1308">
        <v>15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31194.120329717975</v>
      </c>
      <c r="C3" s="43" t="s">
        <v>169</v>
      </c>
      <c r="D3" s="43"/>
      <c r="E3" s="154"/>
      <c r="F3" s="43"/>
      <c r="G3" s="43"/>
      <c r="H3" s="43"/>
      <c r="I3" s="43"/>
      <c r="J3" s="43"/>
      <c r="K3" s="96"/>
    </row>
    <row r="4" spans="1:11">
      <c r="A4" s="354" t="s">
        <v>170</v>
      </c>
      <c r="B4" s="49">
        <f>IF(ISERROR('SEAP template'!B78+'SEAP template'!C78),0,'SEAP template'!B78+'SEAP template'!C78)</f>
        <v>4272.5593067425034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1.01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0.1907627117924687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5.0500000000000007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22.5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0.22444444444444447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752.06200000000001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752.06200000000001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0.1907627117924687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143.46538655606761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18317.0918127513</v>
      </c>
      <c r="C5" s="17">
        <f>IF(ISERROR('Eigen informatie GS &amp; warmtenet'!B59),0,'Eigen informatie GS &amp; warmtenet'!B59)</f>
        <v>0</v>
      </c>
      <c r="D5" s="30">
        <f>(SUM(HH_hh_gas_kWh,HH_rest_gas_kWh)/1000)*0.903</f>
        <v>39282.697323126165</v>
      </c>
      <c r="E5" s="17">
        <f>B32*B41</f>
        <v>1137.6670010854778</v>
      </c>
      <c r="F5" s="17">
        <f>B36*B45</f>
        <v>24922.42192775042</v>
      </c>
      <c r="G5" s="18"/>
      <c r="H5" s="17"/>
      <c r="I5" s="17"/>
      <c r="J5" s="17">
        <f>B35*B44+C35*C44</f>
        <v>142.03560842520048</v>
      </c>
      <c r="K5" s="17"/>
      <c r="L5" s="17"/>
      <c r="M5" s="17"/>
      <c r="N5" s="17">
        <f>B34*B43+C34*C43</f>
        <v>5897.779588399093</v>
      </c>
      <c r="O5" s="17">
        <f>B52*B53*B54</f>
        <v>365.04831236721384</v>
      </c>
      <c r="P5" s="17">
        <f>B60*B61*B62/1000-B60*B61*B62/1000/B63</f>
        <v>516.16400607656612</v>
      </c>
    </row>
    <row r="6" spans="1:16">
      <c r="A6" s="16" t="s">
        <v>603</v>
      </c>
      <c r="B6" s="780">
        <f>kWh_PV_kleiner_dan_10kW</f>
        <v>3629.5752699147042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21946.667082666005</v>
      </c>
      <c r="C8" s="21">
        <f>C5</f>
        <v>0</v>
      </c>
      <c r="D8" s="21">
        <f>D5</f>
        <v>39282.697323126165</v>
      </c>
      <c r="E8" s="21">
        <f>E5</f>
        <v>1137.6670010854778</v>
      </c>
      <c r="F8" s="21">
        <f>F5</f>
        <v>24922.42192775042</v>
      </c>
      <c r="G8" s="21"/>
      <c r="H8" s="21"/>
      <c r="I8" s="21"/>
      <c r="J8" s="21">
        <f>J5</f>
        <v>142.03560842520048</v>
      </c>
      <c r="K8" s="21"/>
      <c r="L8" s="21">
        <f>L5</f>
        <v>0</v>
      </c>
      <c r="M8" s="21">
        <f>M5</f>
        <v>0</v>
      </c>
      <c r="N8" s="21">
        <f>N5</f>
        <v>5897.779588399093</v>
      </c>
      <c r="O8" s="21">
        <f>O5</f>
        <v>365.04831236721384</v>
      </c>
      <c r="P8" s="21">
        <f>P5</f>
        <v>516.16400607656612</v>
      </c>
    </row>
    <row r="9" spans="1:16">
      <c r="B9" s="19"/>
      <c r="C9" s="19"/>
      <c r="D9" s="254"/>
      <c r="E9" s="19"/>
      <c r="F9" s="19"/>
      <c r="G9" s="19"/>
      <c r="H9" s="19"/>
      <c r="I9" s="19"/>
      <c r="J9" s="19"/>
      <c r="K9" s="19"/>
      <c r="L9" s="19"/>
      <c r="M9" s="19"/>
      <c r="N9" s="19"/>
      <c r="O9" s="19"/>
      <c r="P9" s="19"/>
    </row>
    <row r="10" spans="1:16">
      <c r="A10" s="24" t="s">
        <v>213</v>
      </c>
      <c r="B10" s="25">
        <f ca="1">'EF ele_warmte'!B12</f>
        <v>0.1907627117924687</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4186.6057274958748</v>
      </c>
      <c r="C12" s="23">
        <f ca="1">C10*C8</f>
        <v>0</v>
      </c>
      <c r="D12" s="23">
        <f>D8*D10</f>
        <v>7935.104859271486</v>
      </c>
      <c r="E12" s="23">
        <f>E10*E8</f>
        <v>258.25040924640348</v>
      </c>
      <c r="F12" s="23">
        <f>F10*F8</f>
        <v>6654.2866547093627</v>
      </c>
      <c r="G12" s="23"/>
      <c r="H12" s="23"/>
      <c r="I12" s="23"/>
      <c r="J12" s="23">
        <f>J10*J8</f>
        <v>50.280605382520967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4411</v>
      </c>
      <c r="C26" s="36"/>
      <c r="D26" s="225"/>
    </row>
    <row r="27" spans="1:5" s="15" customFormat="1">
      <c r="A27" s="227" t="s">
        <v>866</v>
      </c>
      <c r="B27" s="37">
        <f>SUM(HH_hh_gas_aantal,HH_rest_gas_aantal)</f>
        <v>2705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2569.75</v>
      </c>
      <c r="C31" s="34" t="s">
        <v>110</v>
      </c>
      <c r="D31" s="171"/>
    </row>
    <row r="32" spans="1:5">
      <c r="A32" s="168" t="s">
        <v>72</v>
      </c>
      <c r="B32" s="33">
        <f>IF((B21*($B$26-($B$27-0.05*$B$27)-$B$60))&lt;0,0,(B21*($B$26-($B$27-0.05*$B$27)-$B$60)))</f>
        <v>28.452324859204463</v>
      </c>
      <c r="C32" s="34" t="s">
        <v>110</v>
      </c>
      <c r="D32" s="171"/>
    </row>
    <row r="33" spans="1:6">
      <c r="A33" s="168" t="s">
        <v>73</v>
      </c>
      <c r="B33" s="33">
        <f>IF((B22*($B$26-($B$27-0.05*$B$27)-$B$60))&lt;0,0,B22*($B$26-($B$27-0.05*$B$27)-$B$60))</f>
        <v>462.00940526560061</v>
      </c>
      <c r="C33" s="34" t="s">
        <v>110</v>
      </c>
      <c r="D33" s="171"/>
    </row>
    <row r="34" spans="1:6">
      <c r="A34" s="168" t="s">
        <v>74</v>
      </c>
      <c r="B34" s="33">
        <f>IF((B24*($B$26-($B$27-0.05*$B$27)-$B$60))&lt;0,0,B24*($B$26-($B$27-0.05*$B$27)-$B$60))</f>
        <v>88.573385813693577</v>
      </c>
      <c r="C34" s="33">
        <f>B26*C24</f>
        <v>903.8401004866663</v>
      </c>
      <c r="D34" s="230"/>
    </row>
    <row r="35" spans="1:6">
      <c r="A35" s="168" t="s">
        <v>76</v>
      </c>
      <c r="B35" s="33">
        <f>IF((B19*($B$26-($B$27-0.05*$B$27)-$B$60))&lt;0,0,B19*($B$26-($B$27-0.05*$B$27)-$B$60))</f>
        <v>12.368157784097054</v>
      </c>
      <c r="C35" s="33">
        <f>B35/2</f>
        <v>6.184078892048527</v>
      </c>
      <c r="D35" s="230"/>
    </row>
    <row r="36" spans="1:6">
      <c r="A36" s="168" t="s">
        <v>77</v>
      </c>
      <c r="B36" s="33">
        <f>IF((B18*($B$26-($B$27-0.05*$B$27)-$B$60))&lt;0,0,B18*($B$26-($B$27-0.05*$B$27)-$B$60))</f>
        <v>1200.8467262774041</v>
      </c>
      <c r="C36" s="34" t="s">
        <v>110</v>
      </c>
      <c r="D36" s="171"/>
    </row>
    <row r="37" spans="1:6">
      <c r="A37" s="168" t="s">
        <v>78</v>
      </c>
      <c r="B37" s="33">
        <f>B60</f>
        <v>49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5940.0706861090594</v>
      </c>
      <c r="C5" s="17">
        <f>IF(ISERROR('Eigen informatie GS &amp; warmtenet'!B60),0,'Eigen informatie GS &amp; warmtenet'!B60)</f>
        <v>0</v>
      </c>
      <c r="D5" s="30">
        <f>SUM(D6:D12)</f>
        <v>9816.6542736189585</v>
      </c>
      <c r="E5" s="17">
        <f>SUM(E6:E12)</f>
        <v>21.133014387153327</v>
      </c>
      <c r="F5" s="17">
        <f>SUM(F6:F12)</f>
        <v>893.59777003971749</v>
      </c>
      <c r="G5" s="18"/>
      <c r="H5" s="17"/>
      <c r="I5" s="17"/>
      <c r="J5" s="17">
        <f>SUM(J6:J12)</f>
        <v>4.4551554602060119E-3</v>
      </c>
      <c r="K5" s="17"/>
      <c r="L5" s="17"/>
      <c r="M5" s="17"/>
      <c r="N5" s="17">
        <f>SUM(N6:N12)</f>
        <v>175.35119008653757</v>
      </c>
      <c r="O5" s="17">
        <f>B38*B39*B40</f>
        <v>14.691782297523464</v>
      </c>
      <c r="P5" s="17">
        <f>B46*B47*B48/1000-B46*B47*B48/1000/B49</f>
        <v>105.07827661299004</v>
      </c>
      <c r="R5" s="32"/>
    </row>
    <row r="6" spans="1:18">
      <c r="A6" s="32" t="s">
        <v>53</v>
      </c>
      <c r="B6" s="37">
        <f>B26</f>
        <v>2447.3040458379701</v>
      </c>
      <c r="C6" s="33"/>
      <c r="D6" s="37">
        <f>IF(ISERROR(TER_kantoor_gas_kWh/1000),0,TER_kantoor_gas_kWh/1000)*0.903</f>
        <v>4352.7877805407406</v>
      </c>
      <c r="E6" s="33">
        <f>$C$26*'E Balans VL '!I12/100/3.6*1000000</f>
        <v>0.58312042062516434</v>
      </c>
      <c r="F6" s="33">
        <f>$C$26*('E Balans VL '!L12+'E Balans VL '!N12)/100/3.6*1000000</f>
        <v>212.57233053598557</v>
      </c>
      <c r="G6" s="34"/>
      <c r="H6" s="33"/>
      <c r="I6" s="33"/>
      <c r="J6" s="33">
        <f>$C$26*('E Balans VL '!D12+'E Balans VL '!E12)/100/3.6*1000000</f>
        <v>0</v>
      </c>
      <c r="K6" s="33"/>
      <c r="L6" s="33"/>
      <c r="M6" s="33"/>
      <c r="N6" s="33">
        <f>$C$26*'E Balans VL '!Y12/100/3.6*1000000</f>
        <v>3.2711642355855979</v>
      </c>
      <c r="O6" s="33"/>
      <c r="P6" s="33"/>
      <c r="R6" s="32"/>
    </row>
    <row r="7" spans="1:18">
      <c r="A7" s="32" t="s">
        <v>52</v>
      </c>
      <c r="B7" s="37">
        <f t="shared" ref="B7:B12" si="0">B27</f>
        <v>719.65573457049993</v>
      </c>
      <c r="C7" s="33"/>
      <c r="D7" s="37">
        <f>IF(ISERROR(TER_horeca_gas_kWh/1000),0,TER_horeca_gas_kWh/1000)*0.903</f>
        <v>2474.674480145065</v>
      </c>
      <c r="E7" s="33">
        <f>$C$27*'E Balans VL '!I9/100/3.6*1000000</f>
        <v>0</v>
      </c>
      <c r="F7" s="33">
        <f>$C$27*('E Balans VL '!L9+'E Balans VL '!N9)/100/3.6*1000000</f>
        <v>58.638918459123076</v>
      </c>
      <c r="G7" s="34"/>
      <c r="H7" s="33"/>
      <c r="I7" s="33"/>
      <c r="J7" s="33">
        <f>$C$27*('E Balans VL '!D9+'E Balans VL '!E9)/100/3.6*1000000</f>
        <v>0</v>
      </c>
      <c r="K7" s="33"/>
      <c r="L7" s="33"/>
      <c r="M7" s="33"/>
      <c r="N7" s="33">
        <f>$C$27*'E Balans VL '!Y9/100/3.6*1000000</f>
        <v>0.19933124039278236</v>
      </c>
      <c r="O7" s="33"/>
      <c r="P7" s="33"/>
      <c r="R7" s="32"/>
    </row>
    <row r="8" spans="1:18">
      <c r="A8" s="6" t="s">
        <v>51</v>
      </c>
      <c r="B8" s="37">
        <f t="shared" si="0"/>
        <v>1856.3824099754199</v>
      </c>
      <c r="C8" s="33"/>
      <c r="D8" s="37">
        <f>IF(ISERROR(TER_handel_gas_kWh/1000),0,TER_handel_gas_kWh/1000)*0.903</f>
        <v>1589.6825827016266</v>
      </c>
      <c r="E8" s="33">
        <f>$C$28*'E Balans VL '!I13/100/3.6*1000000</f>
        <v>14.839205532999996</v>
      </c>
      <c r="F8" s="33">
        <f>$C$28*('E Balans VL '!L13+'E Balans VL '!N13)/100/3.6*1000000</f>
        <v>184.42005248470147</v>
      </c>
      <c r="G8" s="34"/>
      <c r="H8" s="33"/>
      <c r="I8" s="33"/>
      <c r="J8" s="33">
        <f>$C$28*('E Balans VL '!D13+'E Balans VL '!E13)/100/3.6*1000000</f>
        <v>0</v>
      </c>
      <c r="K8" s="33"/>
      <c r="L8" s="33"/>
      <c r="M8" s="33"/>
      <c r="N8" s="33">
        <f>$C$28*'E Balans VL '!Y13/100/3.6*1000000</f>
        <v>0.6934693293620765</v>
      </c>
      <c r="O8" s="33"/>
      <c r="P8" s="33"/>
      <c r="R8" s="32"/>
    </row>
    <row r="9" spans="1:18">
      <c r="A9" s="32" t="s">
        <v>50</v>
      </c>
      <c r="B9" s="37">
        <f t="shared" si="0"/>
        <v>294.67242070141998</v>
      </c>
      <c r="C9" s="33"/>
      <c r="D9" s="37">
        <f>IF(ISERROR(TER_gezond_gas_kWh/1000),0,TER_gezond_gas_kWh/1000)*0.903</f>
        <v>555.16754586440265</v>
      </c>
      <c r="E9" s="33">
        <f>$C$29*'E Balans VL '!I10/100/3.6*1000000</f>
        <v>0</v>
      </c>
      <c r="F9" s="33">
        <f>$C$29*('E Balans VL '!L10+'E Balans VL '!N10)/100/3.6*1000000</f>
        <v>26.86419303931438</v>
      </c>
      <c r="G9" s="34"/>
      <c r="H9" s="33"/>
      <c r="I9" s="33"/>
      <c r="J9" s="33">
        <f>$C$29*('E Balans VL '!D10+'E Balans VL '!E10)/100/3.6*1000000</f>
        <v>0</v>
      </c>
      <c r="K9" s="33"/>
      <c r="L9" s="33"/>
      <c r="M9" s="33"/>
      <c r="N9" s="33">
        <f>$C$29*'E Balans VL '!Y10/100/3.6*1000000</f>
        <v>2.1537913216779554</v>
      </c>
      <c r="O9" s="33"/>
      <c r="P9" s="33"/>
      <c r="R9" s="32"/>
    </row>
    <row r="10" spans="1:18">
      <c r="A10" s="32" t="s">
        <v>49</v>
      </c>
      <c r="B10" s="37">
        <f t="shared" si="0"/>
        <v>440.48641929252</v>
      </c>
      <c r="C10" s="33"/>
      <c r="D10" s="37">
        <f>IF(ISERROR(TER_ander_gas_kWh/1000),0,TER_ander_gas_kWh/1000)*0.903</f>
        <v>533.46321490386094</v>
      </c>
      <c r="E10" s="33">
        <f>$C$30*'E Balans VL '!I14/100/3.6*1000000</f>
        <v>5.7106884335281665</v>
      </c>
      <c r="F10" s="33">
        <f>$C$30*('E Balans VL '!L14+'E Balans VL '!N14)/100/3.6*1000000</f>
        <v>403.98789195878231</v>
      </c>
      <c r="G10" s="34"/>
      <c r="H10" s="33"/>
      <c r="I10" s="33"/>
      <c r="J10" s="33">
        <f>$C$30*('E Balans VL '!D14+'E Balans VL '!E14)/100/3.6*1000000</f>
        <v>4.4551554602060119E-3</v>
      </c>
      <c r="K10" s="33"/>
      <c r="L10" s="33"/>
      <c r="M10" s="33"/>
      <c r="N10" s="33">
        <f>$C$30*'E Balans VL '!Y14/100/3.6*1000000</f>
        <v>168.46162625269349</v>
      </c>
      <c r="O10" s="33"/>
      <c r="P10" s="33"/>
      <c r="R10" s="32"/>
    </row>
    <row r="11" spans="1:18">
      <c r="A11" s="32" t="s">
        <v>54</v>
      </c>
      <c r="B11" s="37">
        <f t="shared" si="0"/>
        <v>181.56965573122901</v>
      </c>
      <c r="C11" s="33"/>
      <c r="D11" s="37">
        <f>IF(ISERROR(TER_onderwijs_gas_kWh/1000),0,TER_onderwijs_gas_kWh/1000)*0.903</f>
        <v>310.87866946326449</v>
      </c>
      <c r="E11" s="33">
        <f>$C$31*'E Balans VL '!I11/100/3.6*1000000</f>
        <v>0</v>
      </c>
      <c r="F11" s="33">
        <f>$C$31*('E Balans VL '!L11+'E Balans VL '!N11)/100/3.6*1000000</f>
        <v>7.1143835618106364</v>
      </c>
      <c r="G11" s="34"/>
      <c r="H11" s="33"/>
      <c r="I11" s="33"/>
      <c r="J11" s="33">
        <f>$C$31*('E Balans VL '!D11+'E Balans VL '!E11)/100/3.6*1000000</f>
        <v>0</v>
      </c>
      <c r="K11" s="33"/>
      <c r="L11" s="33"/>
      <c r="M11" s="33"/>
      <c r="N11" s="33">
        <f>$C$31*'E Balans VL '!Y11/100/3.6*1000000</f>
        <v>0.57180770682566939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5940.0706861090594</v>
      </c>
      <c r="C16" s="21">
        <f t="shared" ca="1" si="1"/>
        <v>0</v>
      </c>
      <c r="D16" s="21">
        <f t="shared" ca="1" si="1"/>
        <v>9816.6542736189585</v>
      </c>
      <c r="E16" s="21">
        <f t="shared" si="1"/>
        <v>21.133014387153327</v>
      </c>
      <c r="F16" s="21">
        <f t="shared" ca="1" si="1"/>
        <v>893.59777003971749</v>
      </c>
      <c r="G16" s="21">
        <f t="shared" si="1"/>
        <v>0</v>
      </c>
      <c r="H16" s="21">
        <f t="shared" si="1"/>
        <v>0</v>
      </c>
      <c r="I16" s="21">
        <f t="shared" si="1"/>
        <v>0</v>
      </c>
      <c r="J16" s="21">
        <f t="shared" si="1"/>
        <v>4.4551554602060119E-3</v>
      </c>
      <c r="K16" s="21">
        <f t="shared" si="1"/>
        <v>0</v>
      </c>
      <c r="L16" s="21">
        <f t="shared" ca="1" si="1"/>
        <v>0</v>
      </c>
      <c r="M16" s="21">
        <f t="shared" si="1"/>
        <v>0</v>
      </c>
      <c r="N16" s="21">
        <f t="shared" ca="1" si="1"/>
        <v>175.35119008653757</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0.1907627117924687</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1133.1439923211144</v>
      </c>
      <c r="C20" s="23">
        <f t="shared" ref="C20:P20" ca="1" si="2">C16*C18</f>
        <v>0</v>
      </c>
      <c r="D20" s="23">
        <f t="shared" ca="1" si="2"/>
        <v>1982.9641632710297</v>
      </c>
      <c r="E20" s="23">
        <f t="shared" si="2"/>
        <v>4.7971942658838058</v>
      </c>
      <c r="F20" s="23">
        <f t="shared" ca="1" si="2"/>
        <v>238.59060460060459</v>
      </c>
      <c r="G20" s="23">
        <f t="shared" si="2"/>
        <v>0</v>
      </c>
      <c r="H20" s="23">
        <f t="shared" si="2"/>
        <v>0</v>
      </c>
      <c r="I20" s="23">
        <f t="shared" si="2"/>
        <v>0</v>
      </c>
      <c r="J20" s="23">
        <f t="shared" si="2"/>
        <v>1.5771250329129282E-3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2447.3040458379701</v>
      </c>
      <c r="C26" s="39">
        <f>IF(ISERROR(B26*3.6/1000000/'E Balans VL '!Z12*100),0,B26*3.6/1000000/'E Balans VL '!Z12*100)</f>
        <v>7.0212922771283867E-2</v>
      </c>
      <c r="D26" s="233" t="s">
        <v>841</v>
      </c>
      <c r="F26" s="6"/>
    </row>
    <row r="27" spans="1:18" ht="30">
      <c r="A27" s="228" t="s">
        <v>52</v>
      </c>
      <c r="B27" s="33">
        <f>IF(ISERROR(TER_horeca_ele_kWh/1000),0,TER_horeca_ele_kWh/1000)</f>
        <v>719.65573457049993</v>
      </c>
      <c r="C27" s="39">
        <f>IF(ISERROR(B27*3.6/1000000/'E Balans VL '!Z9*100),0,B27*3.6/1000000/'E Balans VL '!Z9*100)</f>
        <v>5.2722233898355841E-2</v>
      </c>
      <c r="D27" s="233" t="s">
        <v>841</v>
      </c>
      <c r="F27" s="6"/>
    </row>
    <row r="28" spans="1:18" ht="30">
      <c r="A28" s="168" t="s">
        <v>51</v>
      </c>
      <c r="B28" s="33">
        <f>IF(ISERROR(TER_handel_ele_kWh/1000),0,TER_handel_ele_kWh/1000)</f>
        <v>1856.3824099754199</v>
      </c>
      <c r="C28" s="39">
        <f>IF(ISERROR(B28*3.6/1000000/'E Balans VL '!Z13*100),0,B28*3.6/1000000/'E Balans VL '!Z13*100)</f>
        <v>5.7363782236465585E-2</v>
      </c>
      <c r="D28" s="233" t="s">
        <v>841</v>
      </c>
      <c r="F28" s="6"/>
    </row>
    <row r="29" spans="1:18" ht="30">
      <c r="A29" s="228" t="s">
        <v>50</v>
      </c>
      <c r="B29" s="33">
        <f>IF(ISERROR(TER_gezond_ele_kWh/1000),0,TER_gezond_ele_kWh/1000)</f>
        <v>294.67242070141998</v>
      </c>
      <c r="C29" s="39">
        <f>IF(ISERROR(B29*3.6/1000000/'E Balans VL '!Z10*100),0,B29*3.6/1000000/'E Balans VL '!Z10*100)</f>
        <v>2.8879709156193423E-2</v>
      </c>
      <c r="D29" s="233" t="s">
        <v>841</v>
      </c>
      <c r="F29" s="6"/>
    </row>
    <row r="30" spans="1:18" ht="30">
      <c r="A30" s="228" t="s">
        <v>49</v>
      </c>
      <c r="B30" s="33">
        <f>IF(ISERROR(TER_ander_ele_kWh/1000),0,TER_ander_ele_kWh/1000)</f>
        <v>440.48641929252</v>
      </c>
      <c r="C30" s="39">
        <f>IF(ISERROR(B30*3.6/1000000/'E Balans VL '!Z14*100),0,B30*3.6/1000000/'E Balans VL '!Z14*100)</f>
        <v>1.8246370485485372E-2</v>
      </c>
      <c r="D30" s="233" t="s">
        <v>841</v>
      </c>
      <c r="F30" s="6"/>
    </row>
    <row r="31" spans="1:18" ht="30">
      <c r="A31" s="228" t="s">
        <v>54</v>
      </c>
      <c r="B31" s="33">
        <f>IF(ISERROR(TER_onderwijs_ele_kWh/1000),0,TER_onderwijs_ele_kWh/1000)</f>
        <v>181.56965573122901</v>
      </c>
      <c r="C31" s="39">
        <f>IF(ISERROR(B31*3.6/1000000/'E Balans VL '!Z11*100),0,B31*3.6/1000000/'E Balans VL '!Z11*100)</f>
        <v>5.5790835012944441E-2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1029.4807051166974</v>
      </c>
      <c r="C5" s="17">
        <f>IF(ISERROR('Eigen informatie GS &amp; warmtenet'!B61),0,'Eigen informatie GS &amp; warmtenet'!B61)</f>
        <v>0</v>
      </c>
      <c r="D5" s="30">
        <f>SUM(D6:D15)</f>
        <v>833.39063866099934</v>
      </c>
      <c r="E5" s="17">
        <f>SUM(E6:E15)</f>
        <v>5.5008880245304219</v>
      </c>
      <c r="F5" s="17">
        <f>SUM(F6:F15)</f>
        <v>391.50650527763298</v>
      </c>
      <c r="G5" s="18"/>
      <c r="H5" s="17"/>
      <c r="I5" s="17"/>
      <c r="J5" s="17">
        <f>SUM(J6:J15)</f>
        <v>1.1632579012143589</v>
      </c>
      <c r="K5" s="17"/>
      <c r="L5" s="17"/>
      <c r="M5" s="17"/>
      <c r="N5" s="17">
        <f>SUM(N6:N15)</f>
        <v>54.361092968432985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578.07132204281095</v>
      </c>
      <c r="C9" s="33"/>
      <c r="D9" s="37">
        <f>IF( ISERROR(IND_andere_gas_kWh/1000),0,IND_andere_gas_kWh/1000)*0.903</f>
        <v>618.75095449348032</v>
      </c>
      <c r="E9" s="33">
        <f>C31*'E Balans VL '!I19/100/3.6*1000000</f>
        <v>1.8661126734215363</v>
      </c>
      <c r="F9" s="33">
        <f>C31*'E Balans VL '!L19/100/3.6*1000000+C31*'E Balans VL '!N19/100/3.6*1000000</f>
        <v>373.78545472826403</v>
      </c>
      <c r="G9" s="34"/>
      <c r="H9" s="33"/>
      <c r="I9" s="33"/>
      <c r="J9" s="40">
        <f>C31*'E Balans VL '!D19/100/3.6*1000000+C31*'E Balans VL '!E19/100/3.6*1000000</f>
        <v>0</v>
      </c>
      <c r="K9" s="33"/>
      <c r="L9" s="33"/>
      <c r="M9" s="33"/>
      <c r="N9" s="33">
        <f>C31*'E Balans VL '!Y19/100/3.6*1000000</f>
        <v>23.359194392813091</v>
      </c>
      <c r="O9" s="33"/>
      <c r="P9" s="33"/>
      <c r="R9" s="32"/>
    </row>
    <row r="10" spans="1:18">
      <c r="A10" s="6" t="s">
        <v>40</v>
      </c>
      <c r="B10" s="37">
        <f t="shared" si="0"/>
        <v>384.34765786766502</v>
      </c>
      <c r="C10" s="33"/>
      <c r="D10" s="37">
        <f>IF( ISERROR(IND_voed_gas_kWh/1000),0,IND_voed_gas_kWh/1000)*0.903</f>
        <v>148.72608611016224</v>
      </c>
      <c r="E10" s="33">
        <f>C32*'E Balans VL '!I20/100/3.6*1000000</f>
        <v>0.80568688433916591</v>
      </c>
      <c r="F10" s="33">
        <f>C32*'E Balans VL '!L20/100/3.6*1000000+C32*'E Balans VL '!N20/100/3.6*1000000</f>
        <v>7.488420633553015</v>
      </c>
      <c r="G10" s="34"/>
      <c r="H10" s="33"/>
      <c r="I10" s="33"/>
      <c r="J10" s="40">
        <f>C32*'E Balans VL '!D20/100/3.6*1000000+C32*'E Balans VL '!E20/100/3.6*1000000</f>
        <v>0</v>
      </c>
      <c r="K10" s="33"/>
      <c r="L10" s="33"/>
      <c r="M10" s="33"/>
      <c r="N10" s="33">
        <f>C32*'E Balans VL '!Y20/100/3.6*1000000</f>
        <v>15.288284262100667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26.324861169876201</v>
      </c>
      <c r="C12" s="33"/>
      <c r="D12" s="37">
        <f>IF( ISERROR(IND_min_gas_kWh/1000),0,IND_min_gas_kWh/1000)*0.903</f>
        <v>0</v>
      </c>
      <c r="E12" s="33">
        <f>C34*'E Balans VL '!I22/100/3.6*1000000</f>
        <v>0.43080790321602075</v>
      </c>
      <c r="F12" s="33">
        <f>C34*'E Balans VL '!L22/100/3.6*1000000+C34*'E Balans VL '!N22/100/3.6*1000000</f>
        <v>4.0180775004953491</v>
      </c>
      <c r="G12" s="34"/>
      <c r="H12" s="33"/>
      <c r="I12" s="33"/>
      <c r="J12" s="40">
        <f>C34*'E Balans VL '!D22/100/3.6*1000000+C34*'E Balans VL '!E22/100/3.6*1000000</f>
        <v>0.9420763725029494</v>
      </c>
      <c r="K12" s="33"/>
      <c r="L12" s="33"/>
      <c r="M12" s="33"/>
      <c r="N12" s="33">
        <f>C34*'E Balans VL '!Y22/100/3.6*1000000</f>
        <v>14.426582636351824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40.736864036345203</v>
      </c>
      <c r="C15" s="33"/>
      <c r="D15" s="37">
        <f>IF( ISERROR(IND_rest_gas_kWh/1000),0,IND_rest_gas_kWh/1000)*0.903</f>
        <v>65.91359805735685</v>
      </c>
      <c r="E15" s="33">
        <f>C37*'E Balans VL '!I15/100/3.6*1000000</f>
        <v>2.3982805635536986</v>
      </c>
      <c r="F15" s="33">
        <f>C37*'E Balans VL '!L15/100/3.6*1000000+C37*'E Balans VL '!N15/100/3.6*1000000</f>
        <v>6.2145524153206262</v>
      </c>
      <c r="G15" s="34"/>
      <c r="H15" s="33"/>
      <c r="I15" s="33"/>
      <c r="J15" s="40">
        <f>C37*'E Balans VL '!D15/100/3.6*1000000+C37*'E Balans VL '!E15/100/3.6*1000000</f>
        <v>0.2211815287114095</v>
      </c>
      <c r="K15" s="33"/>
      <c r="L15" s="33"/>
      <c r="M15" s="33"/>
      <c r="N15" s="33">
        <f>C37*'E Balans VL '!Y15/100/3.6*1000000</f>
        <v>1.2870316771674084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1029.4807051166974</v>
      </c>
      <c r="C18" s="21">
        <f>C5+C16</f>
        <v>0</v>
      </c>
      <c r="D18" s="21">
        <f>MAX((D5+D16),0)</f>
        <v>833.39063866099934</v>
      </c>
      <c r="E18" s="21">
        <f>MAX((E5+E16),0)</f>
        <v>5.5008880245304219</v>
      </c>
      <c r="F18" s="21">
        <f>MAX((F5+F16),0)</f>
        <v>391.50650527763298</v>
      </c>
      <c r="G18" s="21"/>
      <c r="H18" s="21"/>
      <c r="I18" s="21"/>
      <c r="J18" s="21">
        <f>MAX((J5+J16),0)</f>
        <v>1.1632579012143589</v>
      </c>
      <c r="K18" s="21"/>
      <c r="L18" s="21">
        <f>MAX((L5+L16),0)</f>
        <v>0</v>
      </c>
      <c r="M18" s="21"/>
      <c r="N18" s="21">
        <f>MAX((N5+N16),0)</f>
        <v>54.361092968432985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0.1907627117924687</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196.386531046084</v>
      </c>
      <c r="C22" s="23">
        <f ca="1">C18*C20</f>
        <v>0</v>
      </c>
      <c r="D22" s="23">
        <f>D18*D20</f>
        <v>168.34490900952187</v>
      </c>
      <c r="E22" s="23">
        <f>E18*E20</f>
        <v>1.2487015815684057</v>
      </c>
      <c r="F22" s="23">
        <f>F18*F20</f>
        <v>104.53223690912802</v>
      </c>
      <c r="G22" s="23"/>
      <c r="H22" s="23"/>
      <c r="I22" s="23"/>
      <c r="J22" s="23">
        <f>J18*J20</f>
        <v>0.41179329702988304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0</v>
      </c>
      <c r="C30" s="39">
        <f>IF(ISERROR(B30*3.6/1000000/'E Balans VL '!Z18*100),0,B30*3.6/1000000/'E Balans VL '!Z18*100)</f>
        <v>0</v>
      </c>
      <c r="D30" s="233" t="s">
        <v>841</v>
      </c>
    </row>
    <row r="31" spans="1:18" ht="30">
      <c r="A31" s="6" t="s">
        <v>32</v>
      </c>
      <c r="B31" s="37">
        <f>IF( ISERROR(IND_ander_ele_kWh/1000),0,IND_ander_ele_kWh/1000)</f>
        <v>578.07132204281095</v>
      </c>
      <c r="C31" s="39">
        <f>IF(ISERROR(B31*3.6/1000000/'E Balans VL '!Z19*100),0,B31*3.6/1000000/'E Balans VL '!Z19*100)</f>
        <v>2.3551822405383734E-2</v>
      </c>
      <c r="D31" s="233" t="s">
        <v>841</v>
      </c>
    </row>
    <row r="32" spans="1:18" ht="30">
      <c r="A32" s="168" t="s">
        <v>40</v>
      </c>
      <c r="B32" s="37">
        <f>IF( ISERROR(IND_voed_ele_kWh/1000),0,IND_voed_ele_kWh/1000)</f>
        <v>384.34765786766502</v>
      </c>
      <c r="C32" s="39">
        <f>IF(ISERROR(B32*3.6/1000000/'E Balans VL '!Z20*100),0,B32*3.6/1000000/'E Balans VL '!Z20*100)</f>
        <v>1.1113037519505454E-2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26.324861169876201</v>
      </c>
      <c r="C34" s="39">
        <f>IF(ISERROR(B34*3.6/1000000/'E Balans VL '!Z22*100),0,B34*3.6/1000000/'E Balans VL '!Z22*100)</f>
        <v>1.1240471102381727E-2</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40.736864036345203</v>
      </c>
      <c r="C37" s="39">
        <f>IF(ISERROR(B37*3.6/1000000/'E Balans VL '!Z15*100),0,B37*3.6/1000000/'E Balans VL '!Z15*100)</f>
        <v>3.3448050871795899E-4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505.09012353136097</v>
      </c>
      <c r="C5" s="17">
        <f>'Eigen informatie GS &amp; warmtenet'!B62</f>
        <v>0</v>
      </c>
      <c r="D5" s="30">
        <f>IF(ISERROR(SUM(LB_lb_gas_kWh,LB_rest_gas_kWh)/1000),0,SUM(LB_lb_gas_kWh,LB_rest_gas_kWh)/1000)*0.903</f>
        <v>939.70012672820201</v>
      </c>
      <c r="E5" s="17">
        <f>B17*'E Balans VL '!I25/3.6*1000000/100</f>
        <v>14.466635906917837</v>
      </c>
      <c r="F5" s="17">
        <f>B17*('E Balans VL '!L25/3.6*1000000+'E Balans VL '!N25/3.6*1000000)/100</f>
        <v>1598.8544203239776</v>
      </c>
      <c r="G5" s="18"/>
      <c r="H5" s="17"/>
      <c r="I5" s="17"/>
      <c r="J5" s="17">
        <f>('E Balans VL '!D25+'E Balans VL '!E25)/3.6*1000000*landbouw!B17/100</f>
        <v>128.42855737597222</v>
      </c>
      <c r="K5" s="17"/>
      <c r="L5" s="17">
        <f>L6*(-1)</f>
        <v>0</v>
      </c>
      <c r="M5" s="17"/>
      <c r="N5" s="17">
        <f>N6*(-1)</f>
        <v>0</v>
      </c>
      <c r="O5" s="17"/>
      <c r="P5" s="17"/>
      <c r="R5" s="32"/>
    </row>
    <row r="6" spans="1:18">
      <c r="A6" s="16" t="s">
        <v>473</v>
      </c>
      <c r="B6" s="17" t="s">
        <v>210</v>
      </c>
      <c r="C6" s="17">
        <f>'lokale energieproductie'!O39+'lokale energieproductie'!O32</f>
        <v>22.5</v>
      </c>
      <c r="D6" s="304">
        <f>('lokale energieproductie'!P32+'lokale energieproductie'!P39)*(-1)</f>
        <v>-30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505.09012353136097</v>
      </c>
      <c r="C8" s="21">
        <f>C5+C6</f>
        <v>22.5</v>
      </c>
      <c r="D8" s="21">
        <f>MAX((D5+D6),0)</f>
        <v>909.70012672820201</v>
      </c>
      <c r="E8" s="21">
        <f>MAX((E5+E6),0)</f>
        <v>14.466635906917837</v>
      </c>
      <c r="F8" s="21">
        <f>MAX((F5+F6),0)</f>
        <v>1598.8544203239776</v>
      </c>
      <c r="G8" s="21"/>
      <c r="H8" s="21"/>
      <c r="I8" s="21"/>
      <c r="J8" s="21">
        <f>MAX((J5+J6),0)</f>
        <v>128.42855737597222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0.1907627117924687</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96.352361664435435</v>
      </c>
      <c r="C12" s="23">
        <f ca="1">C8*C10</f>
        <v>5.0500000000000007</v>
      </c>
      <c r="D12" s="23">
        <f>D8*D10</f>
        <v>183.75942559909683</v>
      </c>
      <c r="E12" s="23">
        <f>E8*E10</f>
        <v>3.2839263508703489</v>
      </c>
      <c r="F12" s="23">
        <f>F8*F10</f>
        <v>426.89413022650206</v>
      </c>
      <c r="G12" s="23"/>
      <c r="H12" s="23"/>
      <c r="I12" s="23"/>
      <c r="J12" s="23">
        <f>J8*J10</f>
        <v>45.463709311094163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6.9943523887219874E-2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92.682822740276123</v>
      </c>
      <c r="C26" s="243">
        <f>B26*'GWP N2O_CH4'!B5</f>
        <v>1946.3392775457985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18.972422712893479</v>
      </c>
      <c r="C27" s="243">
        <f>B27*'GWP N2O_CH4'!B5</f>
        <v>398.42087697076306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1.1317101945210573</v>
      </c>
      <c r="C28" s="243">
        <f>B28*'GWP N2O_CH4'!B4</f>
        <v>350.83016030152777</v>
      </c>
      <c r="D28" s="50"/>
    </row>
    <row r="29" spans="1:4">
      <c r="A29" s="41" t="s">
        <v>272</v>
      </c>
      <c r="B29" s="243">
        <f>B34*'ha_N2O bodem landbouw'!B4</f>
        <v>5.0572541803285747</v>
      </c>
      <c r="C29" s="243">
        <f>B29*'GWP N2O_CH4'!B4</f>
        <v>1567.7487959018581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1.1489176386882268E-3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1.4373375913392286E-3</v>
      </c>
      <c r="C5" s="434" t="s">
        <v>210</v>
      </c>
      <c r="D5" s="419">
        <f>SUM(D6:D11)</f>
        <v>2.2045955190017966E-3</v>
      </c>
      <c r="E5" s="419">
        <f>SUM(E6:E11)</f>
        <v>1.0060272799555688E-3</v>
      </c>
      <c r="F5" s="432" t="s">
        <v>210</v>
      </c>
      <c r="G5" s="419">
        <f>SUM(G6:G11)</f>
        <v>0.60329244905279944</v>
      </c>
      <c r="H5" s="419">
        <f>SUM(H6:H11)</f>
        <v>0.11183571708121483</v>
      </c>
      <c r="I5" s="434" t="s">
        <v>210</v>
      </c>
      <c r="J5" s="434" t="s">
        <v>210</v>
      </c>
      <c r="K5" s="434" t="s">
        <v>210</v>
      </c>
      <c r="L5" s="434" t="s">
        <v>210</v>
      </c>
      <c r="M5" s="419">
        <f>SUM(M6:M11)</f>
        <v>4.2568100050189558E-2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1.3998918651787729E-4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2.3340204832570313E-4</v>
      </c>
      <c r="E6" s="886">
        <f>vkm_GW_PW*SUMIFS(TableVerdeelsleutelVkm[LPG],TableVerdeelsleutelVkm[Voertuigtype],"Lichte voertuigen")*SUMIFS(TableECFTransport[EnergieConsumptieFactor (PJ per km)],TableECFTransport[Index],CONCATENATE($A6,"_LPG_LPG"))</f>
        <v>9.2534419190942339E-5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2.7808917472225594E-2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1.1446444960926724E-2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2.4082007177251459E-3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6.8336816319837175E-7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2.7089144723470814E-2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1.9987867784693618E-7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1.5554128783718147E-3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1.6657403295012056E-4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3.8036401197514798E-4</v>
      </c>
      <c r="E8" s="422">
        <f>vkm_NGW_PW*SUMIFS(TableVerdeelsleutelVkm[LPG],TableVerdeelsleutelVkm[Voertuigtype],"Lichte voertuigen")*SUMIFS(TableECFTransport[EnergieConsumptieFactor (PJ per km)],TableECFTransport[Index],CONCATENATE($A8,"_LPG_LPG"))</f>
        <v>1.4438813718430701E-4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3.9747178174726464E-2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1.8479543048200615E-2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3.5922675140707119E-3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2.8233084576935691E-7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1.4412373241688842E-2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9.9675058999433904E-8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8.2753362546399394E-4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1.1221812196467865E-3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1.5908294587009457E-3</v>
      </c>
      <c r="E10" s="422">
        <f>vkm_SW_PW*SUMIFS(TableVerdeelsleutelVkm[LPG],TableVerdeelsleutelVkm[Voertuigtype],"Lichte voertuigen")*SUMIFS(TableECFTransport[EnergieConsumptieFactor (PJ per km)],TableECFTransport[Index],CONCATENATE($A10,"_LPG_LPG"))</f>
        <v>7.6910472358031931E-4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0.2096940858652275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8.19071332548756E-2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1.7846822724114704E-2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7.6274532154764243E-6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0.28454074957546022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2.2962634750473149E-6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1.6337862590443192E-2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399.26044203867463</v>
      </c>
      <c r="C14" s="21"/>
      <c r="D14" s="21">
        <f t="shared" ref="D14:M14" si="0">((D5)*10^9/3600)+D12</f>
        <v>612.3876441671656</v>
      </c>
      <c r="E14" s="21">
        <f t="shared" si="0"/>
        <v>279.45202220988023</v>
      </c>
      <c r="F14" s="21"/>
      <c r="G14" s="21">
        <f t="shared" si="0"/>
        <v>167581.23584799984</v>
      </c>
      <c r="H14" s="21">
        <f t="shared" si="0"/>
        <v>31065.476967004121</v>
      </c>
      <c r="I14" s="21"/>
      <c r="J14" s="21"/>
      <c r="K14" s="21"/>
      <c r="L14" s="21"/>
      <c r="M14" s="21">
        <f t="shared" si="0"/>
        <v>11824.472236163767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0.1907627117924687</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76.164004634757347</v>
      </c>
      <c r="C18" s="23"/>
      <c r="D18" s="23">
        <f t="shared" ref="D18:M18" si="1">D14*D16</f>
        <v>123.70230412176745</v>
      </c>
      <c r="E18" s="23">
        <f t="shared" si="1"/>
        <v>63.435609041642813</v>
      </c>
      <c r="F18" s="23"/>
      <c r="G18" s="23">
        <f t="shared" si="1"/>
        <v>44744.189971415959</v>
      </c>
      <c r="H18" s="23">
        <f t="shared" si="1"/>
        <v>7735.3037647840256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5.1945155363882714E-5</v>
      </c>
      <c r="C50" s="315">
        <f t="shared" ref="C50:P50" si="2">SUM(C51:C52)</f>
        <v>0</v>
      </c>
      <c r="D50" s="315">
        <f t="shared" si="2"/>
        <v>0</v>
      </c>
      <c r="E50" s="315">
        <f t="shared" si="2"/>
        <v>0</v>
      </c>
      <c r="F50" s="315">
        <f t="shared" si="2"/>
        <v>0</v>
      </c>
      <c r="G50" s="315">
        <f t="shared" si="2"/>
        <v>3.2519237669823117E-3</v>
      </c>
      <c r="H50" s="315">
        <f t="shared" si="2"/>
        <v>0</v>
      </c>
      <c r="I50" s="315">
        <f t="shared" si="2"/>
        <v>0</v>
      </c>
      <c r="J50" s="315">
        <f t="shared" si="2"/>
        <v>0</v>
      </c>
      <c r="K50" s="315">
        <f t="shared" si="2"/>
        <v>0</v>
      </c>
      <c r="L50" s="315">
        <f t="shared" si="2"/>
        <v>0</v>
      </c>
      <c r="M50" s="315">
        <f t="shared" si="2"/>
        <v>1.8671826218371527E-4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5.1945155363882714E-5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3.2519237669823117E-3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1.8671826218371527E-4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14.429209823300754</v>
      </c>
      <c r="C54" s="21">
        <f t="shared" ref="C54:P54" si="3">(C50)*10^9/3600</f>
        <v>0</v>
      </c>
      <c r="D54" s="21">
        <f t="shared" si="3"/>
        <v>0</v>
      </c>
      <c r="E54" s="21">
        <f t="shared" si="3"/>
        <v>0</v>
      </c>
      <c r="F54" s="21">
        <f t="shared" si="3"/>
        <v>0</v>
      </c>
      <c r="G54" s="21">
        <f t="shared" si="3"/>
        <v>903.31215749508658</v>
      </c>
      <c r="H54" s="21">
        <f t="shared" si="3"/>
        <v>0</v>
      </c>
      <c r="I54" s="21">
        <f t="shared" si="3"/>
        <v>0</v>
      </c>
      <c r="J54" s="21">
        <f t="shared" si="3"/>
        <v>0</v>
      </c>
      <c r="K54" s="21">
        <f t="shared" si="3"/>
        <v>0</v>
      </c>
      <c r="L54" s="21">
        <f t="shared" si="3"/>
        <v>0</v>
      </c>
      <c r="M54" s="21">
        <f t="shared" si="3"/>
        <v>51.866183939920909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0.1907627117924687</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2.7525551949153799</v>
      </c>
      <c r="C58" s="23">
        <f t="shared" ref="C58:P58" ca="1" si="4">C54*C56</f>
        <v>0</v>
      </c>
      <c r="D58" s="23">
        <f t="shared" si="4"/>
        <v>0</v>
      </c>
      <c r="E58" s="23">
        <f t="shared" si="4"/>
        <v>0</v>
      </c>
      <c r="F58" s="23">
        <f t="shared" si="4"/>
        <v>0</v>
      </c>
      <c r="G58" s="23">
        <f t="shared" si="4"/>
        <v>241.18434605118813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4268.0593067425034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4.5</v>
      </c>
      <c r="C8" s="545">
        <f>B48</f>
        <v>5</v>
      </c>
      <c r="D8" s="546"/>
      <c r="E8" s="546">
        <f>E48</f>
        <v>0</v>
      </c>
      <c r="F8" s="547"/>
      <c r="G8" s="548"/>
      <c r="H8" s="546">
        <f>I48</f>
        <v>0</v>
      </c>
      <c r="I8" s="546">
        <f>G48+F48</f>
        <v>0</v>
      </c>
      <c r="J8" s="546">
        <f>H48+D48+C48</f>
        <v>0</v>
      </c>
      <c r="K8" s="546"/>
      <c r="L8" s="546"/>
      <c r="M8" s="546"/>
      <c r="N8" s="549"/>
      <c r="O8" s="550">
        <f>C8*$C$12+D8*$D$12+E8*$E$12+F8*$F$12+G8*$G$12+H8*$H$12+I8*$I$12+J8*$J$12</f>
        <v>1.01</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4272.5593067425034</v>
      </c>
      <c r="C10" s="560">
        <f t="shared" ref="C10:L10" si="0">SUM(C8:C9)</f>
        <v>5</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1.01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22.5</v>
      </c>
      <c r="C17" s="576">
        <f>B49</f>
        <v>25</v>
      </c>
      <c r="D17" s="577"/>
      <c r="E17" s="577">
        <f>E49</f>
        <v>0</v>
      </c>
      <c r="F17" s="578"/>
      <c r="G17" s="579"/>
      <c r="H17" s="576">
        <f>I49</f>
        <v>0</v>
      </c>
      <c r="I17" s="577">
        <f>G49+F49</f>
        <v>0</v>
      </c>
      <c r="J17" s="577">
        <f>H49+D49+C49</f>
        <v>0</v>
      </c>
      <c r="K17" s="577"/>
      <c r="L17" s="577"/>
      <c r="M17" s="577"/>
      <c r="N17" s="962"/>
      <c r="O17" s="580">
        <f>C17*$C$22+E17*$E$22+H17*$H$22+I17*$I$22+J17*$J$22+D17*$D$22+F17*$F$22+G17*$G$22+K17*$K$22+L17*$L$22</f>
        <v>5.0500000000000007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22.5</v>
      </c>
      <c r="C20" s="559">
        <f>SUM(C17:C19)</f>
        <v>25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5.0500000000000007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44012</v>
      </c>
      <c r="C28" s="787">
        <v>9840</v>
      </c>
      <c r="D28" s="637" t="s">
        <v>874</v>
      </c>
      <c r="E28" s="636" t="s">
        <v>875</v>
      </c>
      <c r="F28" s="636" t="s">
        <v>876</v>
      </c>
      <c r="G28" s="636" t="s">
        <v>877</v>
      </c>
      <c r="H28" s="636" t="s">
        <v>877</v>
      </c>
      <c r="I28" s="636" t="s">
        <v>875</v>
      </c>
      <c r="J28" s="786">
        <v>40904</v>
      </c>
      <c r="K28" s="786">
        <v>41091</v>
      </c>
      <c r="L28" s="636" t="s">
        <v>878</v>
      </c>
      <c r="M28" s="636">
        <v>1</v>
      </c>
      <c r="N28" s="636">
        <v>4.5</v>
      </c>
      <c r="O28" s="636">
        <v>22.5</v>
      </c>
      <c r="P28" s="636">
        <v>30</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1</v>
      </c>
      <c r="N29" s="594">
        <f>SUM(N28:N28)</f>
        <v>4.5</v>
      </c>
      <c r="O29" s="594">
        <f>SUM(O28:O28)</f>
        <v>22.5</v>
      </c>
      <c r="P29" s="594">
        <f>SUM(P28:P28)</f>
        <v>30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1</v>
      </c>
      <c r="N32" s="599">
        <f>SUMIF($Z$28:$Z$28,"landbouw",N28:N28)</f>
        <v>4.5</v>
      </c>
      <c r="O32" s="599">
        <f>SUMIF($Z$28:$Z$28,"landbouw",O28:O28)</f>
        <v>22.5</v>
      </c>
      <c r="P32" s="599">
        <f>SUMIF($Z$28:$Z$28,"landbouw",P28:P28)</f>
        <v>30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0.83333333333333337</v>
      </c>
      <c r="C45" s="619">
        <f>IF(ISERROR(N29/(O29+N29)),0,N29/(N29+O29))</f>
        <v>0.16666666666666666</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5</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25</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2021-06-29T14:20:03Z</dcterms:modified>
</cp:coreProperties>
</file>