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B36" i="13"/>
  <c r="B35" i="13"/>
  <c r="B34" i="13"/>
  <c r="B33" i="13"/>
  <c r="D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56" i="22"/>
  <c r="C58" i="22" s="1"/>
  <c r="D49" i="14" s="1"/>
  <c r="D52" i="14" s="1"/>
  <c r="C20" i="16"/>
  <c r="C22" i="16" s="1"/>
  <c r="D43" i="14" s="1"/>
  <c r="C17" i="49"/>
  <c r="C22" i="59"/>
  <c r="C29" i="20"/>
  <c r="C17" i="19"/>
  <c r="C19" i="19" s="1"/>
  <c r="D39"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<sst xmlns="http://schemas.openxmlformats.org/spreadsheetml/2006/main" count="2438" uniqueCount="881">
  <si>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</si>
  <si>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</si>
  <si>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</si>
  <si>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</si>
  <si>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</si>
  <si>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</si>
  <si>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</si>
  <si>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</si>
  <si>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</si>
  <si>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</si>
  <si>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</si>
  <si>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</si>
  <si>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</si>
  <si>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</si>
  <si>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</si>
  <si>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</si>
  <si>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</si>
  <si>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</si>
  <si>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</si>
  <si>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</si>
  <si>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</si>
  <si>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</si>
  <si>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</si>
  <si>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</si>
  <si>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</si>
  <si>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</si>
  <si>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</si>
  <si>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</si>
  <si>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</si>
  <si>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</si>
  <si>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</si>
  <si>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</si>
  <si>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</si>
  <si>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</si>
  <si>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</si>
  <si>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</si>
  <si>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</si>
  <si>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</si>
  <si>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</si>
  <si>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</si>
  <si>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</si>
  <si>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</si>
  <si>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</si>
  <si>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</si>
  <si>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</si>
  <si>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</si>
  <si>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</si>
  <si>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</si>
  <si>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</si>
  <si>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</si>
  <si>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</si>
  <si>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</si>
  <si>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</si>
  <si>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</si>
  <si>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</si>
  <si>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</si>
  <si>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</si>
  <si>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</si>
  <si>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</si>
  <si>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</si>
  <si>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</si>
  <si>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</si>
  <si>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</si>
  <si>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</si>
  <si>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</si>
  <si>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</si>
  <si>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</si>
  <si>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</si>
  <si>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</si>
  <si>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</si>
  <si>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</si>
  <si>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</si>
  <si>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</si>
  <si>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</si>
  <si>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</si>
  <si>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</si>
  <si>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</si>
  <si>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</si>
  <si>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</si>
  <si>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</si>
  <si>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</si>
  <si>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</si>
  <si>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</si>
  <si>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</si>
  <si>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</si>
  <si>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</si>
  <si>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</si>
  <si>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</si>
  <si>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</si>
  <si>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</si>
  <si>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</si>
  <si>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</si>
  <si>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</si>
  <si>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</si>
  <si>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</si>
  <si>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</si>
  <si>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</si>
  <si>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</si>
  <si>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</si>
  <si>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</si>
  <si>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</si>
  <si>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</si>
  <si>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</si>
  <si>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</si>
  <si>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</si>
  <si>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</si>
  <si>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</si>
  <si>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</si>
  <si>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</si>
  <si>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</si>
  <si>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</si>
  <si>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</si>
  <si>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</si>
  <si>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</si>
  <si>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</si>
  <si>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</si>
  <si>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</si>
  <si>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</si>
  <si>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</si>
  <si>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</si>
  <si>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</si>
  <si>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</si>
  <si>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</si>
  <si>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</si>
  <si>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</si>
  <si>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</si>
  <si>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</si>
  <si>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</si>
  <si>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</si>
  <si>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</si>
  <si>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</si>
  <si>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</si>
  <si>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</si>
  <si>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</si>
  <si>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</si>
  <si>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</si>
  <si>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</si>
  <si>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</si>
  <si>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</si>
  <si>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</si>
  <si>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</si>
  <si>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</si>
  <si>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</si>
  <si>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</si>
  <si>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</si>
  <si>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</si>
  <si>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</si>
  <si>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</si>
  <si>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</si>
  <si>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</si>
  <si>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</si>
  <si>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</si>
  <si>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</si>
  <si>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</si>
  <si>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</si>
  <si>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</si>
  <si>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</si>
  <si>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</si>
  <si>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</si>
  <si>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</si>
  <si>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</si>
  <si>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</si>
  <si>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</si>
  <si>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</si>
  <si>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</si>
  <si>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</si>
  <si>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</si>
  <si>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</si>
  <si>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</si>
  <si>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</si>
  <si>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</si>
  <si>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</si>
  <si>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</si>
  <si>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</si>
  <si>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</si>
  <si>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</si>
  <si>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</si>
  <si>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</si>
  <si>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</si>
  <si>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</si>
  <si>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</si>
  <si>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</si>
  <si>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</si>
  <si>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</si>
  <si>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</si>
  <si>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</si>
  <si>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</si>
  <si>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</si>
  <si>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</si>
  <si>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</si>
  <si>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</si>
  <si>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</si>
  <si>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</si>
  <si>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</si>
  <si>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</si>
  <si>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</si>
  <si>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</si>
  <si>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</si>
  <si>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</si>
  <si>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</si>
  <si>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</si>
  <si>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</si>
  <si>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</si>
  <si>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</si>
  <si>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</si>
  <si>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</si>
  <si>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</si>
  <si>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</si>
  <si>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</si>
  <si>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</si>
  <si>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</si>
  <si>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</si>
  <si>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</si>
  <si>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</si>
  <si>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</si>
  <si>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</si>
  <si>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</si>
  <si>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</si>
  <si>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</si>
  <si>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</si>
  <si>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</si>
  <si>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</si>
  <si>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</si>
  <si>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</si>
  <si>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</si>
  <si>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</si>
  <si>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</si>
  <si>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</si>
  <si>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</si>
  <si>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</si>
  <si>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</si>
  <si>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</si>
  <si>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</si>
  <si>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</si>
  <si>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</si>
  <si>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</si>
  <si>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</si>
  <si>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</si>
  <si>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</si>
  <si>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</si>
  <si>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</si>
  <si>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</si>
  <si>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</si>
  <si>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</si>
  <si>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</si>
  <si>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</si>
  <si>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</si>
  <si>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</si>
  <si>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</si>
  <si>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</si>
  <si>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</si>
  <si>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</si>
  <si>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</si>
  <si>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</si>
  <si>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</si>
  <si>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</si>
  <si>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</si>
  <si>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</si>
  <si>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</si>
  <si>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</si>
  <si>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</si>
  <si>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</si>
  <si>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</si>
  <si>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</si>
  <si>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</si>
  <si>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</si>
  <si>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</si>
  <si>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</si>
  <si>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</si>
  <si>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</si>
  <si>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</si>
  <si>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</si>
  <si>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</si>
  <si>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</si>
  <si>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</si>
  <si>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</si>
  <si>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</si>
  <si>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</si>
  <si>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</si>
  <si>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</si>
  <si>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</si>
  <si>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</si>
  <si>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</si>
  <si>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</si>
  <si>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</si>
  <si>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</si>
  <si>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</si>
  <si>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</si>
  <si>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</si>
  <si>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</si>
  <si>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</si>
  <si>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</si>
  <si>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</si>
  <si>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</si>
  <si>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</si>
  <si>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</si>
  <si>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</si>
  <si>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</si>
  <si>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</si>
  <si>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</si>
  <si>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</si>
  <si>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</si>
  <si>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</si>
  <si>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</si>
  <si>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</si>
  <si>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</si>
  <si>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</si>
  <si>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</si>
  <si>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</si>
  <si>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</si>
  <si>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</si>
  <si>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</si>
  <si>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</si>
  <si>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</si>
  <si>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</si>
  <si>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</si>
  <si>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</si>
  <si>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</si>
  <si>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</si>
  <si>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</si>
  <si>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</si>
  <si>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</si>
  <si>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</si>
  <si>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</si>
  <si>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</si>
  <si>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</si>
  <si>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</si>
  <si>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</si>
  <si>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</si>
  <si>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</si>
  <si>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</si>
  <si>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</si>
  <si>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</si>
  <si>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</si>
  <si>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</si>
  <si>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</si>
  <si>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</si>
  <si>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</si>
  <si>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</si>
  <si>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</si>
  <si>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</si>
  <si>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</si>
  <si>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</si>
  <si>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</si>
  <si>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</si>
  <si>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</si>
  <si>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</si>
  <si>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</si>
  <si>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</si>
  <si>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</si>
  <si>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</si>
  <si>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</si>
  <si>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</si>
  <si>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</si>
  <si>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</si>
  <si>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</si>
  <si>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</si>
  <si>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</si>
  <si>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</si>
  <si>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</si>
  <si>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</si>
  <si>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</si>
  <si>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</si>
  <si>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</si>
  <si>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</si>
  <si>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</si>
  <si>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</si>
  <si>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</si>
  <si>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</si>
  <si>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</si>
  <si>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</si>
  <si>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</si>
  <si>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</si>
  <si>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</si>
  <si>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</si>
  <si>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</si>
  <si>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</si>
  <si>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</si>
  <si>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</si>
  <si>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</si>
  <si>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</si>
  <si>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</si>
  <si>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</si>
  <si>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</si>
  <si>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</si>
  <si>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</si>
  <si>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</si>
  <si>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</si>
  <si>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</si>
  <si>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</si>
  <si>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</si>
  <si>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</si>
  <si>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</si>
  <si>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</si>
  <si>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</si>
  <si>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</si>
  <si>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</si>
  <si>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</si>
  <si>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</si>
  <si>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</si>
  <si>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</si>
  <si>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</si>
  <si>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</si>
  <si>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</si>
  <si>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</si>
  <si>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</si>
  <si>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</si>
  <si>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</si>
  <si>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</si>
  <si>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</si>
  <si>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</si>
  <si>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</si>
  <si>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</si>
  <si>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</si>
  <si>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</si>
  <si>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</si>
  <si>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</si>
  <si>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</si>
  <si>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</si>
  <si>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</si>
  <si>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</si>
  <si>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</si>
  <si>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</si>
  <si>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</si>
  <si>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</si>
  <si>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</si>
  <si>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</si>
  <si>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</si>
  <si>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</si>
  <si>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</si>
  <si>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</si>
  <si>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</si>
  <si>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</si>
  <si>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</si>
  <si>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</si>
  <si>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</si>
  <si>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</si>
  <si>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</si>
  <si>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</si>
  <si>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</si>
  <si>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</si>
  <si>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</si>
  <si>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</si>
  <si>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</si>
  <si>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</si>
  <si>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</si>
  <si>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</si>
  <si>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</si>
  <si>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</si>
  <si>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</si>
  <si>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</si>
  <si>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</si>
  <si>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</si>
  <si>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</si>
  <si>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</si>
  <si>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</si>
  <si>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</si>
  <si>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</si>
  <si>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</si>
  <si>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</si>
  <si>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</si>
  <si>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</si>
  <si>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</si>
  <si>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</si>
  <si>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</si>
  <si>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</si>
  <si>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</si>
  <si>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</si>
  <si>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</si>
  <si>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</si>
  <si>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</si>
  <si>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</si>
  <si>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</si>
  <si>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</si>
  <si>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</si>
  <si>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</si>
  <si>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</si>
  <si>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</si>
  <si>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</si>
  <si>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</si>
  <si>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</si>
  <si>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</si>
  <si>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</si>
  <si>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</si>
  <si>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</si>
  <si>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</si>
  <si>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</si>
  <si>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</si>
  <si>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</si>
  <si>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</si>
  <si>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</si>
  <si>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</si>
  <si>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</si>
  <si>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</si>
  <si>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</si>
  <si>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</si>
  <si>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</si>
  <si>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</si>
  <si>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</si>
  <si>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</si>
  <si>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</si>
  <si>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</si>
  <si>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</si>
  <si>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</si>
  <si>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</si>
  <si>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</si>
  <si>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</si>
  <si>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</si>
  <si>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</si>
  <si>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</si>
  <si>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</si>
  <si>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</si>
  <si>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</si>
  <si>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</si>
  <si>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</si>
  <si>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</si>
  <si>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</si>
  <si>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</si>
  <si>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</si>
  <si>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</si>
  <si>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</si>
  <si>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</si>
  <si>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</si>
  <si>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</si>
  <si>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</si>
  <si>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</si>
  <si>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</si>
  <si>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</si>
  <si>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</si>
  <si>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</si>
  <si>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</si>
  <si>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</si>
  <si>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</si>
  <si>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</si>
  <si>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</si>
  <si>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</si>
  <si>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</si>
  <si>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</si>
  <si>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</si>
  <si>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</si>
  <si>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</si>
  <si>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</si>
  <si>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</si>
  <si>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</si>
  <si>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</si>
  <si>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</si>
  <si>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</si>
  <si>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</si>
  <si>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</si>
  <si>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</si>
  <si>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</si>
  <si>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</si>
  <si>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</si>
  <si>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</si>
  <si>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</si>
  <si>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</si>
  <si>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</si>
  <si>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</si>
  <si>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</si>
  <si>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</si>
  <si>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</si>
  <si>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</si>
  <si>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</si>
  <si>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</si>
  <si>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</si>
  <si>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</si>
  <si>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</si>
  <si>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</si>
  <si>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</si>
  <si>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</si>
  <si>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</si>
  <si>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</si>
  <si>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</si>
  <si>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</si>
  <si>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</si>
  <si>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</si>
  <si>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</si>
  <si>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</si>
  <si>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</si>
  <si>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</si>
  <si>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</si>
  <si>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</si>
  <si>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</si>
  <si>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</si>
  <si>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</si>
  <si>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</si>
  <si>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</si>
  <si>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</si>
  <si>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</si>
  <si>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</si>
  <si>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</si>
  <si>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</si>
  <si>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</si>
  <si>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</si>
  <si>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</si>
  <si>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</si>
  <si>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</si>
  <si>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</si>
  <si>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</si>
  <si>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</si>
  <si>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</si>
  <si>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</si>
  <si>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</si>
  <si>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</si>
  <si>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</si>
  <si>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</si>
  <si>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</si>
  <si>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</si>
  <si>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</si>
  <si>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</si>
  <si>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</si>
  <si>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</si>
  <si>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</si>
  <si>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</si>
  <si>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</si>
  <si>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</si>
  <si>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</si>
  <si>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</si>
  <si>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</si>
  <si>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</si>
  <si>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</si>
  <si>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</si>
  <si>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</si>
  <si>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</si>
  <si>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</si>
  <si>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</si>
  <si>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</si>
  <si>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</si>
  <si>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</si>
  <si>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</si>
  <si>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</si>
  <si>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</si>
  <si>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</si>
  <si>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</si>
  <si>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</si>
  <si>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</si>
  <si>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</si>
  <si>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</si>
  <si>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</si>
  <si>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</si>
  <si>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</si>
  <si>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</si>
  <si>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</si>
  <si>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</si>
  <si>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</si>
  <si>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</si>
  <si>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</si>
  <si>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</si>
  <si>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</si>
  <si>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</si>
  <si>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</si>
  <si>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</si>
  <si>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</si>
  <si>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</si>
  <si>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</si>
  <si>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</si>
  <si>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</si>
  <si>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</si>
  <si>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</si>
  <si>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</si>
  <si>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</si>
  <si>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</si>
  <si>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</si>
  <si>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</si>
  <si>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</si>
  <si>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</si>
  <si>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</si>
  <si>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</si>
  <si>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</si>
  <si>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</si>
  <si>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</si>
  <si>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</si>
  <si>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</si>
  <si>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</si>
  <si>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</si>
  <si>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</si>
  <si>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</si>
  <si>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</si>
  <si>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</si>
  <si>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</si>
  <si>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</si>
  <si>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</si>
  <si>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</si>
  <si>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</si>
  <si>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</si>
  <si>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</si>
  <si>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</si>
  <si>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</si>
  <si>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</si>
  <si>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</si>
  <si>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</si>
  <si>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</si>
  <si>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</si>
  <si>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</si>
  <si>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</si>
  <si>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</si>
  <si>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</si>
  <si>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</si>
  <si>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</si>
  <si>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</si>
  <si>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</si>
  <si>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</si>
  <si>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</si>
  <si>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</si>
  <si>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</si>
  <si>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</si>
  <si>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</si>
  <si>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</si>
  <si>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</si>
  <si>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</si>
  <si>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</si>
  <si>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</si>
  <si>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</si>
  <si>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</si>
  <si>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</si>
  <si>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</si>
  <si>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</si>
  <si>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</si>
  <si>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</si>
  <si>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</si>
  <si>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</si>
  <si>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</si>
  <si>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</si>
  <si>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</si>
  <si>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</si>
  <si>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</si>
  <si>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</si>
  <si>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</si>
  <si>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</si>
  <si>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</si>
  <si>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</si>
  <si>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</si>
  <si>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</si>
  <si>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</si>
  <si>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</si>
  <si>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</si>
  <si>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</si>
  <si>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</si>
  <si>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</si>
  <si>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</si>
  <si>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</si>
  <si>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</si>
  <si>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</si>
  <si>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</si>
  <si>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</si>
  <si>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</si>
  <si>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</si>
  <si>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</si>
  <si>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</si>
  <si>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</si>
  <si>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</si>
  <si>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</si>
  <si>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</si>
  <si>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</si>
  <si>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</si>
  <si>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</si>
  <si>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</si>
  <si>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</si>
  <si>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</si>
  <si>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</si>
  <si>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</si>
  <si>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</si>
  <si>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</si>
  <si>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</si>
  <si>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</si>
  <si>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</si>
  <si>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</si>
  <si>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</si>
  <si>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</si>
  <si>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</si>
  <si>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</si>
  <si>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</si>
  <si>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</si>
  <si>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</si>
  <si>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</si>
  <si>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</si>
  <si>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</si>
  <si>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</si>
  <si>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</si>
  <si>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</si>
  <si>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</si>
  <si>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</si>
  <si>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</si>
  <si>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</si>
  <si>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</si>
  <si>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</si>
  <si>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</si>
  <si>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</si>
  <si>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</si>
  <si>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</si>
  <si>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</si>
  <si>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</si>
  <si>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</si>
  <si>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</si>
  <si>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</si>
  <si>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</si>
  <si>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</si>
  <si>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</si>
  <si>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</si>
  <si>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</si>
  <si>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</si>
  <si>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</si>
  <si>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</si>
  <si>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</si>
  <si>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</si>
  <si>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</si>
  <si>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</si>
  <si>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</si>
  <si>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</si>
  <si>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</si>
  <si>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</si>
  <si>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</si>
  <si>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</si>
  <si>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</si>
  <si>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</si>
  <si>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</si>
  <si>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</si>
  <si>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</si>
  <si>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</si>
  <si>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</si>
  <si>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</si>
  <si>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</si>
  <si>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</si>
  <si>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</si>
  <si>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</si>
  <si>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</si>
  <si>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</si>
  <si>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</si>
  <si>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</si>
  <si>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</si>
  <si>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</si>
  <si>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</si>
  <si>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</si>
  <si>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</si>
  <si>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</si>
  <si>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</si>
  <si>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</si>
  <si>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</si>
  <si>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</si>
  <si>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</si>
  <si>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</si>
  <si>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</si>
  <si>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</si>
  <si>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</si>
  <si>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</si>
  <si>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</si>
  <si>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</si>
  <si>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</si>
  <si>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</si>
  <si>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</si>
  <si>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</si>
  <si>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</si>
  <si>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</si>
  <si>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</si>
  <si>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</si>
  <si>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</si>
  <si>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</si>
  <si>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</si>
  <si>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</si>
  <si>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</si>
  <si>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</si>
  <si>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</si>
  <si>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</si>
  <si>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</si>
  <si>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</si>
  <si>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</si>
  <si>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</si>
  <si>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</si>
  <si>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</si>
  <si>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</si>
  <si>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42008</t>
  </si>
  <si>
    <t>HAMME</t>
  </si>
  <si>
    <t>referentietaak LNE (2017); Jaarverslag De Lijn</t>
  </si>
  <si>
    <t>waterkracht</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</si>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</sst>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195450.8758937708</c:v>
                </c:pt>
                <c:pt idx="1">
                  <c:v>46812.124573637935</c:v>
                </c:pt>
                <c:pt idx="2">
                  <c:v>1148.002</c:v>
                </c:pt>
                <c:pt idx="3">
                  <c:v>18176.939181355541</c:v>
                </c:pt>
                <c:pt idx="4">
                  <c:v>27518.1184864569</c:v>
                </c:pt>
                <c:pt idx="5">
                  <c:v>94339.884031422567</c:v>
                </c:pt>
                <c:pt idx="6">
                  <c:v>1048.3886927944902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195450.8758937708</c:v>
                </c:pt>
                <c:pt idx="1">
                  <c:v>46812.124573637935</c:v>
                </c:pt>
                <c:pt idx="2">
                  <c:v>1148.002</c:v>
                </c:pt>
                <c:pt idx="3">
                  <c:v>18176.939181355541</c:v>
                </c:pt>
                <c:pt idx="4">
                  <c:v>27518.1184864569</c:v>
                </c:pt>
                <c:pt idx="5">
                  <c:v>94339.884031422567</c:v>
                </c:pt>
                <c:pt idx="6">
                  <c:v>1048.3886927944902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37437.353575624053</c:v>
                </c:pt>
                <c:pt idx="1">
                  <c:v>8937.7017023640801</c:v>
                </c:pt>
                <c:pt idx="2">
                  <c:v>195.66866081988132</c:v>
                </c:pt>
                <c:pt idx="3">
                  <c:v>4329.7135560181368</c:v>
                </c:pt>
                <c:pt idx="4">
                  <c:v>5119.435600308806</c:v>
                </c:pt>
                <c:pt idx="5">
                  <c:v>23322.425210314846</c:v>
                </c:pt>
                <c:pt idx="6">
                  <c:v>263.43988415824282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37437.353575624053</c:v>
                </c:pt>
                <c:pt idx="1">
                  <c:v>8937.7017023640801</c:v>
                </c:pt>
                <c:pt idx="2">
                  <c:v>195.66866081988132</c:v>
                </c:pt>
                <c:pt idx="3">
                  <c:v>4329.7135560181368</c:v>
                </c:pt>
                <c:pt idx="4">
                  <c:v>5119.435600308806</c:v>
                </c:pt>
                <c:pt idx="5">
                  <c:v>23322.425210314846</c:v>
                </c:pt>
                <c:pt idx="6">
                  <c:v>263.43988415824282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42008</v>
      </c>
      <c r="B6" s="386"/>
      <c r="C6" s="387"/>
    </row>
    <row r="7" spans="1:7" s="384" customFormat="1" ht="15.75" customHeight="1">
      <c r="A7" s="388" t="str">
        <f>txtMunicipality</f>
        <v>HAMME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18596.327585937928</v>
      </c>
      <c r="D10" s="683">
        <f ca="1">tertiair!C16</f>
        <v>0</v>
      </c>
      <c r="E10" s="683">
        <f ca="1">tertiair!D16</f>
        <v>25169.454719996917</v>
      </c>
      <c r="F10" s="683">
        <f>tertiair!E16</f>
        <v>82.004613283603078</v>
      </c>
      <c r="G10" s="683">
        <f ca="1">tertiair!F16</f>
        <v>3224.376083198078</v>
      </c>
      <c r="H10" s="683">
        <f>tertiair!G16</f>
        <v>0</v>
      </c>
      <c r="I10" s="683">
        <f>tertiair!H16</f>
        <v>0</v>
      </c>
      <c r="J10" s="683">
        <f>tertiair!I16</f>
        <v>0</v>
      </c>
      <c r="K10" s="683">
        <f>tertiair!J16</f>
        <v>2.0167172370838114E-2</v>
      </c>
      <c r="L10" s="683">
        <f>tertiair!K16</f>
        <v>0</v>
      </c>
      <c r="M10" s="683">
        <f ca="1">tertiair!L16</f>
        <v>0</v>
      </c>
      <c r="N10" s="683">
        <f>tertiair!M16</f>
        <v>0</v>
      </c>
      <c r="O10" s="683">
        <f ca="1">tertiair!N16</f>
        <v>782.86512743605499</v>
      </c>
      <c r="P10" s="683">
        <f>tertiair!O16</f>
        <v>0</v>
      </c>
      <c r="Q10" s="684">
        <f>tertiair!P16</f>
        <v>105.07827661299004</v>
      </c>
      <c r="R10" s="686">
        <f ca="1">SUM(C10:Q10)</f>
        <v>47960.126573637936</v>
      </c>
      <c r="S10" s="67"/>
    </row>
    <row r="11" spans="1:19" s="445" customFormat="1">
      <c r="A11" s="804" t="s">
        <v>220</v>
      </c>
      <c r="B11" s="809"/>
      <c r="C11" s="683">
        <f>huishoudens!B8</f>
        <v>38931.796464067906</v>
      </c>
      <c r="D11" s="683">
        <f>huishoudens!C8</f>
        <v>0</v>
      </c>
      <c r="E11" s="683">
        <f>huishoudens!D8</f>
        <v>110368.44836569394</v>
      </c>
      <c r="F11" s="683">
        <f>huishoudens!E8</f>
        <v>1390.0199185253052</v>
      </c>
      <c r="G11" s="683">
        <f>huishoudens!F8</f>
        <v>30450.617680227559</v>
      </c>
      <c r="H11" s="683">
        <f>huishoudens!G8</f>
        <v>0</v>
      </c>
      <c r="I11" s="683">
        <f>huishoudens!H8</f>
        <v>0</v>
      </c>
      <c r="J11" s="683">
        <f>huishoudens!I8</f>
        <v>0</v>
      </c>
      <c r="K11" s="683">
        <f>huishoudens!J8</f>
        <v>173.5414006581135</v>
      </c>
      <c r="L11" s="683">
        <f>huishoudens!K8</f>
        <v>0</v>
      </c>
      <c r="M11" s="683">
        <f>huishoudens!L8</f>
        <v>0</v>
      </c>
      <c r="N11" s="683">
        <f>huishoudens!M8</f>
        <v>0</v>
      </c>
      <c r="O11" s="683">
        <f>huishoudens!N8</f>
        <v>13044.277652826224</v>
      </c>
      <c r="P11" s="683">
        <f>huishoudens!O8</f>
        <v>428.53497538759888</v>
      </c>
      <c r="Q11" s="684">
        <f>huishoudens!P8</f>
        <v>663.6394363841564</v>
      </c>
      <c r="R11" s="686">
        <f>SUM(C11:Q11)</f>
        <v>195450.8758937708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16027.584614813093</v>
      </c>
      <c r="D13" s="683">
        <f>industrie!C18</f>
        <v>0</v>
      </c>
      <c r="E13" s="683">
        <f>industrie!D18</f>
        <v>8889.1423961262917</v>
      </c>
      <c r="F13" s="683">
        <f>industrie!E18</f>
        <v>272.48702680087069</v>
      </c>
      <c r="G13" s="683">
        <f>industrie!F18</f>
        <v>1974.5098465588846</v>
      </c>
      <c r="H13" s="683">
        <f>industrie!G18</f>
        <v>0</v>
      </c>
      <c r="I13" s="683">
        <f>industrie!H18</f>
        <v>0</v>
      </c>
      <c r="J13" s="683">
        <f>industrie!I18</f>
        <v>0</v>
      </c>
      <c r="K13" s="683">
        <f>industrie!J18</f>
        <v>8.4575004255641204</v>
      </c>
      <c r="L13" s="683">
        <f>industrie!K18</f>
        <v>0</v>
      </c>
      <c r="M13" s="683">
        <f>industrie!L18</f>
        <v>0</v>
      </c>
      <c r="N13" s="683">
        <f>industrie!M18</f>
        <v>0</v>
      </c>
      <c r="O13" s="683">
        <f>industrie!N18</f>
        <v>345.93710173219262</v>
      </c>
      <c r="P13" s="683">
        <f>industrie!O18</f>
        <v>0</v>
      </c>
      <c r="Q13" s="684">
        <f>industrie!P18</f>
        <v>0</v>
      </c>
      <c r="R13" s="686">
        <f>SUM(C13:Q13)</f>
        <v>27518.1184864569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73555.708664818929</v>
      </c>
      <c r="D16" s="719">
        <f t="shared" ref="D16:R16" ca="1" si="0">SUM(D9:D15)</f>
        <v>0</v>
      </c>
      <c r="E16" s="719">
        <f t="shared" ca="1" si="0"/>
        <v>144427.04548181716</v>
      </c>
      <c r="F16" s="719">
        <f t="shared" si="0"/>
        <v>1744.5115586097791</v>
      </c>
      <c r="G16" s="719">
        <f t="shared" ca="1" si="0"/>
        <v>35649.503609984517</v>
      </c>
      <c r="H16" s="719">
        <f t="shared" si="0"/>
        <v>0</v>
      </c>
      <c r="I16" s="719">
        <f t="shared" si="0"/>
        <v>0</v>
      </c>
      <c r="J16" s="719">
        <f t="shared" si="0"/>
        <v>0</v>
      </c>
      <c r="K16" s="719">
        <f t="shared" si="0"/>
        <v>182.01906825604846</v>
      </c>
      <c r="L16" s="719">
        <f t="shared" si="0"/>
        <v>0</v>
      </c>
      <c r="M16" s="719">
        <f t="shared" ca="1" si="0"/>
        <v>0</v>
      </c>
      <c r="N16" s="719">
        <f t="shared" si="0"/>
        <v>0</v>
      </c>
      <c r="O16" s="719">
        <f t="shared" ca="1" si="0"/>
        <v>14173.07988199447</v>
      </c>
      <c r="P16" s="719">
        <f t="shared" si="0"/>
        <v>428.53497538759888</v>
      </c>
      <c r="Q16" s="719">
        <f t="shared" si="0"/>
        <v>768.71771299714646</v>
      </c>
      <c r="R16" s="719">
        <f t="shared" ca="1" si="0"/>
        <v>270929.12095386564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15.601590978820331</v>
      </c>
      <c r="D19" s="683">
        <f>transport!C54</f>
        <v>0</v>
      </c>
      <c r="E19" s="683">
        <f>transport!D54</f>
        <v>0</v>
      </c>
      <c r="F19" s="683">
        <f>transport!E54</f>
        <v>0</v>
      </c>
      <c r="G19" s="683">
        <f>transport!F54</f>
        <v>0</v>
      </c>
      <c r="H19" s="683">
        <f>transport!G54</f>
        <v>976.70676218707899</v>
      </c>
      <c r="I19" s="683">
        <f>transport!H54</f>
        <v>0</v>
      </c>
      <c r="J19" s="683">
        <f>transport!I54</f>
        <v>0</v>
      </c>
      <c r="K19" s="683">
        <f>transport!J54</f>
        <v>0</v>
      </c>
      <c r="L19" s="683">
        <f>transport!K54</f>
        <v>0</v>
      </c>
      <c r="M19" s="683">
        <f>transport!L54</f>
        <v>0</v>
      </c>
      <c r="N19" s="683">
        <f>transport!M54</f>
        <v>56.080339628590885</v>
      </c>
      <c r="O19" s="683">
        <f>transport!N54</f>
        <v>0</v>
      </c>
      <c r="P19" s="683">
        <f>transport!O54</f>
        <v>0</v>
      </c>
      <c r="Q19" s="684">
        <f>transport!P54</f>
        <v>0</v>
      </c>
      <c r="R19" s="686">
        <f>SUM(C19:Q19)</f>
        <v>1048.3886927944902</v>
      </c>
      <c r="S19" s="67"/>
    </row>
    <row r="20" spans="1:19" s="445" customFormat="1">
      <c r="A20" s="804" t="s">
        <v>302</v>
      </c>
      <c r="B20" s="809"/>
      <c r="C20" s="683">
        <f>transport!B14</f>
        <v>221.83954147313108</v>
      </c>
      <c r="D20" s="683">
        <f>transport!C14</f>
        <v>0</v>
      </c>
      <c r="E20" s="683">
        <f>transport!D14</f>
        <v>434.92138360419187</v>
      </c>
      <c r="F20" s="683">
        <f>transport!E14</f>
        <v>168.31777713941003</v>
      </c>
      <c r="G20" s="683">
        <f>transport!F14</f>
        <v>0</v>
      </c>
      <c r="H20" s="683">
        <f>transport!G14</f>
        <v>66948.806028021427</v>
      </c>
      <c r="I20" s="683">
        <f>transport!H14</f>
        <v>21217.754201326854</v>
      </c>
      <c r="J20" s="683">
        <f>transport!I14</f>
        <v>0</v>
      </c>
      <c r="K20" s="683">
        <f>transport!J14</f>
        <v>0</v>
      </c>
      <c r="L20" s="683">
        <f>transport!K14</f>
        <v>0</v>
      </c>
      <c r="M20" s="683">
        <f>transport!L14</f>
        <v>0</v>
      </c>
      <c r="N20" s="683">
        <f>transport!M14</f>
        <v>5348.2450998575541</v>
      </c>
      <c r="O20" s="683">
        <f>transport!N14</f>
        <v>0</v>
      </c>
      <c r="P20" s="683">
        <f>transport!O14</f>
        <v>0</v>
      </c>
      <c r="Q20" s="684">
        <f>transport!P14</f>
        <v>0</v>
      </c>
      <c r="R20" s="686">
        <f>SUM(C20:Q20)</f>
        <v>94339.884031422567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237.4411324519514</v>
      </c>
      <c r="D22" s="807">
        <f t="shared" ref="D22:R22" si="1">SUM(D18:D21)</f>
        <v>0</v>
      </c>
      <c r="E22" s="807">
        <f t="shared" si="1"/>
        <v>434.92138360419187</v>
      </c>
      <c r="F22" s="807">
        <f t="shared" si="1"/>
        <v>168.31777713941003</v>
      </c>
      <c r="G22" s="807">
        <f t="shared" si="1"/>
        <v>0</v>
      </c>
      <c r="H22" s="807">
        <f t="shared" si="1"/>
        <v>67925.512790208508</v>
      </c>
      <c r="I22" s="807">
        <f t="shared" si="1"/>
        <v>21217.754201326854</v>
      </c>
      <c r="J22" s="807">
        <f t="shared" si="1"/>
        <v>0</v>
      </c>
      <c r="K22" s="807">
        <f t="shared" si="1"/>
        <v>0</v>
      </c>
      <c r="L22" s="807">
        <f t="shared" si="1"/>
        <v>0</v>
      </c>
      <c r="M22" s="807">
        <f t="shared" si="1"/>
        <v>0</v>
      </c>
      <c r="N22" s="807">
        <f t="shared" si="1"/>
        <v>5404.3254394861451</v>
      </c>
      <c r="O22" s="807">
        <f t="shared" si="1"/>
        <v>0</v>
      </c>
      <c r="P22" s="807">
        <f t="shared" si="1"/>
        <v>0</v>
      </c>
      <c r="Q22" s="807">
        <f t="shared" si="1"/>
        <v>0</v>
      </c>
      <c r="R22" s="807">
        <f t="shared" si="1"/>
        <v>95388.272724217051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1381.23852042921</v>
      </c>
      <c r="D24" s="683">
        <f>+landbouw!C8</f>
        <v>10182.857142857143</v>
      </c>
      <c r="E24" s="683">
        <f>+landbouw!D8</f>
        <v>1849.7892685890511</v>
      </c>
      <c r="F24" s="683">
        <f>+landbouw!E8</f>
        <v>39.561008708614359</v>
      </c>
      <c r="G24" s="683">
        <f>+landbouw!F8</f>
        <v>4372.2876592198372</v>
      </c>
      <c r="H24" s="683">
        <f>+landbouw!G8</f>
        <v>0</v>
      </c>
      <c r="I24" s="683">
        <f>+landbouw!H8</f>
        <v>0</v>
      </c>
      <c r="J24" s="683">
        <f>+landbouw!I8</f>
        <v>0</v>
      </c>
      <c r="K24" s="683">
        <f>+landbouw!J8</f>
        <v>351.2055815516884</v>
      </c>
      <c r="L24" s="683">
        <f>+landbouw!K8</f>
        <v>0</v>
      </c>
      <c r="M24" s="683">
        <f>+landbouw!L8</f>
        <v>0</v>
      </c>
      <c r="N24" s="683">
        <f>+landbouw!M8</f>
        <v>0</v>
      </c>
      <c r="O24" s="683">
        <f>+landbouw!N8</f>
        <v>0</v>
      </c>
      <c r="P24" s="683">
        <f>+landbouw!O8</f>
        <v>0</v>
      </c>
      <c r="Q24" s="684">
        <f>+landbouw!P8</f>
        <v>0</v>
      </c>
      <c r="R24" s="686">
        <f>SUM(C24:Q24)</f>
        <v>18176.939181355541</v>
      </c>
      <c r="S24" s="67"/>
    </row>
    <row r="25" spans="1:19" s="445" customFormat="1" ht="15" thickBot="1">
      <c r="A25" s="826" t="s">
        <v>696</v>
      </c>
      <c r="B25" s="939"/>
      <c r="C25" s="940">
        <f>IF(Onbekend_ele_kWh="---",0,Onbekend_ele_kWh)/1000+IF(REST_rest_ele_kWh="---",0,REST_rest_ele_kWh)/1000</f>
        <v>1091.6441392586898</v>
      </c>
      <c r="D25" s="940"/>
      <c r="E25" s="940">
        <f>IF(onbekend_gas_kWh="---",0,onbekend_gas_kWh)/1000+IF(REST_rest_gas_kWh="---",0,REST_rest_gas_kWh)/1000</f>
        <v>2418.3777460143301</v>
      </c>
      <c r="F25" s="940"/>
      <c r="G25" s="940"/>
      <c r="H25" s="940"/>
      <c r="I25" s="940"/>
      <c r="J25" s="940"/>
      <c r="K25" s="940"/>
      <c r="L25" s="940"/>
      <c r="M25" s="940"/>
      <c r="N25" s="940"/>
      <c r="O25" s="940"/>
      <c r="P25" s="940"/>
      <c r="Q25" s="941"/>
      <c r="R25" s="686">
        <f>SUM(C25:Q25)</f>
        <v>3510.02188527302</v>
      </c>
      <c r="S25" s="67"/>
    </row>
    <row r="26" spans="1:19" s="445" customFormat="1" ht="15.75" thickBot="1">
      <c r="A26" s="691" t="s">
        <v>697</v>
      </c>
      <c r="B26" s="812"/>
      <c r="C26" s="807">
        <f>SUM(C24:C25)</f>
        <v>2472.8826596878998</v>
      </c>
      <c r="D26" s="807">
        <f t="shared" ref="D26:R26" si="2">SUM(D24:D25)</f>
        <v>10182.857142857143</v>
      </c>
      <c r="E26" s="807">
        <f t="shared" si="2"/>
        <v>4268.1670146033812</v>
      </c>
      <c r="F26" s="807">
        <f t="shared" si="2"/>
        <v>39.561008708614359</v>
      </c>
      <c r="G26" s="807">
        <f t="shared" si="2"/>
        <v>4372.2876592198372</v>
      </c>
      <c r="H26" s="807">
        <f t="shared" si="2"/>
        <v>0</v>
      </c>
      <c r="I26" s="807">
        <f t="shared" si="2"/>
        <v>0</v>
      </c>
      <c r="J26" s="807">
        <f t="shared" si="2"/>
        <v>0</v>
      </c>
      <c r="K26" s="807">
        <f t="shared" si="2"/>
        <v>351.2055815516884</v>
      </c>
      <c r="L26" s="807">
        <f t="shared" si="2"/>
        <v>0</v>
      </c>
      <c r="M26" s="807">
        <f t="shared" si="2"/>
        <v>0</v>
      </c>
      <c r="N26" s="807">
        <f t="shared" si="2"/>
        <v>0</v>
      </c>
      <c r="O26" s="807">
        <f t="shared" si="2"/>
        <v>0</v>
      </c>
      <c r="P26" s="807">
        <f t="shared" si="2"/>
        <v>0</v>
      </c>
      <c r="Q26" s="807">
        <f t="shared" si="2"/>
        <v>0</v>
      </c>
      <c r="R26" s="807">
        <f t="shared" si="2"/>
        <v>21686.961066628563</v>
      </c>
      <c r="S26" s="67"/>
    </row>
    <row r="27" spans="1:19" s="445" customFormat="1" ht="17.25" thickTop="1" thickBot="1">
      <c r="A27" s="692" t="s">
        <v>115</v>
      </c>
      <c r="B27" s="799"/>
      <c r="C27" s="693">
        <f ca="1">C22+C16+C26</f>
        <v>76266.032456958768</v>
      </c>
      <c r="D27" s="693">
        <f t="shared" ref="D27:R27" ca="1" si="3">D22+D16+D26</f>
        <v>10182.857142857143</v>
      </c>
      <c r="E27" s="693">
        <f t="shared" ca="1" si="3"/>
        <v>149130.13388002475</v>
      </c>
      <c r="F27" s="693">
        <f t="shared" si="3"/>
        <v>1952.3903444578034</v>
      </c>
      <c r="G27" s="693">
        <f t="shared" ca="1" si="3"/>
        <v>40021.791269204354</v>
      </c>
      <c r="H27" s="693">
        <f t="shared" si="3"/>
        <v>67925.512790208508</v>
      </c>
      <c r="I27" s="693">
        <f t="shared" si="3"/>
        <v>21217.754201326854</v>
      </c>
      <c r="J27" s="693">
        <f t="shared" si="3"/>
        <v>0</v>
      </c>
      <c r="K27" s="693">
        <f t="shared" si="3"/>
        <v>533.2246498077368</v>
      </c>
      <c r="L27" s="693">
        <f t="shared" si="3"/>
        <v>0</v>
      </c>
      <c r="M27" s="693">
        <f t="shared" ca="1" si="3"/>
        <v>0</v>
      </c>
      <c r="N27" s="693">
        <f t="shared" si="3"/>
        <v>5404.3254394861451</v>
      </c>
      <c r="O27" s="693">
        <f t="shared" ca="1" si="3"/>
        <v>14173.07988199447</v>
      </c>
      <c r="P27" s="693">
        <f t="shared" si="3"/>
        <v>428.53497538759888</v>
      </c>
      <c r="Q27" s="693">
        <f t="shared" si="3"/>
        <v>768.71771299714646</v>
      </c>
      <c r="R27" s="693">
        <f t="shared" ca="1" si="3"/>
        <v>388004.35474471125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3169.6099091363003</v>
      </c>
      <c r="D40" s="683">
        <f ca="1">tertiair!C20</f>
        <v>0</v>
      </c>
      <c r="E40" s="683">
        <f ca="1">tertiair!D20</f>
        <v>5084.2298534393776</v>
      </c>
      <c r="F40" s="683">
        <f>tertiair!E20</f>
        <v>18.615047215377899</v>
      </c>
      <c r="G40" s="683">
        <f ca="1">tertiair!F20</f>
        <v>860.90841421388689</v>
      </c>
      <c r="H40" s="683">
        <f>tertiair!G20</f>
        <v>0</v>
      </c>
      <c r="I40" s="683">
        <f>tertiair!H20</f>
        <v>0</v>
      </c>
      <c r="J40" s="683">
        <f>tertiair!I20</f>
        <v>0</v>
      </c>
      <c r="K40" s="683">
        <f>tertiair!J20</f>
        <v>7.1391790192766921E-3</v>
      </c>
      <c r="L40" s="683">
        <f>tertiair!K20</f>
        <v>0</v>
      </c>
      <c r="M40" s="683">
        <f ca="1">tertiair!L20</f>
        <v>0</v>
      </c>
      <c r="N40" s="683">
        <f>tertiair!M20</f>
        <v>0</v>
      </c>
      <c r="O40" s="683">
        <f ca="1">tertiair!N20</f>
        <v>0</v>
      </c>
      <c r="P40" s="683">
        <f>tertiair!O20</f>
        <v>0</v>
      </c>
      <c r="Q40" s="766">
        <f>tertiair!P20</f>
        <v>0</v>
      </c>
      <c r="R40" s="845">
        <f t="shared" ca="1" si="4"/>
        <v>9133.3703631839617</v>
      </c>
    </row>
    <row r="41" spans="1:18">
      <c r="A41" s="817" t="s">
        <v>220</v>
      </c>
      <c r="B41" s="824"/>
      <c r="C41" s="683">
        <f ca="1">huishoudens!B12</f>
        <v>6635.643907794898</v>
      </c>
      <c r="D41" s="683">
        <f ca="1">huishoudens!C12</f>
        <v>0</v>
      </c>
      <c r="E41" s="683">
        <f>huishoudens!D12</f>
        <v>22294.426569870178</v>
      </c>
      <c r="F41" s="683">
        <f>huishoudens!E12</f>
        <v>315.5345215052443</v>
      </c>
      <c r="G41" s="683">
        <f>huishoudens!F12</f>
        <v>8130.314920620759</v>
      </c>
      <c r="H41" s="683">
        <f>huishoudens!G12</f>
        <v>0</v>
      </c>
      <c r="I41" s="683">
        <f>huishoudens!H12</f>
        <v>0</v>
      </c>
      <c r="J41" s="683">
        <f>huishoudens!I12</f>
        <v>0</v>
      </c>
      <c r="K41" s="683">
        <f>huishoudens!J12</f>
        <v>61.433655832972178</v>
      </c>
      <c r="L41" s="683">
        <f>huishoudens!K12</f>
        <v>0</v>
      </c>
      <c r="M41" s="683">
        <f>huishoudens!L12</f>
        <v>0</v>
      </c>
      <c r="N41" s="683">
        <f>huishoudens!M12</f>
        <v>0</v>
      </c>
      <c r="O41" s="683">
        <f>huishoudens!N12</f>
        <v>0</v>
      </c>
      <c r="P41" s="683">
        <f>huishoudens!O12</f>
        <v>0</v>
      </c>
      <c r="Q41" s="766">
        <f>huishoudens!P12</f>
        <v>0</v>
      </c>
      <c r="R41" s="845">
        <f t="shared" ca="1" si="4"/>
        <v>37437.353575624053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2731.7861970256249</v>
      </c>
      <c r="D43" s="683">
        <f ca="1">industrie!C22</f>
        <v>0</v>
      </c>
      <c r="E43" s="683">
        <f>industrie!D22</f>
        <v>1795.6067640175111</v>
      </c>
      <c r="F43" s="683">
        <f>industrie!E22</f>
        <v>61.854555083797649</v>
      </c>
      <c r="G43" s="683">
        <f>industrie!F22</f>
        <v>527.19412903122225</v>
      </c>
      <c r="H43" s="683">
        <f>industrie!G22</f>
        <v>0</v>
      </c>
      <c r="I43" s="683">
        <f>industrie!H22</f>
        <v>0</v>
      </c>
      <c r="J43" s="683">
        <f>industrie!I22</f>
        <v>0</v>
      </c>
      <c r="K43" s="683">
        <f>industrie!J22</f>
        <v>2.9939551506496986</v>
      </c>
      <c r="L43" s="683">
        <f>industrie!K22</f>
        <v>0</v>
      </c>
      <c r="M43" s="683">
        <f>industrie!L22</f>
        <v>0</v>
      </c>
      <c r="N43" s="683">
        <f>industrie!M22</f>
        <v>0</v>
      </c>
      <c r="O43" s="683">
        <f>industrie!N22</f>
        <v>0</v>
      </c>
      <c r="P43" s="683">
        <f>industrie!O22</f>
        <v>0</v>
      </c>
      <c r="Q43" s="766">
        <f>industrie!P22</f>
        <v>0</v>
      </c>
      <c r="R43" s="844">
        <f t="shared" ca="1" si="4"/>
        <v>5119.435600308806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12537.040013956825</v>
      </c>
      <c r="D46" s="719">
        <f t="shared" ref="D46:Q46" ca="1" si="5">SUM(D39:D45)</f>
        <v>0</v>
      </c>
      <c r="E46" s="719">
        <f t="shared" ca="1" si="5"/>
        <v>29174.263187327066</v>
      </c>
      <c r="F46" s="719">
        <f t="shared" si="5"/>
        <v>396.00412380441986</v>
      </c>
      <c r="G46" s="719">
        <f t="shared" ca="1" si="5"/>
        <v>9518.4174638658678</v>
      </c>
      <c r="H46" s="719">
        <f t="shared" si="5"/>
        <v>0</v>
      </c>
      <c r="I46" s="719">
        <f t="shared" si="5"/>
        <v>0</v>
      </c>
      <c r="J46" s="719">
        <f t="shared" si="5"/>
        <v>0</v>
      </c>
      <c r="K46" s="719">
        <f t="shared" si="5"/>
        <v>64.434750162641151</v>
      </c>
      <c r="L46" s="719">
        <f t="shared" si="5"/>
        <v>0</v>
      </c>
      <c r="M46" s="719">
        <f t="shared" ca="1" si="5"/>
        <v>0</v>
      </c>
      <c r="N46" s="719">
        <f t="shared" si="5"/>
        <v>0</v>
      </c>
      <c r="O46" s="719">
        <f t="shared" ca="1" si="5"/>
        <v>0</v>
      </c>
      <c r="P46" s="719">
        <f t="shared" si="5"/>
        <v>0</v>
      </c>
      <c r="Q46" s="719">
        <f t="shared" si="5"/>
        <v>0</v>
      </c>
      <c r="R46" s="719">
        <f ca="1">SUM(R39:R45)</f>
        <v>51690.159539116816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2.6591786542926892</v>
      </c>
      <c r="D49" s="683">
        <f ca="1">transport!C58</f>
        <v>0</v>
      </c>
      <c r="E49" s="683">
        <f>transport!D58</f>
        <v>0</v>
      </c>
      <c r="F49" s="683">
        <f>transport!E58</f>
        <v>0</v>
      </c>
      <c r="G49" s="683">
        <f>transport!F58</f>
        <v>0</v>
      </c>
      <c r="H49" s="683">
        <f>transport!G58</f>
        <v>260.78070550395012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263.43988415824282</v>
      </c>
    </row>
    <row r="50" spans="1:18">
      <c r="A50" s="820" t="s">
        <v>302</v>
      </c>
      <c r="B50" s="830"/>
      <c r="C50" s="689">
        <f ca="1">transport!B18</f>
        <v>37.810949804045713</v>
      </c>
      <c r="D50" s="689">
        <f>transport!C18</f>
        <v>0</v>
      </c>
      <c r="E50" s="689">
        <f>transport!D18</f>
        <v>87.854119488046763</v>
      </c>
      <c r="F50" s="689">
        <f>transport!E18</f>
        <v>38.208135410646079</v>
      </c>
      <c r="G50" s="689">
        <f>transport!F18</f>
        <v>0</v>
      </c>
      <c r="H50" s="689">
        <f>transport!G18</f>
        <v>17875.331209481723</v>
      </c>
      <c r="I50" s="689">
        <f>transport!H18</f>
        <v>5283.2207961303866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23322.425210314846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40.470128458338401</v>
      </c>
      <c r="D52" s="719">
        <f t="shared" ref="D52:Q52" ca="1" si="6">SUM(D48:D51)</f>
        <v>0</v>
      </c>
      <c r="E52" s="719">
        <f t="shared" si="6"/>
        <v>87.854119488046763</v>
      </c>
      <c r="F52" s="719">
        <f t="shared" si="6"/>
        <v>38.208135410646079</v>
      </c>
      <c r="G52" s="719">
        <f t="shared" si="6"/>
        <v>0</v>
      </c>
      <c r="H52" s="719">
        <f t="shared" si="6"/>
        <v>18136.111914985671</v>
      </c>
      <c r="I52" s="719">
        <f t="shared" si="6"/>
        <v>5283.2207961303866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23585.865094473091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235.42214348513141</v>
      </c>
      <c r="D54" s="689">
        <f ca="1">+landbouw!C12</f>
        <v>2419.9260504201679</v>
      </c>
      <c r="E54" s="689">
        <f>+landbouw!D12</f>
        <v>373.65743225498835</v>
      </c>
      <c r="F54" s="689">
        <f>+landbouw!E12</f>
        <v>8.9803489768554599</v>
      </c>
      <c r="G54" s="689">
        <f>+landbouw!F12</f>
        <v>1167.4008050116965</v>
      </c>
      <c r="H54" s="689">
        <f>+landbouw!G12</f>
        <v>0</v>
      </c>
      <c r="I54" s="689">
        <f>+landbouw!H12</f>
        <v>0</v>
      </c>
      <c r="J54" s="689">
        <f>+landbouw!I12</f>
        <v>0</v>
      </c>
      <c r="K54" s="689">
        <f>+landbouw!J12</f>
        <v>124.32677586929769</v>
      </c>
      <c r="L54" s="689">
        <f>+landbouw!K12</f>
        <v>0</v>
      </c>
      <c r="M54" s="689">
        <f>+landbouw!L12</f>
        <v>0</v>
      </c>
      <c r="N54" s="689">
        <f>+landbouw!M12</f>
        <v>0</v>
      </c>
      <c r="O54" s="689">
        <f>+landbouw!N12</f>
        <v>0</v>
      </c>
      <c r="P54" s="689">
        <f>+landbouw!O12</f>
        <v>0</v>
      </c>
      <c r="Q54" s="690">
        <f>+landbouw!P12</f>
        <v>0</v>
      </c>
      <c r="R54" s="718">
        <f ca="1">SUM(C54:Q54)</f>
        <v>4329.7135560181368</v>
      </c>
    </row>
    <row r="55" spans="1:18" ht="15" thickBot="1">
      <c r="A55" s="820" t="s">
        <v>696</v>
      </c>
      <c r="B55" s="830"/>
      <c r="C55" s="689">
        <f ca="1">C25*'EF ele_warmte'!B12</f>
        <v>186.06286994327527</v>
      </c>
      <c r="D55" s="689"/>
      <c r="E55" s="689">
        <f>E25*EF_CO2_aardgas</f>
        <v>488.51230469489474</v>
      </c>
      <c r="F55" s="689"/>
      <c r="G55" s="689"/>
      <c r="H55" s="689"/>
      <c r="I55" s="689"/>
      <c r="J55" s="689"/>
      <c r="K55" s="689"/>
      <c r="L55" s="689"/>
      <c r="M55" s="689"/>
      <c r="N55" s="689"/>
      <c r="O55" s="689"/>
      <c r="P55" s="689"/>
      <c r="Q55" s="690"/>
      <c r="R55" s="718">
        <f ca="1">SUM(C55:Q55)</f>
        <v>674.57517463816998</v>
      </c>
    </row>
    <row r="56" spans="1:18" ht="15.75" thickBot="1">
      <c r="A56" s="818" t="s">
        <v>697</v>
      </c>
      <c r="B56" s="831"/>
      <c r="C56" s="719">
        <f ca="1">SUM(C54:C55)</f>
        <v>421.48501342840666</v>
      </c>
      <c r="D56" s="719">
        <f t="shared" ref="D56:Q56" ca="1" si="7">SUM(D54:D55)</f>
        <v>2419.9260504201679</v>
      </c>
      <c r="E56" s="719">
        <f t="shared" si="7"/>
        <v>862.16973694988314</v>
      </c>
      <c r="F56" s="719">
        <f t="shared" si="7"/>
        <v>8.9803489768554599</v>
      </c>
      <c r="G56" s="719">
        <f t="shared" si="7"/>
        <v>1167.4008050116965</v>
      </c>
      <c r="H56" s="719">
        <f t="shared" si="7"/>
        <v>0</v>
      </c>
      <c r="I56" s="719">
        <f t="shared" si="7"/>
        <v>0</v>
      </c>
      <c r="J56" s="719">
        <f t="shared" si="7"/>
        <v>0</v>
      </c>
      <c r="K56" s="719">
        <f t="shared" si="7"/>
        <v>124.32677586929769</v>
      </c>
      <c r="L56" s="719">
        <f t="shared" si="7"/>
        <v>0</v>
      </c>
      <c r="M56" s="719">
        <f t="shared" si="7"/>
        <v>0</v>
      </c>
      <c r="N56" s="719">
        <f t="shared" si="7"/>
        <v>0</v>
      </c>
      <c r="O56" s="719">
        <f t="shared" si="7"/>
        <v>0</v>
      </c>
      <c r="P56" s="719">
        <f t="shared" si="7"/>
        <v>0</v>
      </c>
      <c r="Q56" s="720">
        <f t="shared" si="7"/>
        <v>0</v>
      </c>
      <c r="R56" s="721">
        <f ca="1">SUM(R54:R55)</f>
        <v>5004.2887306563071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12998.99515584357</v>
      </c>
      <c r="D61" s="727">
        <f t="shared" ref="D61:Q61" ca="1" si="8">D46+D52+D56</f>
        <v>2419.9260504201679</v>
      </c>
      <c r="E61" s="727">
        <f t="shared" ca="1" si="8"/>
        <v>30124.287043764994</v>
      </c>
      <c r="F61" s="727">
        <f t="shared" si="8"/>
        <v>443.19260819192141</v>
      </c>
      <c r="G61" s="727">
        <f t="shared" ca="1" si="8"/>
        <v>10685.818268877565</v>
      </c>
      <c r="H61" s="727">
        <f t="shared" si="8"/>
        <v>18136.111914985671</v>
      </c>
      <c r="I61" s="727">
        <f t="shared" si="8"/>
        <v>5283.2207961303866</v>
      </c>
      <c r="J61" s="727">
        <f t="shared" si="8"/>
        <v>0</v>
      </c>
      <c r="K61" s="727">
        <f t="shared" si="8"/>
        <v>188.76152603193884</v>
      </c>
      <c r="L61" s="727">
        <f t="shared" si="8"/>
        <v>0</v>
      </c>
      <c r="M61" s="727">
        <f t="shared" ca="1" si="8"/>
        <v>0</v>
      </c>
      <c r="N61" s="727">
        <f t="shared" si="8"/>
        <v>0</v>
      </c>
      <c r="O61" s="727">
        <f t="shared" ca="1" si="8"/>
        <v>0</v>
      </c>
      <c r="P61" s="727">
        <f t="shared" si="8"/>
        <v>0</v>
      </c>
      <c r="Q61" s="727">
        <f t="shared" si="8"/>
        <v>0</v>
      </c>
      <c r="R61" s="727">
        <f ca="1">R46+R52+R56</f>
        <v>80280.313364246205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0.17044278739922175</v>
      </c>
      <c r="D63" s="773">
        <f t="shared" ca="1" si="9"/>
        <v>0.23764705882352941</v>
      </c>
      <c r="E63" s="965">
        <f t="shared" ca="1" si="9"/>
        <v>0.20199999999999996</v>
      </c>
      <c r="F63" s="773">
        <f t="shared" si="9"/>
        <v>0.22700000000000001</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9533.0157609603466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8450.9582319737729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7128</v>
      </c>
      <c r="D76" s="948">
        <f>'lokale energieproductie'!C8</f>
        <v>8385.8823529411748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1693.9482352941175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17983.973992934119</v>
      </c>
      <c r="C78" s="745">
        <f>SUM(C72:C77)</f>
        <v>7128</v>
      </c>
      <c r="D78" s="746">
        <f t="shared" ref="D78:H78" si="10">SUM(D76:D77)</f>
        <v>8385.8823529411748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1693.9482352941175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10182.857142857143</v>
      </c>
      <c r="D87" s="769">
        <f>'lokale energieproductie'!C17</f>
        <v>11979.831932773108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2419.9260504201679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10182.857142857143</v>
      </c>
      <c r="D90" s="745">
        <f t="shared" ref="D90:H90" si="12">SUM(D87:D89)</f>
        <v>11979.831932773108</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2419.9260504201679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38931.796464067906</v>
      </c>
      <c r="C4" s="449">
        <f>huishoudens!C8</f>
        <v>0</v>
      </c>
      <c r="D4" s="449">
        <f>huishoudens!D8</f>
        <v>110368.44836569394</v>
      </c>
      <c r="E4" s="449">
        <f>huishoudens!E8</f>
        <v>1390.0199185253052</v>
      </c>
      <c r="F4" s="449">
        <f>huishoudens!F8</f>
        <v>30450.617680227559</v>
      </c>
      <c r="G4" s="449">
        <f>huishoudens!G8</f>
        <v>0</v>
      </c>
      <c r="H4" s="449">
        <f>huishoudens!H8</f>
        <v>0</v>
      </c>
      <c r="I4" s="449">
        <f>huishoudens!I8</f>
        <v>0</v>
      </c>
      <c r="J4" s="449">
        <f>huishoudens!J8</f>
        <v>173.5414006581135</v>
      </c>
      <c r="K4" s="449">
        <f>huishoudens!K8</f>
        <v>0</v>
      </c>
      <c r="L4" s="449">
        <f>huishoudens!L8</f>
        <v>0</v>
      </c>
      <c r="M4" s="449">
        <f>huishoudens!M8</f>
        <v>0</v>
      </c>
      <c r="N4" s="449">
        <f>huishoudens!N8</f>
        <v>13044.277652826224</v>
      </c>
      <c r="O4" s="449">
        <f>huishoudens!O8</f>
        <v>428.53497538759888</v>
      </c>
      <c r="P4" s="450">
        <f>huishoudens!P8</f>
        <v>663.6394363841564</v>
      </c>
      <c r="Q4" s="451">
        <f>SUM(B4:P4)</f>
        <v>195450.8758937708</v>
      </c>
    </row>
    <row r="5" spans="1:17">
      <c r="A5" s="448" t="s">
        <v>155</v>
      </c>
      <c r="B5" s="449">
        <f ca="1">tertiair!B16</f>
        <v>17448.325585937928</v>
      </c>
      <c r="C5" s="449">
        <f ca="1">tertiair!C16</f>
        <v>0</v>
      </c>
      <c r="D5" s="449">
        <f ca="1">tertiair!D16</f>
        <v>25169.454719996917</v>
      </c>
      <c r="E5" s="449">
        <f>tertiair!E16</f>
        <v>82.004613283603078</v>
      </c>
      <c r="F5" s="449">
        <f ca="1">tertiair!F16</f>
        <v>3224.376083198078</v>
      </c>
      <c r="G5" s="449">
        <f>tertiair!G16</f>
        <v>0</v>
      </c>
      <c r="H5" s="449">
        <f>tertiair!H16</f>
        <v>0</v>
      </c>
      <c r="I5" s="449">
        <f>tertiair!I16</f>
        <v>0</v>
      </c>
      <c r="J5" s="449">
        <f>tertiair!J16</f>
        <v>2.0167172370838114E-2</v>
      </c>
      <c r="K5" s="449">
        <f>tertiair!K16</f>
        <v>0</v>
      </c>
      <c r="L5" s="449">
        <f ca="1">tertiair!L16</f>
        <v>0</v>
      </c>
      <c r="M5" s="449">
        <f>tertiair!M16</f>
        <v>0</v>
      </c>
      <c r="N5" s="449">
        <f ca="1">tertiair!N16</f>
        <v>782.86512743605499</v>
      </c>
      <c r="O5" s="449">
        <f>tertiair!O16</f>
        <v>0</v>
      </c>
      <c r="P5" s="450">
        <f>tertiair!P16</f>
        <v>105.07827661299004</v>
      </c>
      <c r="Q5" s="448">
        <f t="shared" ref="Q5:Q14" ca="1" si="0">SUM(B5:P5)</f>
        <v>46812.124573637935</v>
      </c>
    </row>
    <row r="6" spans="1:17">
      <c r="A6" s="448" t="s">
        <v>193</v>
      </c>
      <c r="B6" s="449">
        <f>'openbare verlichting'!B8</f>
        <v>1148.002</v>
      </c>
      <c r="C6" s="449"/>
      <c r="D6" s="449"/>
      <c r="E6" s="449"/>
      <c r="F6" s="449"/>
      <c r="G6" s="449"/>
      <c r="H6" s="449"/>
      <c r="I6" s="449"/>
      <c r="J6" s="449"/>
      <c r="K6" s="449"/>
      <c r="L6" s="449"/>
      <c r="M6" s="449"/>
      <c r="N6" s="449"/>
      <c r="O6" s="449"/>
      <c r="P6" s="450"/>
      <c r="Q6" s="448">
        <f t="shared" si="0"/>
        <v>1148.002</v>
      </c>
    </row>
    <row r="7" spans="1:17">
      <c r="A7" s="448" t="s">
        <v>111</v>
      </c>
      <c r="B7" s="449">
        <f>landbouw!B8</f>
        <v>1381.23852042921</v>
      </c>
      <c r="C7" s="449">
        <f>landbouw!C8</f>
        <v>10182.857142857143</v>
      </c>
      <c r="D7" s="449">
        <f>landbouw!D8</f>
        <v>1849.7892685890511</v>
      </c>
      <c r="E7" s="449">
        <f>landbouw!E8</f>
        <v>39.561008708614359</v>
      </c>
      <c r="F7" s="449">
        <f>landbouw!F8</f>
        <v>4372.2876592198372</v>
      </c>
      <c r="G7" s="449">
        <f>landbouw!G8</f>
        <v>0</v>
      </c>
      <c r="H7" s="449">
        <f>landbouw!H8</f>
        <v>0</v>
      </c>
      <c r="I7" s="449">
        <f>landbouw!I8</f>
        <v>0</v>
      </c>
      <c r="J7" s="449">
        <f>landbouw!J8</f>
        <v>351.2055815516884</v>
      </c>
      <c r="K7" s="449">
        <f>landbouw!K8</f>
        <v>0</v>
      </c>
      <c r="L7" s="449">
        <f>landbouw!L8</f>
        <v>0</v>
      </c>
      <c r="M7" s="449">
        <f>landbouw!M8</f>
        <v>0</v>
      </c>
      <c r="N7" s="449">
        <f>landbouw!N8</f>
        <v>0</v>
      </c>
      <c r="O7" s="449">
        <f>landbouw!O8</f>
        <v>0</v>
      </c>
      <c r="P7" s="450">
        <f>landbouw!P8</f>
        <v>0</v>
      </c>
      <c r="Q7" s="448">
        <f t="shared" si="0"/>
        <v>18176.939181355541</v>
      </c>
    </row>
    <row r="8" spans="1:17">
      <c r="A8" s="448" t="s">
        <v>617</v>
      </c>
      <c r="B8" s="449">
        <f>industrie!B18</f>
        <v>16027.584614813093</v>
      </c>
      <c r="C8" s="449">
        <f>industrie!C18</f>
        <v>0</v>
      </c>
      <c r="D8" s="449">
        <f>industrie!D18</f>
        <v>8889.1423961262917</v>
      </c>
      <c r="E8" s="449">
        <f>industrie!E18</f>
        <v>272.48702680087069</v>
      </c>
      <c r="F8" s="449">
        <f>industrie!F18</f>
        <v>1974.5098465588846</v>
      </c>
      <c r="G8" s="449">
        <f>industrie!G18</f>
        <v>0</v>
      </c>
      <c r="H8" s="449">
        <f>industrie!H18</f>
        <v>0</v>
      </c>
      <c r="I8" s="449">
        <f>industrie!I18</f>
        <v>0</v>
      </c>
      <c r="J8" s="449">
        <f>industrie!J18</f>
        <v>8.4575004255641204</v>
      </c>
      <c r="K8" s="449">
        <f>industrie!K18</f>
        <v>0</v>
      </c>
      <c r="L8" s="449">
        <f>industrie!L18</f>
        <v>0</v>
      </c>
      <c r="M8" s="449">
        <f>industrie!M18</f>
        <v>0</v>
      </c>
      <c r="N8" s="449">
        <f>industrie!N18</f>
        <v>345.93710173219262</v>
      </c>
      <c r="O8" s="449">
        <f>industrie!O18</f>
        <v>0</v>
      </c>
      <c r="P8" s="450">
        <f>industrie!P18</f>
        <v>0</v>
      </c>
      <c r="Q8" s="448">
        <f t="shared" si="0"/>
        <v>27518.1184864569</v>
      </c>
    </row>
    <row r="9" spans="1:17" s="454" customFormat="1">
      <c r="A9" s="452" t="s">
        <v>543</v>
      </c>
      <c r="B9" s="453">
        <f>transport!B14</f>
        <v>221.83954147313108</v>
      </c>
      <c r="C9" s="453">
        <f>transport!C14</f>
        <v>0</v>
      </c>
      <c r="D9" s="453">
        <f>transport!D14</f>
        <v>434.92138360419187</v>
      </c>
      <c r="E9" s="453">
        <f>transport!E14</f>
        <v>168.31777713941003</v>
      </c>
      <c r="F9" s="453">
        <f>transport!F14</f>
        <v>0</v>
      </c>
      <c r="G9" s="453">
        <f>transport!G14</f>
        <v>66948.806028021427</v>
      </c>
      <c r="H9" s="453">
        <f>transport!H14</f>
        <v>21217.754201326854</v>
      </c>
      <c r="I9" s="453">
        <f>transport!I14</f>
        <v>0</v>
      </c>
      <c r="J9" s="453">
        <f>transport!J14</f>
        <v>0</v>
      </c>
      <c r="K9" s="453">
        <f>transport!K14</f>
        <v>0</v>
      </c>
      <c r="L9" s="453">
        <f>transport!L14</f>
        <v>0</v>
      </c>
      <c r="M9" s="453">
        <f>transport!M14</f>
        <v>5348.2450998575541</v>
      </c>
      <c r="N9" s="453">
        <f>transport!N14</f>
        <v>0</v>
      </c>
      <c r="O9" s="453">
        <f>transport!O14</f>
        <v>0</v>
      </c>
      <c r="P9" s="453">
        <f>transport!P14</f>
        <v>0</v>
      </c>
      <c r="Q9" s="452">
        <f>SUM(B9:P9)</f>
        <v>94339.884031422567</v>
      </c>
    </row>
    <row r="10" spans="1:17">
      <c r="A10" s="448" t="s">
        <v>533</v>
      </c>
      <c r="B10" s="449">
        <f>transport!B54</f>
        <v>15.601590978820331</v>
      </c>
      <c r="C10" s="449">
        <f>transport!C54</f>
        <v>0</v>
      </c>
      <c r="D10" s="449">
        <f>transport!D54</f>
        <v>0</v>
      </c>
      <c r="E10" s="449">
        <f>transport!E54</f>
        <v>0</v>
      </c>
      <c r="F10" s="449">
        <f>transport!F54</f>
        <v>0</v>
      </c>
      <c r="G10" s="449">
        <f>transport!G54</f>
        <v>976.70676218707899</v>
      </c>
      <c r="H10" s="449">
        <f>transport!H54</f>
        <v>0</v>
      </c>
      <c r="I10" s="449">
        <f>transport!I54</f>
        <v>0</v>
      </c>
      <c r="J10" s="449">
        <f>transport!J54</f>
        <v>0</v>
      </c>
      <c r="K10" s="449">
        <f>transport!K54</f>
        <v>0</v>
      </c>
      <c r="L10" s="449">
        <f>transport!L54</f>
        <v>0</v>
      </c>
      <c r="M10" s="449">
        <f>transport!M54</f>
        <v>56.080339628590885</v>
      </c>
      <c r="N10" s="449">
        <f>transport!N54</f>
        <v>0</v>
      </c>
      <c r="O10" s="449">
        <f>transport!O54</f>
        <v>0</v>
      </c>
      <c r="P10" s="450">
        <f>transport!P54</f>
        <v>0</v>
      </c>
      <c r="Q10" s="448">
        <f t="shared" si="0"/>
        <v>1048.3886927944902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1091.6441392586898</v>
      </c>
      <c r="C14" s="456"/>
      <c r="D14" s="456">
        <f>'SEAP template'!E25</f>
        <v>2418.3777460143301</v>
      </c>
      <c r="E14" s="456"/>
      <c r="F14" s="456"/>
      <c r="G14" s="456"/>
      <c r="H14" s="456"/>
      <c r="I14" s="456"/>
      <c r="J14" s="456"/>
      <c r="K14" s="456"/>
      <c r="L14" s="456"/>
      <c r="M14" s="456"/>
      <c r="N14" s="456"/>
      <c r="O14" s="456"/>
      <c r="P14" s="457"/>
      <c r="Q14" s="448">
        <f t="shared" si="0"/>
        <v>3510.02188527302</v>
      </c>
    </row>
    <row r="15" spans="1:17" s="460" customFormat="1">
      <c r="A15" s="458" t="s">
        <v>537</v>
      </c>
      <c r="B15" s="459">
        <f ca="1">SUM(B4:B14)</f>
        <v>76266.032456958783</v>
      </c>
      <c r="C15" s="459">
        <f t="shared" ref="C15:Q15" ca="1" si="1">SUM(C4:C14)</f>
        <v>10182.857142857143</v>
      </c>
      <c r="D15" s="459">
        <f t="shared" ca="1" si="1"/>
        <v>149130.13388002475</v>
      </c>
      <c r="E15" s="459">
        <f t="shared" si="1"/>
        <v>1952.3903444578034</v>
      </c>
      <c r="F15" s="459">
        <f t="shared" ca="1" si="1"/>
        <v>40021.791269204354</v>
      </c>
      <c r="G15" s="459">
        <f t="shared" si="1"/>
        <v>67925.512790208508</v>
      </c>
      <c r="H15" s="459">
        <f t="shared" si="1"/>
        <v>21217.754201326854</v>
      </c>
      <c r="I15" s="459">
        <f t="shared" si="1"/>
        <v>0</v>
      </c>
      <c r="J15" s="459">
        <f t="shared" si="1"/>
        <v>533.22464980773691</v>
      </c>
      <c r="K15" s="459">
        <f t="shared" si="1"/>
        <v>0</v>
      </c>
      <c r="L15" s="459">
        <f t="shared" ca="1" si="1"/>
        <v>0</v>
      </c>
      <c r="M15" s="459">
        <f t="shared" si="1"/>
        <v>5404.3254394861451</v>
      </c>
      <c r="N15" s="459">
        <f t="shared" ca="1" si="1"/>
        <v>14173.07988199447</v>
      </c>
      <c r="O15" s="459">
        <f t="shared" si="1"/>
        <v>428.53497538759888</v>
      </c>
      <c r="P15" s="459">
        <f t="shared" si="1"/>
        <v>768.71771299714646</v>
      </c>
      <c r="Q15" s="459">
        <f t="shared" ca="1" si="1"/>
        <v>388004.35474471131</v>
      </c>
    </row>
    <row r="17" spans="1:17">
      <c r="A17" s="461" t="s">
        <v>538</v>
      </c>
      <c r="B17" s="778">
        <f ca="1">huishoudens!B10</f>
        <v>0.17044278739922172</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6635.643907794898</v>
      </c>
      <c r="C22" s="449">
        <f t="shared" ref="C22:C32" ca="1" si="3">C4*$C$17</f>
        <v>0</v>
      </c>
      <c r="D22" s="449">
        <f t="shared" ref="D22:D32" si="4">D4*$D$17</f>
        <v>22294.426569870178</v>
      </c>
      <c r="E22" s="449">
        <f t="shared" ref="E22:E32" si="5">E4*$E$17</f>
        <v>315.5345215052443</v>
      </c>
      <c r="F22" s="449">
        <f t="shared" ref="F22:F32" si="6">F4*$F$17</f>
        <v>8130.314920620759</v>
      </c>
      <c r="G22" s="449">
        <f t="shared" ref="G22:G32" si="7">G4*$G$17</f>
        <v>0</v>
      </c>
      <c r="H22" s="449">
        <f t="shared" ref="H22:H32" si="8">H4*$H$17</f>
        <v>0</v>
      </c>
      <c r="I22" s="449">
        <f t="shared" ref="I22:I32" si="9">I4*$I$17</f>
        <v>0</v>
      </c>
      <c r="J22" s="449">
        <f t="shared" ref="J22:J32" si="10">J4*$J$17</f>
        <v>61.433655832972178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37437.353575624053</v>
      </c>
    </row>
    <row r="23" spans="1:17">
      <c r="A23" s="448" t="s">
        <v>155</v>
      </c>
      <c r="B23" s="449">
        <f t="shared" ca="1" si="2"/>
        <v>2973.9412483164192</v>
      </c>
      <c r="C23" s="449">
        <f t="shared" ca="1" si="3"/>
        <v>0</v>
      </c>
      <c r="D23" s="449">
        <f t="shared" ca="1" si="4"/>
        <v>5084.2298534393776</v>
      </c>
      <c r="E23" s="449">
        <f t="shared" si="5"/>
        <v>18.615047215377899</v>
      </c>
      <c r="F23" s="449">
        <f t="shared" ca="1" si="6"/>
        <v>860.90841421388689</v>
      </c>
      <c r="G23" s="449">
        <f t="shared" si="7"/>
        <v>0</v>
      </c>
      <c r="H23" s="449">
        <f t="shared" si="8"/>
        <v>0</v>
      </c>
      <c r="I23" s="449">
        <f t="shared" si="9"/>
        <v>0</v>
      </c>
      <c r="J23" s="449">
        <f t="shared" si="10"/>
        <v>7.1391790192766921E-3</v>
      </c>
      <c r="K23" s="449">
        <f t="shared" si="11"/>
        <v>0</v>
      </c>
      <c r="L23" s="449">
        <f t="shared" ca="1" si="12"/>
        <v>0</v>
      </c>
      <c r="M23" s="449">
        <f t="shared" si="13"/>
        <v>0</v>
      </c>
      <c r="N23" s="449">
        <f t="shared" ca="1" si="14"/>
        <v>0</v>
      </c>
      <c r="O23" s="449">
        <f t="shared" si="15"/>
        <v>0</v>
      </c>
      <c r="P23" s="450">
        <f t="shared" si="16"/>
        <v>0</v>
      </c>
      <c r="Q23" s="448">
        <f t="shared" ref="Q23:Q31" ca="1" si="17">SUM(B23:P23)</f>
        <v>8937.7017023640801</v>
      </c>
    </row>
    <row r="24" spans="1:17">
      <c r="A24" s="448" t="s">
        <v>193</v>
      </c>
      <c r="B24" s="449">
        <f t="shared" ca="1" si="2"/>
        <v>195.66866081988132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195.66866081988132</v>
      </c>
    </row>
    <row r="25" spans="1:17">
      <c r="A25" s="448" t="s">
        <v>111</v>
      </c>
      <c r="B25" s="449">
        <f t="shared" ca="1" si="2"/>
        <v>235.42214348513141</v>
      </c>
      <c r="C25" s="449">
        <f t="shared" ca="1" si="3"/>
        <v>2419.9260504201679</v>
      </c>
      <c r="D25" s="449">
        <f t="shared" si="4"/>
        <v>373.65743225498835</v>
      </c>
      <c r="E25" s="449">
        <f t="shared" si="5"/>
        <v>8.9803489768554599</v>
      </c>
      <c r="F25" s="449">
        <f t="shared" si="6"/>
        <v>1167.4008050116965</v>
      </c>
      <c r="G25" s="449">
        <f t="shared" si="7"/>
        <v>0</v>
      </c>
      <c r="H25" s="449">
        <f t="shared" si="8"/>
        <v>0</v>
      </c>
      <c r="I25" s="449">
        <f t="shared" si="9"/>
        <v>0</v>
      </c>
      <c r="J25" s="449">
        <f t="shared" si="10"/>
        <v>124.32677586929769</v>
      </c>
      <c r="K25" s="449">
        <f t="shared" si="11"/>
        <v>0</v>
      </c>
      <c r="L25" s="449">
        <f t="shared" si="12"/>
        <v>0</v>
      </c>
      <c r="M25" s="449">
        <f t="shared" si="13"/>
        <v>0</v>
      </c>
      <c r="N25" s="449">
        <f t="shared" si="14"/>
        <v>0</v>
      </c>
      <c r="O25" s="449">
        <f t="shared" si="15"/>
        <v>0</v>
      </c>
      <c r="P25" s="450">
        <f t="shared" si="16"/>
        <v>0</v>
      </c>
      <c r="Q25" s="448">
        <f t="shared" ca="1" si="17"/>
        <v>4329.7135560181368</v>
      </c>
    </row>
    <row r="26" spans="1:17">
      <c r="A26" s="448" t="s">
        <v>617</v>
      </c>
      <c r="B26" s="449">
        <f t="shared" ca="1" si="2"/>
        <v>2731.7861970256249</v>
      </c>
      <c r="C26" s="449">
        <f t="shared" ca="1" si="3"/>
        <v>0</v>
      </c>
      <c r="D26" s="449">
        <f t="shared" si="4"/>
        <v>1795.6067640175111</v>
      </c>
      <c r="E26" s="449">
        <f t="shared" si="5"/>
        <v>61.854555083797649</v>
      </c>
      <c r="F26" s="449">
        <f t="shared" si="6"/>
        <v>527.19412903122225</v>
      </c>
      <c r="G26" s="449">
        <f t="shared" si="7"/>
        <v>0</v>
      </c>
      <c r="H26" s="449">
        <f t="shared" si="8"/>
        <v>0</v>
      </c>
      <c r="I26" s="449">
        <f t="shared" si="9"/>
        <v>0</v>
      </c>
      <c r="J26" s="449">
        <f t="shared" si="10"/>
        <v>2.9939551506496986</v>
      </c>
      <c r="K26" s="449">
        <f t="shared" si="11"/>
        <v>0</v>
      </c>
      <c r="L26" s="449">
        <f t="shared" si="12"/>
        <v>0</v>
      </c>
      <c r="M26" s="449">
        <f t="shared" si="13"/>
        <v>0</v>
      </c>
      <c r="N26" s="449">
        <f t="shared" si="14"/>
        <v>0</v>
      </c>
      <c r="O26" s="449">
        <f t="shared" si="15"/>
        <v>0</v>
      </c>
      <c r="P26" s="450">
        <f t="shared" si="16"/>
        <v>0</v>
      </c>
      <c r="Q26" s="448">
        <f t="shared" ca="1" si="17"/>
        <v>5119.435600308806</v>
      </c>
    </row>
    <row r="27" spans="1:17" s="454" customFormat="1">
      <c r="A27" s="452" t="s">
        <v>543</v>
      </c>
      <c r="B27" s="772">
        <f t="shared" ca="1" si="2"/>
        <v>37.810949804045713</v>
      </c>
      <c r="C27" s="453">
        <f t="shared" ca="1" si="3"/>
        <v>0</v>
      </c>
      <c r="D27" s="453">
        <f t="shared" si="4"/>
        <v>87.854119488046763</v>
      </c>
      <c r="E27" s="453">
        <f t="shared" si="5"/>
        <v>38.208135410646079</v>
      </c>
      <c r="F27" s="453">
        <f t="shared" si="6"/>
        <v>0</v>
      </c>
      <c r="G27" s="453">
        <f t="shared" si="7"/>
        <v>17875.331209481723</v>
      </c>
      <c r="H27" s="453">
        <f t="shared" si="8"/>
        <v>5283.2207961303866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23322.425210314846</v>
      </c>
    </row>
    <row r="28" spans="1:17" ht="16.5" customHeight="1">
      <c r="A28" s="448" t="s">
        <v>533</v>
      </c>
      <c r="B28" s="449">
        <f t="shared" ca="1" si="2"/>
        <v>2.6591786542926892</v>
      </c>
      <c r="C28" s="449">
        <f t="shared" ca="1" si="3"/>
        <v>0</v>
      </c>
      <c r="D28" s="449">
        <f t="shared" si="4"/>
        <v>0</v>
      </c>
      <c r="E28" s="449">
        <f t="shared" si="5"/>
        <v>0</v>
      </c>
      <c r="F28" s="449">
        <f t="shared" si="6"/>
        <v>0</v>
      </c>
      <c r="G28" s="449">
        <f t="shared" si="7"/>
        <v>260.78070550395012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263.43988415824282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186.06286994327527</v>
      </c>
      <c r="C32" s="449">
        <f t="shared" ca="1" si="3"/>
        <v>0</v>
      </c>
      <c r="D32" s="449">
        <f t="shared" si="4"/>
        <v>488.51230469489474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674.57517463816998</v>
      </c>
    </row>
    <row r="33" spans="1:17" s="460" customFormat="1">
      <c r="A33" s="458" t="s">
        <v>537</v>
      </c>
      <c r="B33" s="459">
        <f ca="1">SUM(B22:B32)</f>
        <v>12998.995155843568</v>
      </c>
      <c r="C33" s="459">
        <f t="shared" ref="C33:Q33" ca="1" si="19">SUM(C22:C32)</f>
        <v>2419.9260504201679</v>
      </c>
      <c r="D33" s="459">
        <f t="shared" ca="1" si="19"/>
        <v>30124.287043764994</v>
      </c>
      <c r="E33" s="459">
        <f t="shared" si="19"/>
        <v>443.19260819192141</v>
      </c>
      <c r="F33" s="459">
        <f t="shared" ca="1" si="19"/>
        <v>10685.818268877565</v>
      </c>
      <c r="G33" s="459">
        <f t="shared" si="19"/>
        <v>18136.111914985671</v>
      </c>
      <c r="H33" s="459">
        <f t="shared" si="19"/>
        <v>5283.2207961303866</v>
      </c>
      <c r="I33" s="459">
        <f t="shared" si="19"/>
        <v>0</v>
      </c>
      <c r="J33" s="459">
        <f t="shared" si="19"/>
        <v>188.76152603193884</v>
      </c>
      <c r="K33" s="459">
        <f t="shared" si="19"/>
        <v>0</v>
      </c>
      <c r="L33" s="459">
        <f t="shared" ca="1" si="19"/>
        <v>0</v>
      </c>
      <c r="M33" s="459">
        <f t="shared" si="19"/>
        <v>0</v>
      </c>
      <c r="N33" s="459">
        <f t="shared" ca="1" si="19"/>
        <v>0</v>
      </c>
      <c r="O33" s="459">
        <f t="shared" si="19"/>
        <v>0</v>
      </c>
      <c r="P33" s="459">
        <f t="shared" si="19"/>
        <v>0</v>
      </c>
      <c r="Q33" s="459">
        <f t="shared" ca="1" si="19"/>
        <v>80280.31336424622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9533.0157609603466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8450.9582319737729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7128</v>
      </c>
      <c r="D8" s="1016">
        <f>'SEAP template'!D76</f>
        <v>8385.8823529411748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1693.9482352941175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17983.973992934119</v>
      </c>
      <c r="C10" s="1018">
        <f>SUM(C4:C9)</f>
        <v>7128</v>
      </c>
      <c r="D10" s="1018">
        <f t="shared" ref="D10:H10" si="0">SUM(D8:D9)</f>
        <v>8385.8823529411748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1693.9482352941175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0.17044278739922172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10182.857142857143</v>
      </c>
      <c r="D17" s="1017">
        <f>'SEAP template'!D87</f>
        <v>11979.831932773108</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2419.9260504201679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10182.857142857143</v>
      </c>
      <c r="D20" s="1018">
        <f t="shared" ref="D20:H20" si="2">SUM(D17:D19)</f>
        <v>11979.831932773108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2419.9260504201679</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0.17044278739922172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0.17044278739922172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0.17044278739922172</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10476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1593.23</v>
      </c>
      <c r="C14" s="326"/>
      <c r="D14" s="326"/>
      <c r="E14" s="326"/>
      <c r="F14" s="326"/>
    </row>
    <row r="15" spans="1:6">
      <c r="A15" s="1312" t="s">
        <v>183</v>
      </c>
      <c r="B15" s="1313">
        <v>22</v>
      </c>
      <c r="C15" s="326"/>
      <c r="D15" s="326"/>
      <c r="E15" s="326"/>
      <c r="F15" s="326"/>
    </row>
    <row r="16" spans="1:6">
      <c r="A16" s="1312" t="s">
        <v>6</v>
      </c>
      <c r="B16" s="1313">
        <v>723</v>
      </c>
      <c r="C16" s="326"/>
      <c r="D16" s="326"/>
      <c r="E16" s="326"/>
      <c r="F16" s="326"/>
    </row>
    <row r="17" spans="1:6">
      <c r="A17" s="1312" t="s">
        <v>7</v>
      </c>
      <c r="B17" s="1313">
        <v>498</v>
      </c>
      <c r="C17" s="326"/>
      <c r="D17" s="326"/>
      <c r="E17" s="326"/>
      <c r="F17" s="326"/>
    </row>
    <row r="18" spans="1:6">
      <c r="A18" s="1312" t="s">
        <v>8</v>
      </c>
      <c r="B18" s="1313">
        <v>771</v>
      </c>
      <c r="C18" s="326"/>
      <c r="D18" s="326"/>
      <c r="E18" s="326"/>
      <c r="F18" s="326"/>
    </row>
    <row r="19" spans="1:6">
      <c r="A19" s="1312" t="s">
        <v>9</v>
      </c>
      <c r="B19" s="1313">
        <v>699</v>
      </c>
      <c r="C19" s="326"/>
      <c r="D19" s="326"/>
      <c r="E19" s="326"/>
      <c r="F19" s="326"/>
    </row>
    <row r="20" spans="1:6">
      <c r="A20" s="1312" t="s">
        <v>10</v>
      </c>
      <c r="B20" s="1313">
        <v>447</v>
      </c>
      <c r="C20" s="326"/>
      <c r="D20" s="326"/>
      <c r="E20" s="326"/>
      <c r="F20" s="326"/>
    </row>
    <row r="21" spans="1:6">
      <c r="A21" s="1312" t="s">
        <v>11</v>
      </c>
      <c r="B21" s="1313">
        <v>182</v>
      </c>
      <c r="C21" s="326"/>
      <c r="D21" s="326"/>
      <c r="E21" s="326"/>
      <c r="F21" s="326"/>
    </row>
    <row r="22" spans="1:6">
      <c r="A22" s="1312" t="s">
        <v>12</v>
      </c>
      <c r="B22" s="1313">
        <v>7899</v>
      </c>
      <c r="C22" s="326"/>
      <c r="D22" s="326"/>
      <c r="E22" s="326"/>
      <c r="F22" s="326"/>
    </row>
    <row r="23" spans="1:6">
      <c r="A23" s="1312" t="s">
        <v>13</v>
      </c>
      <c r="B23" s="1313">
        <v>45</v>
      </c>
      <c r="C23" s="326"/>
      <c r="D23" s="326"/>
      <c r="E23" s="326"/>
      <c r="F23" s="326"/>
    </row>
    <row r="24" spans="1:6">
      <c r="A24" s="1312" t="s">
        <v>14</v>
      </c>
      <c r="B24" s="1313">
        <v>1</v>
      </c>
      <c r="C24" s="326"/>
      <c r="D24" s="326"/>
      <c r="E24" s="326"/>
      <c r="F24" s="326"/>
    </row>
    <row r="25" spans="1:6">
      <c r="A25" s="1312" t="s">
        <v>15</v>
      </c>
      <c r="B25" s="1313">
        <v>78</v>
      </c>
      <c r="C25" s="326"/>
      <c r="D25" s="326"/>
      <c r="E25" s="326"/>
      <c r="F25" s="326"/>
    </row>
    <row r="26" spans="1:6">
      <c r="A26" s="1312" t="s">
        <v>16</v>
      </c>
      <c r="B26" s="1313">
        <v>87</v>
      </c>
      <c r="C26" s="326"/>
      <c r="D26" s="326"/>
      <c r="E26" s="326"/>
      <c r="F26" s="326"/>
    </row>
    <row r="27" spans="1:6">
      <c r="A27" s="1312" t="s">
        <v>17</v>
      </c>
      <c r="B27" s="1313">
        <v>7</v>
      </c>
      <c r="C27" s="326"/>
      <c r="D27" s="326"/>
      <c r="E27" s="326"/>
      <c r="F27" s="326"/>
    </row>
    <row r="28" spans="1:6" s="43" customFormat="1">
      <c r="A28" s="1314" t="s">
        <v>18</v>
      </c>
      <c r="B28" s="1315">
        <v>0</v>
      </c>
      <c r="C28" s="332"/>
      <c r="D28" s="332"/>
      <c r="E28" s="332"/>
      <c r="F28" s="332"/>
    </row>
    <row r="29" spans="1:6">
      <c r="A29" s="1314" t="s">
        <v>684</v>
      </c>
      <c r="B29" s="1315">
        <v>172</v>
      </c>
      <c r="C29" s="332"/>
      <c r="D29" s="332"/>
      <c r="E29" s="332"/>
      <c r="F29" s="332"/>
    </row>
    <row r="30" spans="1:6">
      <c r="A30" s="1307" t="s">
        <v>685</v>
      </c>
      <c r="B30" s="1316">
        <v>80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12922.426611252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8656</v>
      </c>
      <c r="D39" s="1313">
        <v>122224195.310846</v>
      </c>
      <c r="E39" s="1313">
        <v>10506</v>
      </c>
      <c r="F39" s="1313">
        <v>32263496.949473999</v>
      </c>
    </row>
    <row r="40" spans="1:6">
      <c r="A40" s="1312" t="s">
        <v>29</v>
      </c>
      <c r="B40" s="1312" t="s">
        <v>28</v>
      </c>
      <c r="C40" s="1313">
        <v>0</v>
      </c>
      <c r="D40" s="1313">
        <v>0</v>
      </c>
      <c r="E40" s="1313">
        <v>0</v>
      </c>
      <c r="F40" s="1313">
        <v>0</v>
      </c>
    </row>
    <row r="41" spans="1:6">
      <c r="A41" s="1312" t="s">
        <v>31</v>
      </c>
      <c r="B41" s="1312" t="s">
        <v>32</v>
      </c>
      <c r="C41" s="1313">
        <v>143</v>
      </c>
      <c r="D41" s="1313">
        <v>2957770.29221268</v>
      </c>
      <c r="E41" s="1313">
        <v>269</v>
      </c>
      <c r="F41" s="1313">
        <v>1960293.38961619</v>
      </c>
    </row>
    <row r="42" spans="1:6">
      <c r="A42" s="1312" t="s">
        <v>31</v>
      </c>
      <c r="B42" s="1312" t="s">
        <v>33</v>
      </c>
      <c r="C42" s="1313">
        <v>3</v>
      </c>
      <c r="D42" s="1313">
        <v>505679.490249063</v>
      </c>
      <c r="E42" s="1313">
        <v>4</v>
      </c>
      <c r="F42" s="1313">
        <v>971221.35394621</v>
      </c>
    </row>
    <row r="43" spans="1:6">
      <c r="A43" s="1312" t="s">
        <v>31</v>
      </c>
      <c r="B43" s="1312" t="s">
        <v>34</v>
      </c>
      <c r="C43" s="1313">
        <v>0</v>
      </c>
      <c r="D43" s="1313">
        <v>0</v>
      </c>
      <c r="E43" s="1313">
        <v>0</v>
      </c>
      <c r="F43" s="1313">
        <v>0</v>
      </c>
    </row>
    <row r="44" spans="1:6">
      <c r="A44" s="1312" t="s">
        <v>31</v>
      </c>
      <c r="B44" s="1312" t="s">
        <v>35</v>
      </c>
      <c r="C44" s="1313">
        <v>19</v>
      </c>
      <c r="D44" s="1313">
        <v>5021562.9481546804</v>
      </c>
      <c r="E44" s="1313">
        <v>29</v>
      </c>
      <c r="F44" s="1313">
        <v>9558069.8571721893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76931.493165926004</v>
      </c>
      <c r="E47" s="1313">
        <v>4</v>
      </c>
      <c r="F47" s="1313">
        <v>90886.282482654002</v>
      </c>
    </row>
    <row r="48" spans="1:6">
      <c r="A48" s="1312" t="s">
        <v>31</v>
      </c>
      <c r="B48" s="1312" t="s">
        <v>28</v>
      </c>
      <c r="C48" s="1313">
        <v>0</v>
      </c>
      <c r="D48" s="1313">
        <v>0</v>
      </c>
      <c r="E48" s="1313">
        <v>1</v>
      </c>
      <c r="F48" s="1313">
        <v>112403.61989628</v>
      </c>
    </row>
    <row r="49" spans="1:6">
      <c r="A49" s="1312" t="s">
        <v>31</v>
      </c>
      <c r="B49" s="1312" t="s">
        <v>39</v>
      </c>
      <c r="C49" s="1313">
        <v>6</v>
      </c>
      <c r="D49" s="1313">
        <v>564412.74735014897</v>
      </c>
      <c r="E49" s="1313">
        <v>7</v>
      </c>
      <c r="F49" s="1313">
        <v>1918373.0836751901</v>
      </c>
    </row>
    <row r="50" spans="1:6">
      <c r="A50" s="1312" t="s">
        <v>31</v>
      </c>
      <c r="B50" s="1312" t="s">
        <v>40</v>
      </c>
      <c r="C50" s="1313">
        <v>11</v>
      </c>
      <c r="D50" s="1313">
        <v>717654.54174268502</v>
      </c>
      <c r="E50" s="1313">
        <v>18</v>
      </c>
      <c r="F50" s="1313">
        <v>1416337.0280243801</v>
      </c>
    </row>
    <row r="51" spans="1:6">
      <c r="A51" s="1312" t="s">
        <v>41</v>
      </c>
      <c r="B51" s="1312" t="s">
        <v>42</v>
      </c>
      <c r="C51" s="1313">
        <v>24</v>
      </c>
      <c r="D51" s="1313">
        <v>24601886.549616098</v>
      </c>
      <c r="E51" s="1313">
        <v>102</v>
      </c>
      <c r="F51" s="1313">
        <v>1381238.52042921</v>
      </c>
    </row>
    <row r="52" spans="1:6">
      <c r="A52" s="1312" t="s">
        <v>41</v>
      </c>
      <c r="B52" s="1312" t="s">
        <v>28</v>
      </c>
      <c r="C52" s="1313">
        <v>0</v>
      </c>
      <c r="D52" s="1313">
        <v>0</v>
      </c>
      <c r="E52" s="1313">
        <v>0</v>
      </c>
      <c r="F52" s="1313">
        <v>0</v>
      </c>
    </row>
    <row r="53" spans="1:6">
      <c r="A53" s="1312" t="s">
        <v>43</v>
      </c>
      <c r="B53" s="1312" t="s">
        <v>44</v>
      </c>
      <c r="C53" s="1313">
        <v>168</v>
      </c>
      <c r="D53" s="1313">
        <v>2418377.7460143301</v>
      </c>
      <c r="E53" s="1313">
        <v>339</v>
      </c>
      <c r="F53" s="1313">
        <v>1091644.1392586899</v>
      </c>
    </row>
    <row r="54" spans="1:6">
      <c r="A54" s="1312" t="s">
        <v>45</v>
      </c>
      <c r="B54" s="1312" t="s">
        <v>46</v>
      </c>
      <c r="C54" s="1313">
        <v>0</v>
      </c>
      <c r="D54" s="1313">
        <v>0</v>
      </c>
      <c r="E54" s="1313">
        <v>1</v>
      </c>
      <c r="F54" s="1313">
        <v>1148002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67</v>
      </c>
      <c r="D57" s="1313">
        <v>2374760.4649523501</v>
      </c>
      <c r="E57" s="1313">
        <v>98</v>
      </c>
      <c r="F57" s="1313">
        <v>1993951.86637881</v>
      </c>
    </row>
    <row r="58" spans="1:6">
      <c r="A58" s="1312" t="s">
        <v>48</v>
      </c>
      <c r="B58" s="1312" t="s">
        <v>50</v>
      </c>
      <c r="C58" s="1313">
        <v>50</v>
      </c>
      <c r="D58" s="1313">
        <v>3774893.3768133</v>
      </c>
      <c r="E58" s="1313">
        <v>72</v>
      </c>
      <c r="F58" s="1313">
        <v>1198147.9072217201</v>
      </c>
    </row>
    <row r="59" spans="1:6">
      <c r="A59" s="1312" t="s">
        <v>48</v>
      </c>
      <c r="B59" s="1312" t="s">
        <v>51</v>
      </c>
      <c r="C59" s="1313">
        <v>168</v>
      </c>
      <c r="D59" s="1313">
        <v>5183826.6995444801</v>
      </c>
      <c r="E59" s="1313">
        <v>300</v>
      </c>
      <c r="F59" s="1313">
        <v>6877354.4053257396</v>
      </c>
    </row>
    <row r="60" spans="1:6">
      <c r="A60" s="1312" t="s">
        <v>48</v>
      </c>
      <c r="B60" s="1312" t="s">
        <v>52</v>
      </c>
      <c r="C60" s="1313">
        <v>102</v>
      </c>
      <c r="D60" s="1313">
        <v>4462176.2469821097</v>
      </c>
      <c r="E60" s="1313">
        <v>115</v>
      </c>
      <c r="F60" s="1313">
        <v>1847140.79187691</v>
      </c>
    </row>
    <row r="61" spans="1:6">
      <c r="A61" s="1312" t="s">
        <v>48</v>
      </c>
      <c r="B61" s="1312" t="s">
        <v>53</v>
      </c>
      <c r="C61" s="1313">
        <v>236</v>
      </c>
      <c r="D61" s="1313">
        <v>9653768.6630515195</v>
      </c>
      <c r="E61" s="1313">
        <v>491</v>
      </c>
      <c r="F61" s="1313">
        <v>4948549.7553686602</v>
      </c>
    </row>
    <row r="62" spans="1:6">
      <c r="A62" s="1312" t="s">
        <v>48</v>
      </c>
      <c r="B62" s="1312" t="s">
        <v>54</v>
      </c>
      <c r="C62" s="1313">
        <v>23</v>
      </c>
      <c r="D62" s="1313">
        <v>2423724.8476561499</v>
      </c>
      <c r="E62" s="1313">
        <v>30</v>
      </c>
      <c r="F62" s="1313">
        <v>583180.85976608901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9</v>
      </c>
      <c r="F66" s="1313">
        <v>130232.54866323</v>
      </c>
    </row>
    <row r="67" spans="1:6">
      <c r="A67" s="1314" t="s">
        <v>55</v>
      </c>
      <c r="B67" s="1314" t="s">
        <v>58</v>
      </c>
      <c r="C67" s="1313">
        <v>0</v>
      </c>
      <c r="D67" s="1313">
        <v>0</v>
      </c>
      <c r="E67" s="1313">
        <v>0</v>
      </c>
      <c r="F67" s="1313">
        <v>0</v>
      </c>
    </row>
    <row r="68" spans="1:6">
      <c r="A68" s="1307" t="s">
        <v>55</v>
      </c>
      <c r="B68" s="1307" t="s">
        <v>59</v>
      </c>
      <c r="C68" s="1316">
        <v>13</v>
      </c>
      <c r="D68" s="1316">
        <v>757730.817738296</v>
      </c>
      <c r="E68" s="1316">
        <v>21</v>
      </c>
      <c r="F68" s="1316">
        <v>474051.910633119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58816941</v>
      </c>
      <c r="E73" s="447"/>
      <c r="F73" s="326"/>
    </row>
    <row r="74" spans="1:6">
      <c r="A74" s="1312" t="s">
        <v>63</v>
      </c>
      <c r="B74" s="1312" t="s">
        <v>638</v>
      </c>
      <c r="C74" s="1326" t="s">
        <v>640</v>
      </c>
      <c r="D74" s="1327">
        <v>6108414.1734341914</v>
      </c>
      <c r="E74" s="447"/>
      <c r="F74" s="326"/>
    </row>
    <row r="75" spans="1:6">
      <c r="A75" s="1312" t="s">
        <v>64</v>
      </c>
      <c r="B75" s="1312" t="s">
        <v>637</v>
      </c>
      <c r="C75" s="1326" t="s">
        <v>641</v>
      </c>
      <c r="D75" s="1327">
        <v>43947168</v>
      </c>
      <c r="E75" s="447"/>
      <c r="F75" s="326"/>
    </row>
    <row r="76" spans="1:6">
      <c r="A76" s="1312" t="s">
        <v>64</v>
      </c>
      <c r="B76" s="1312" t="s">
        <v>638</v>
      </c>
      <c r="C76" s="1326" t="s">
        <v>642</v>
      </c>
      <c r="D76" s="1327">
        <v>677655.17343419103</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291003.65313161799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9533.0157609603466</v>
      </c>
      <c r="C90" s="326"/>
      <c r="D90" s="326"/>
      <c r="E90" s="326"/>
      <c r="F90" s="326"/>
    </row>
    <row r="91" spans="1:6">
      <c r="A91" s="1312" t="s">
        <v>67</v>
      </c>
      <c r="B91" s="1313">
        <v>6668.2995145939049</v>
      </c>
      <c r="C91" s="326"/>
      <c r="D91" s="326"/>
      <c r="E91" s="326"/>
      <c r="F91" s="326"/>
    </row>
    <row r="92" spans="1:6">
      <c r="A92" s="1307" t="s">
        <v>68</v>
      </c>
      <c r="B92" s="1308">
        <v>1782.6587173798675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5114</v>
      </c>
      <c r="C97" s="326"/>
      <c r="D97" s="326"/>
      <c r="E97" s="326"/>
      <c r="F97" s="326"/>
    </row>
    <row r="98" spans="1:6">
      <c r="A98" s="1312" t="s">
        <v>71</v>
      </c>
      <c r="B98" s="1313">
        <v>0</v>
      </c>
      <c r="C98" s="326"/>
      <c r="D98" s="326"/>
      <c r="E98" s="326"/>
      <c r="F98" s="326"/>
    </row>
    <row r="99" spans="1:6">
      <c r="A99" s="1312" t="s">
        <v>72</v>
      </c>
      <c r="B99" s="1313">
        <v>68</v>
      </c>
      <c r="C99" s="326"/>
      <c r="D99" s="326"/>
      <c r="E99" s="326"/>
      <c r="F99" s="326"/>
    </row>
    <row r="100" spans="1:6">
      <c r="A100" s="1312" t="s">
        <v>73</v>
      </c>
      <c r="B100" s="1313">
        <v>557</v>
      </c>
      <c r="C100" s="326"/>
      <c r="D100" s="326"/>
      <c r="E100" s="326"/>
      <c r="F100" s="326"/>
    </row>
    <row r="101" spans="1:6">
      <c r="A101" s="1312" t="s">
        <v>74</v>
      </c>
      <c r="B101" s="1313">
        <v>137</v>
      </c>
      <c r="C101" s="326"/>
      <c r="D101" s="326"/>
      <c r="E101" s="326"/>
      <c r="F101" s="326"/>
    </row>
    <row r="102" spans="1:6">
      <c r="A102" s="1312" t="s">
        <v>75</v>
      </c>
      <c r="B102" s="1313">
        <v>190</v>
      </c>
      <c r="C102" s="326"/>
      <c r="D102" s="326"/>
      <c r="E102" s="326"/>
      <c r="F102" s="326"/>
    </row>
    <row r="103" spans="1:6">
      <c r="A103" s="1312" t="s">
        <v>76</v>
      </c>
      <c r="B103" s="1313">
        <v>369</v>
      </c>
      <c r="C103" s="326"/>
      <c r="D103" s="326"/>
      <c r="E103" s="326"/>
      <c r="F103" s="326"/>
    </row>
    <row r="104" spans="1:6">
      <c r="A104" s="1312" t="s">
        <v>77</v>
      </c>
      <c r="B104" s="1313">
        <v>2299</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2</v>
      </c>
      <c r="C122" s="1313">
        <v>0</v>
      </c>
      <c r="D122" s="326"/>
      <c r="E122" s="326"/>
      <c r="F122" s="326"/>
    </row>
    <row r="123" spans="1:6">
      <c r="A123" s="1312" t="s">
        <v>87</v>
      </c>
      <c r="B123" s="1313">
        <v>45</v>
      </c>
      <c r="C123" s="1313">
        <v>45</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169</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76266.032456958768</v>
      </c>
      <c r="C3" s="43" t="s">
        <v>169</v>
      </c>
      <c r="D3" s="43"/>
      <c r="E3" s="154"/>
      <c r="F3" s="43"/>
      <c r="G3" s="43"/>
      <c r="H3" s="43"/>
      <c r="I3" s="43"/>
      <c r="J3" s="43"/>
      <c r="K3" s="96"/>
    </row>
    <row r="4" spans="1:11">
      <c r="A4" s="354" t="s">
        <v>170</v>
      </c>
      <c r="B4" s="49">
        <f>IF(ISERROR('SEAP template'!B78+'SEAP template'!C78),0,'SEAP template'!B78+'SEAP template'!C78)</f>
        <v>25111.973992934119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1693.9482352941175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0.17044278739922172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2419.9260504201679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10182.857142857143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1148.002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1148.002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0.17044278739922172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195.66866081988132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32263.496949474</v>
      </c>
      <c r="C5" s="17">
        <f>IF(ISERROR('Eigen informatie GS &amp; warmtenet'!B59),0,'Eigen informatie GS &amp; warmtenet'!B59)</f>
        <v>0</v>
      </c>
      <c r="D5" s="30">
        <f>(SUM(HH_hh_gas_kWh,HH_rest_gas_kWh)/1000)*0.903</f>
        <v>110368.44836569394</v>
      </c>
      <c r="E5" s="17">
        <f>B32*B41</f>
        <v>1390.0199185253052</v>
      </c>
      <c r="F5" s="17">
        <f>B36*B45</f>
        <v>30450.617680227559</v>
      </c>
      <c r="G5" s="18"/>
      <c r="H5" s="17"/>
      <c r="I5" s="17"/>
      <c r="J5" s="17">
        <f>B35*B44+C35*C44</f>
        <v>173.5414006581135</v>
      </c>
      <c r="K5" s="17"/>
      <c r="L5" s="17"/>
      <c r="M5" s="17"/>
      <c r="N5" s="17">
        <f>B34*B43+C34*C43</f>
        <v>13044.277652826224</v>
      </c>
      <c r="O5" s="17">
        <f>B52*B53*B54</f>
        <v>428.53497538759888</v>
      </c>
      <c r="P5" s="17">
        <f>B60*B61*B62/1000-B60*B61*B62/1000/B63</f>
        <v>663.6394363841564</v>
      </c>
    </row>
    <row r="6" spans="1:16">
      <c r="A6" s="16" t="s">
        <v>603</v>
      </c>
      <c r="B6" s="780">
        <f>kWh_PV_kleiner_dan_10kW</f>
        <v>6668.2995145939049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38931.796464067906</v>
      </c>
      <c r="C8" s="21">
        <f>C5</f>
        <v>0</v>
      </c>
      <c r="D8" s="21">
        <f>D5</f>
        <v>110368.44836569394</v>
      </c>
      <c r="E8" s="21">
        <f>E5</f>
        <v>1390.0199185253052</v>
      </c>
      <c r="F8" s="21">
        <f>F5</f>
        <v>30450.617680227559</v>
      </c>
      <c r="G8" s="21"/>
      <c r="H8" s="21"/>
      <c r="I8" s="21"/>
      <c r="J8" s="21">
        <f>J5</f>
        <v>173.5414006581135</v>
      </c>
      <c r="K8" s="21"/>
      <c r="L8" s="21">
        <f>L5</f>
        <v>0</v>
      </c>
      <c r="M8" s="21">
        <f>M5</f>
        <v>0</v>
      </c>
      <c r="N8" s="21">
        <f>N5</f>
        <v>13044.277652826224</v>
      </c>
      <c r="O8" s="21">
        <f>O5</f>
        <v>428.53497538759888</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0.17044278739922172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6635.643907794898</v>
      </c>
      <c r="C12" s="23">
        <f ca="1">C10*C8</f>
        <v>0</v>
      </c>
      <c r="D12" s="23">
        <f>D8*D10</f>
        <v>22294.426569870178</v>
      </c>
      <c r="E12" s="23">
        <f>E10*E8</f>
        <v>315.5345215052443</v>
      </c>
      <c r="F12" s="23">
        <f>F10*F8</f>
        <v>8130.314920620759</v>
      </c>
      <c r="G12" s="23"/>
      <c r="H12" s="23"/>
      <c r="I12" s="23"/>
      <c r="J12" s="23">
        <f>J10*J8</f>
        <v>61.433655832972178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10476</v>
      </c>
      <c r="C26" s="36"/>
      <c r="D26" s="225"/>
    </row>
    <row r="27" spans="1:5" s="15" customFormat="1">
      <c r="A27" s="227" t="s">
        <v>866</v>
      </c>
      <c r="B27" s="37">
        <f>SUM(HH_hh_gas_aantal,HH_rest_gas_aantal)</f>
        <v>8656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8223.2000000000007</v>
      </c>
      <c r="C31" s="34" t="s">
        <v>110</v>
      </c>
      <c r="D31" s="171"/>
    </row>
    <row r="32" spans="1:5">
      <c r="A32" s="168" t="s">
        <v>72</v>
      </c>
      <c r="B32" s="33">
        <f>IF((B21*($B$26-($B$27-0.05*$B$27)-$B$60))&lt;0,0,(B21*($B$26-($B$27-0.05*$B$27)-$B$60)))</f>
        <v>34.763510099978191</v>
      </c>
      <c r="C32" s="34" t="s">
        <v>110</v>
      </c>
      <c r="D32" s="171"/>
    </row>
    <row r="33" spans="1:6">
      <c r="A33" s="168" t="s">
        <v>73</v>
      </c>
      <c r="B33" s="33">
        <f>IF((B22*($B$26-($B$27-0.05*$B$27)-$B$60))&lt;0,0,B22*($B$26-($B$27-0.05*$B$27)-$B$60))</f>
        <v>564.49055413620408</v>
      </c>
      <c r="C33" s="34" t="s">
        <v>110</v>
      </c>
      <c r="D33" s="171"/>
    </row>
    <row r="34" spans="1:6">
      <c r="A34" s="168" t="s">
        <v>74</v>
      </c>
      <c r="B34" s="33">
        <f>IF((B24*($B$26-($B$27-0.05*$B$27)-$B$60))&lt;0,0,B24*($B$26-($B$27-0.05*$B$27)-$B$60))</f>
        <v>108.22039350248353</v>
      </c>
      <c r="C34" s="33">
        <f>B26*C24</f>
        <v>2146.5946254133569</v>
      </c>
      <c r="D34" s="230"/>
    </row>
    <row r="35" spans="1:6">
      <c r="A35" s="168" t="s">
        <v>76</v>
      </c>
      <c r="B35" s="33">
        <f>IF((B19*($B$26-($B$27-0.05*$B$27)-$B$60))&lt;0,0,B19*($B$26-($B$27-0.05*$B$27)-$B$60))</f>
        <v>15.111614961983941</v>
      </c>
      <c r="C35" s="33">
        <f>B35/2</f>
        <v>7.5558074809919704</v>
      </c>
      <c r="D35" s="230"/>
    </row>
    <row r="36" spans="1:6">
      <c r="A36" s="168" t="s">
        <v>77</v>
      </c>
      <c r="B36" s="33">
        <f>IF((B18*($B$26-($B$27-0.05*$B$27)-$B$60))&lt;0,0,B18*($B$26-($B$27-0.05*$B$27)-$B$60))</f>
        <v>1467.2139272993491</v>
      </c>
      <c r="C36" s="34" t="s">
        <v>110</v>
      </c>
      <c r="D36" s="171"/>
    </row>
    <row r="37" spans="1:6">
      <c r="A37" s="168" t="s">
        <v>78</v>
      </c>
      <c r="B37" s="33">
        <f>B60</f>
        <v>63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17448.325585937928</v>
      </c>
      <c r="C5" s="17">
        <f>IF(ISERROR('Eigen informatie GS &amp; warmtenet'!B60),0,'Eigen informatie GS &amp; warmtenet'!B60)</f>
        <v>0</v>
      </c>
      <c r="D5" s="30">
        <f>SUM(D6:D12)</f>
        <v>25169.454719996917</v>
      </c>
      <c r="E5" s="17">
        <f>SUM(E6:E12)</f>
        <v>82.004613283603078</v>
      </c>
      <c r="F5" s="17">
        <f>SUM(F6:F12)</f>
        <v>3224.376083198078</v>
      </c>
      <c r="G5" s="18"/>
      <c r="H5" s="17"/>
      <c r="I5" s="17"/>
      <c r="J5" s="17">
        <f>SUM(J6:J12)</f>
        <v>2.0167172370838114E-2</v>
      </c>
      <c r="K5" s="17"/>
      <c r="L5" s="17"/>
      <c r="M5" s="17"/>
      <c r="N5" s="17">
        <f>SUM(N6:N12)</f>
        <v>782.86512743605499</v>
      </c>
      <c r="O5" s="17">
        <f>B38*B39*B40</f>
        <v>0</v>
      </c>
      <c r="P5" s="17">
        <f>B46*B47*B48/1000-B46*B47*B48/1000/B49</f>
        <v>105.07827661299004</v>
      </c>
      <c r="R5" s="32"/>
    </row>
    <row r="6" spans="1:18">
      <c r="A6" s="32" t="s">
        <v>53</v>
      </c>
      <c r="B6" s="37">
        <f>B26</f>
        <v>4948.54975536866</v>
      </c>
      <c r="C6" s="33"/>
      <c r="D6" s="37">
        <f>IF(ISERROR(TER_kantoor_gas_kWh/1000),0,TER_kantoor_gas_kWh/1000)*0.903</f>
        <v>8717.353102735522</v>
      </c>
      <c r="E6" s="33">
        <f>$C$26*'E Balans VL '!I12/100/3.6*1000000</f>
        <v>1.1790935497951509</v>
      </c>
      <c r="F6" s="33">
        <f>$C$26*('E Balans VL '!L12+'E Balans VL '!N12)/100/3.6*1000000</f>
        <v>429.830022984256</v>
      </c>
      <c r="G6" s="34"/>
      <c r="H6" s="33"/>
      <c r="I6" s="33"/>
      <c r="J6" s="33">
        <f>$C$26*('E Balans VL '!D12+'E Balans VL '!E12)/100/3.6*1000000</f>
        <v>0</v>
      </c>
      <c r="K6" s="33"/>
      <c r="L6" s="33"/>
      <c r="M6" s="33"/>
      <c r="N6" s="33">
        <f>$C$26*'E Balans VL '!Y12/100/3.6*1000000</f>
        <v>6.6144290511460042</v>
      </c>
      <c r="O6" s="33"/>
      <c r="P6" s="33"/>
      <c r="R6" s="32"/>
    </row>
    <row r="7" spans="1:18">
      <c r="A7" s="32" t="s">
        <v>52</v>
      </c>
      <c r="B7" s="37">
        <f t="shared" ref="B7:B12" si="0">B27</f>
        <v>1847.14079187691</v>
      </c>
      <c r="C7" s="33"/>
      <c r="D7" s="37">
        <f>IF(ISERROR(TER_horeca_gas_kWh/1000),0,TER_horeca_gas_kWh/1000)*0.903</f>
        <v>4029.3451510248451</v>
      </c>
      <c r="E7" s="33">
        <f>$C$27*'E Balans VL '!I9/100/3.6*1000000</f>
        <v>0</v>
      </c>
      <c r="F7" s="33">
        <f>$C$27*('E Balans VL '!L9+'E Balans VL '!N9)/100/3.6*1000000</f>
        <v>150.50854606478418</v>
      </c>
      <c r="G7" s="34"/>
      <c r="H7" s="33"/>
      <c r="I7" s="33"/>
      <c r="J7" s="33">
        <f>$C$27*('E Balans VL '!D9+'E Balans VL '!E9)/100/3.6*1000000</f>
        <v>0</v>
      </c>
      <c r="K7" s="33"/>
      <c r="L7" s="33"/>
      <c r="M7" s="33"/>
      <c r="N7" s="33">
        <f>$C$27*'E Balans VL '!Y9/100/3.6*1000000</f>
        <v>0.51162361048185512</v>
      </c>
      <c r="O7" s="33"/>
      <c r="P7" s="33"/>
      <c r="R7" s="32"/>
    </row>
    <row r="8" spans="1:18">
      <c r="A8" s="6" t="s">
        <v>51</v>
      </c>
      <c r="B8" s="37">
        <f t="shared" si="0"/>
        <v>6877.3544053257392</v>
      </c>
      <c r="C8" s="33"/>
      <c r="D8" s="37">
        <f>IF(ISERROR(TER_handel_gas_kWh/1000),0,TER_handel_gas_kWh/1000)*0.903</f>
        <v>4680.9955096886661</v>
      </c>
      <c r="E8" s="33">
        <f>$C$28*'E Balans VL '!I13/100/3.6*1000000</f>
        <v>54.974920574292071</v>
      </c>
      <c r="F8" s="33">
        <f>$C$28*('E Balans VL '!L13+'E Balans VL '!N13)/100/3.6*1000000</f>
        <v>683.22240803976354</v>
      </c>
      <c r="G8" s="34"/>
      <c r="H8" s="33"/>
      <c r="I8" s="33"/>
      <c r="J8" s="33">
        <f>$C$28*('E Balans VL '!D13+'E Balans VL '!E13)/100/3.6*1000000</f>
        <v>0</v>
      </c>
      <c r="K8" s="33"/>
      <c r="L8" s="33"/>
      <c r="M8" s="33"/>
      <c r="N8" s="33">
        <f>$C$28*'E Balans VL '!Y13/100/3.6*1000000</f>
        <v>2.5691012377722933</v>
      </c>
      <c r="O8" s="33"/>
      <c r="P8" s="33"/>
      <c r="R8" s="32"/>
    </row>
    <row r="9" spans="1:18">
      <c r="A9" s="32" t="s">
        <v>50</v>
      </c>
      <c r="B9" s="37">
        <f t="shared" si="0"/>
        <v>1198.1479072217201</v>
      </c>
      <c r="C9" s="33"/>
      <c r="D9" s="37">
        <f>IF(ISERROR(TER_gezond_gas_kWh/1000),0,TER_gezond_gas_kWh/1000)*0.903</f>
        <v>3408.7287192624103</v>
      </c>
      <c r="E9" s="33">
        <f>$C$29*'E Balans VL '!I10/100/3.6*1000000</f>
        <v>0</v>
      </c>
      <c r="F9" s="33">
        <f>$C$29*('E Balans VL '!L10+'E Balans VL '!N10)/100/3.6*1000000</f>
        <v>109.2307063981021</v>
      </c>
      <c r="G9" s="34"/>
      <c r="H9" s="33"/>
      <c r="I9" s="33"/>
      <c r="J9" s="33">
        <f>$C$29*('E Balans VL '!D10+'E Balans VL '!E10)/100/3.6*1000000</f>
        <v>0</v>
      </c>
      <c r="K9" s="33"/>
      <c r="L9" s="33"/>
      <c r="M9" s="33"/>
      <c r="N9" s="33">
        <f>$C$29*'E Balans VL '!Y10/100/3.6*1000000</f>
        <v>8.7573874695098315</v>
      </c>
      <c r="O9" s="33"/>
      <c r="P9" s="33"/>
      <c r="R9" s="32"/>
    </row>
    <row r="10" spans="1:18">
      <c r="A10" s="32" t="s">
        <v>49</v>
      </c>
      <c r="B10" s="37">
        <f t="shared" si="0"/>
        <v>1993.9518663788101</v>
      </c>
      <c r="C10" s="33"/>
      <c r="D10" s="37">
        <f>IF(ISERROR(TER_ander_gas_kWh/1000),0,TER_ander_gas_kWh/1000)*0.903</f>
        <v>2144.408699851972</v>
      </c>
      <c r="E10" s="33">
        <f>$C$30*'E Balans VL '!I14/100/3.6*1000000</f>
        <v>25.850599159515863</v>
      </c>
      <c r="F10" s="33">
        <f>$C$30*('E Balans VL '!L14+'E Balans VL '!N14)/100/3.6*1000000</f>
        <v>1828.7338176269943</v>
      </c>
      <c r="G10" s="34"/>
      <c r="H10" s="33"/>
      <c r="I10" s="33"/>
      <c r="J10" s="33">
        <f>$C$30*('E Balans VL '!D14+'E Balans VL '!E14)/100/3.6*1000000</f>
        <v>2.0167172370838114E-2</v>
      </c>
      <c r="K10" s="33"/>
      <c r="L10" s="33"/>
      <c r="M10" s="33"/>
      <c r="N10" s="33">
        <f>$C$30*'E Balans VL '!Y14/100/3.6*1000000</f>
        <v>762.57600545159823</v>
      </c>
      <c r="O10" s="33"/>
      <c r="P10" s="33"/>
      <c r="R10" s="32"/>
    </row>
    <row r="11" spans="1:18">
      <c r="A11" s="32" t="s">
        <v>54</v>
      </c>
      <c r="B11" s="37">
        <f t="shared" si="0"/>
        <v>583.18085976608904</v>
      </c>
      <c r="C11" s="33"/>
      <c r="D11" s="37">
        <f>IF(ISERROR(TER_onderwijs_gas_kWh/1000),0,TER_onderwijs_gas_kWh/1000)*0.903</f>
        <v>2188.6235374335033</v>
      </c>
      <c r="E11" s="33">
        <f>$C$31*'E Balans VL '!I11/100/3.6*1000000</f>
        <v>0</v>
      </c>
      <c r="F11" s="33">
        <f>$C$31*('E Balans VL '!L11+'E Balans VL '!N11)/100/3.6*1000000</f>
        <v>22.850582084178381</v>
      </c>
      <c r="G11" s="34"/>
      <c r="H11" s="33"/>
      <c r="I11" s="33"/>
      <c r="J11" s="33">
        <f>$C$31*('E Balans VL '!D11+'E Balans VL '!E11)/100/3.6*1000000</f>
        <v>0</v>
      </c>
      <c r="K11" s="33"/>
      <c r="L11" s="33"/>
      <c r="M11" s="33"/>
      <c r="N11" s="33">
        <f>$C$31*'E Balans VL '!Y11/100/3.6*1000000</f>
        <v>1.8365806155467368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17448.325585937928</v>
      </c>
      <c r="C16" s="21">
        <f t="shared" ca="1" si="1"/>
        <v>0</v>
      </c>
      <c r="D16" s="21">
        <f t="shared" ca="1" si="1"/>
        <v>25169.454719996917</v>
      </c>
      <c r="E16" s="21">
        <f t="shared" si="1"/>
        <v>82.004613283603078</v>
      </c>
      <c r="F16" s="21">
        <f t="shared" ca="1" si="1"/>
        <v>3224.376083198078</v>
      </c>
      <c r="G16" s="21">
        <f t="shared" si="1"/>
        <v>0</v>
      </c>
      <c r="H16" s="21">
        <f t="shared" si="1"/>
        <v>0</v>
      </c>
      <c r="I16" s="21">
        <f t="shared" si="1"/>
        <v>0</v>
      </c>
      <c r="J16" s="21">
        <f t="shared" si="1"/>
        <v>2.0167172370838114E-2</v>
      </c>
      <c r="K16" s="21">
        <f t="shared" si="1"/>
        <v>0</v>
      </c>
      <c r="L16" s="21">
        <f t="shared" ca="1" si="1"/>
        <v>0</v>
      </c>
      <c r="M16" s="21">
        <f t="shared" si="1"/>
        <v>0</v>
      </c>
      <c r="N16" s="21">
        <f t="shared" ca="1" si="1"/>
        <v>782.86512743605499</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0.17044278739922172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2973.9412483164192</v>
      </c>
      <c r="C20" s="23">
        <f t="shared" ref="C20:P20" ca="1" si="2">C16*C18</f>
        <v>0</v>
      </c>
      <c r="D20" s="23">
        <f t="shared" ca="1" si="2"/>
        <v>5084.2298534393776</v>
      </c>
      <c r="E20" s="23">
        <f t="shared" si="2"/>
        <v>18.615047215377899</v>
      </c>
      <c r="F20" s="23">
        <f t="shared" ca="1" si="2"/>
        <v>860.90841421388689</v>
      </c>
      <c r="G20" s="23">
        <f t="shared" si="2"/>
        <v>0</v>
      </c>
      <c r="H20" s="23">
        <f t="shared" si="2"/>
        <v>0</v>
      </c>
      <c r="I20" s="23">
        <f t="shared" si="2"/>
        <v>0</v>
      </c>
      <c r="J20" s="23">
        <f t="shared" si="2"/>
        <v>7.1391790192766921E-3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4948.54975536866</v>
      </c>
      <c r="C26" s="39">
        <f>IF(ISERROR(B26*3.6/1000000/'E Balans VL '!Z12*100),0,B26*3.6/1000000/'E Balans VL '!Z12*100)</f>
        <v>0.14197342679772587</v>
      </c>
      <c r="D26" s="233" t="s">
        <v>841</v>
      </c>
      <c r="F26" s="6"/>
    </row>
    <row r="27" spans="1:18" ht="30">
      <c r="A27" s="228" t="s">
        <v>52</v>
      </c>
      <c r="B27" s="33">
        <f>IF(ISERROR(TER_horeca_ele_kWh/1000),0,TER_horeca_ele_kWh/1000)</f>
        <v>1847.14079187691</v>
      </c>
      <c r="C27" s="39">
        <f>IF(ISERROR(B27*3.6/1000000/'E Balans VL '!Z9*100),0,B27*3.6/1000000/'E Balans VL '!Z9*100)</f>
        <v>0.13532218836642715</v>
      </c>
      <c r="D27" s="233" t="s">
        <v>841</v>
      </c>
      <c r="F27" s="6"/>
    </row>
    <row r="28" spans="1:18" ht="30">
      <c r="A28" s="168" t="s">
        <v>51</v>
      </c>
      <c r="B28" s="33">
        <f>IF(ISERROR(TER_handel_ele_kWh/1000),0,TER_handel_ele_kWh/1000)</f>
        <v>6877.3544053257392</v>
      </c>
      <c r="C28" s="39">
        <f>IF(ISERROR(B28*3.6/1000000/'E Balans VL '!Z13*100),0,B28*3.6/1000000/'E Balans VL '!Z13*100)</f>
        <v>0.21251605183833147</v>
      </c>
      <c r="D28" s="233" t="s">
        <v>841</v>
      </c>
      <c r="F28" s="6"/>
    </row>
    <row r="29" spans="1:18" ht="30">
      <c r="A29" s="228" t="s">
        <v>50</v>
      </c>
      <c r="B29" s="33">
        <f>IF(ISERROR(TER_gezond_ele_kWh/1000),0,TER_gezond_ele_kWh/1000)</f>
        <v>1198.1479072217201</v>
      </c>
      <c r="C29" s="39">
        <f>IF(ISERROR(B29*3.6/1000000/'E Balans VL '!Z10*100),0,B29*3.6/1000000/'E Balans VL '!Z10*100)</f>
        <v>0.11742586226529193</v>
      </c>
      <c r="D29" s="233" t="s">
        <v>841</v>
      </c>
      <c r="F29" s="6"/>
    </row>
    <row r="30" spans="1:18" ht="30">
      <c r="A30" s="228" t="s">
        <v>49</v>
      </c>
      <c r="B30" s="33">
        <f>IF(ISERROR(TER_ander_ele_kWh/1000),0,TER_ander_ele_kWh/1000)</f>
        <v>1993.9518663788101</v>
      </c>
      <c r="C30" s="39">
        <f>IF(ISERROR(B30*3.6/1000000/'E Balans VL '!Z14*100),0,B30*3.6/1000000/'E Balans VL '!Z14*100)</f>
        <v>8.2595927798654392E-2</v>
      </c>
      <c r="D30" s="233" t="s">
        <v>841</v>
      </c>
      <c r="F30" s="6"/>
    </row>
    <row r="31" spans="1:18" ht="30">
      <c r="A31" s="228" t="s">
        <v>54</v>
      </c>
      <c r="B31" s="33">
        <f>IF(ISERROR(TER_onderwijs_ele_kWh/1000),0,TER_onderwijs_ele_kWh/1000)</f>
        <v>583.18085976608904</v>
      </c>
      <c r="C31" s="39">
        <f>IF(ISERROR(B31*3.6/1000000/'E Balans VL '!Z11*100),0,B31*3.6/1000000/'E Balans VL '!Z11*100)</f>
        <v>0.17919374797999862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16027.584614813093</v>
      </c>
      <c r="C5" s="17">
        <f>IF(ISERROR('Eigen informatie GS &amp; warmtenet'!B61),0,'Eigen informatie GS &amp; warmtenet'!B61)</f>
        <v>0</v>
      </c>
      <c r="D5" s="30">
        <f>SUM(D6:D15)</f>
        <v>8889.1423961262917</v>
      </c>
      <c r="E5" s="17">
        <f>SUM(E6:E15)</f>
        <v>272.48702680087069</v>
      </c>
      <c r="F5" s="17">
        <f>SUM(F6:F15)</f>
        <v>1974.5098465588846</v>
      </c>
      <c r="G5" s="18"/>
      <c r="H5" s="17"/>
      <c r="I5" s="17"/>
      <c r="J5" s="17">
        <f>SUM(J6:J15)</f>
        <v>8.4575004255641204</v>
      </c>
      <c r="K5" s="17"/>
      <c r="L5" s="17"/>
      <c r="M5" s="17"/>
      <c r="N5" s="17">
        <f>SUM(N6:N15)</f>
        <v>345.93710173219262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9558.0698571721896</v>
      </c>
      <c r="C8" s="33"/>
      <c r="D8" s="37">
        <f>IF( ISERROR(IND_metaal_Gas_kWH/1000),0,IND_metaal_Gas_kWH/1000)*0.903</f>
        <v>4534.4713421836768</v>
      </c>
      <c r="E8" s="33">
        <f>C30*'E Balans VL '!I18/100/3.6*1000000</f>
        <v>52.102529443857932</v>
      </c>
      <c r="F8" s="33">
        <f>C30*'E Balans VL '!L18/100/3.6*1000000+C30*'E Balans VL '!N18/100/3.6*1000000</f>
        <v>615.54042887308606</v>
      </c>
      <c r="G8" s="34"/>
      <c r="H8" s="33"/>
      <c r="I8" s="33"/>
      <c r="J8" s="40">
        <f>C30*'E Balans VL '!D18/100/3.6*1000000+C30*'E Balans VL '!E18/100/3.6*1000000</f>
        <v>7.8292250911688699</v>
      </c>
      <c r="K8" s="33"/>
      <c r="L8" s="33"/>
      <c r="M8" s="33"/>
      <c r="N8" s="33">
        <f>C30*'E Balans VL '!Y18/100/3.6*1000000</f>
        <v>206.49578332129767</v>
      </c>
      <c r="O8" s="33"/>
      <c r="P8" s="33"/>
      <c r="R8" s="32"/>
    </row>
    <row r="9" spans="1:18">
      <c r="A9" s="6" t="s">
        <v>32</v>
      </c>
      <c r="B9" s="37">
        <f t="shared" si="0"/>
        <v>1960.2933896161901</v>
      </c>
      <c r="C9" s="33"/>
      <c r="D9" s="37">
        <f>IF( ISERROR(IND_andere_gas_kWh/1000),0,IND_andere_gas_kWh/1000)*0.903</f>
        <v>2670.8665738680502</v>
      </c>
      <c r="E9" s="33">
        <f>C31*'E Balans VL '!I19/100/3.6*1000000</f>
        <v>6.3281609007345248</v>
      </c>
      <c r="F9" s="33">
        <f>C31*'E Balans VL '!L19/100/3.6*1000000+C31*'E Balans VL '!N19/100/3.6*1000000</f>
        <v>1267.5410941493355</v>
      </c>
      <c r="G9" s="34"/>
      <c r="H9" s="33"/>
      <c r="I9" s="33"/>
      <c r="J9" s="40">
        <f>C31*'E Balans VL '!D19/100/3.6*1000000+C31*'E Balans VL '!E19/100/3.6*1000000</f>
        <v>0</v>
      </c>
      <c r="K9" s="33"/>
      <c r="L9" s="33"/>
      <c r="M9" s="33"/>
      <c r="N9" s="33">
        <f>C31*'E Balans VL '!Y19/100/3.6*1000000</f>
        <v>79.213191536943029</v>
      </c>
      <c r="O9" s="33"/>
      <c r="P9" s="33"/>
      <c r="R9" s="32"/>
    </row>
    <row r="10" spans="1:18">
      <c r="A10" s="6" t="s">
        <v>40</v>
      </c>
      <c r="B10" s="37">
        <f t="shared" si="0"/>
        <v>1416.3370280243801</v>
      </c>
      <c r="C10" s="33"/>
      <c r="D10" s="37">
        <f>IF( ISERROR(IND_voed_gas_kWh/1000),0,IND_voed_gas_kWh/1000)*0.903</f>
        <v>648.04205119364462</v>
      </c>
      <c r="E10" s="33">
        <f>C32*'E Balans VL '!I20/100/3.6*1000000</f>
        <v>2.9689895174957921</v>
      </c>
      <c r="F10" s="33">
        <f>C32*'E Balans VL '!L20/100/3.6*1000000+C32*'E Balans VL '!N20/100/3.6*1000000</f>
        <v>27.595139992695682</v>
      </c>
      <c r="G10" s="34"/>
      <c r="H10" s="33"/>
      <c r="I10" s="33"/>
      <c r="J10" s="40">
        <f>C32*'E Balans VL '!D20/100/3.6*1000000+C32*'E Balans VL '!E20/100/3.6*1000000</f>
        <v>0</v>
      </c>
      <c r="K10" s="33"/>
      <c r="L10" s="33"/>
      <c r="M10" s="33"/>
      <c r="N10" s="33">
        <f>C32*'E Balans VL '!Y20/100/3.6*1000000</f>
        <v>56.337960313084672</v>
      </c>
      <c r="O10" s="33"/>
      <c r="P10" s="33"/>
      <c r="R10" s="32"/>
    </row>
    <row r="11" spans="1:18">
      <c r="A11" s="6" t="s">
        <v>39</v>
      </c>
      <c r="B11" s="37">
        <f t="shared" si="0"/>
        <v>1918.3730836751902</v>
      </c>
      <c r="C11" s="33"/>
      <c r="D11" s="37">
        <f>IF( ISERROR(IND_textiel_gas_kWh/1000),0,IND_textiel_gas_kWh/1000)*0.903</f>
        <v>509.6647108571845</v>
      </c>
      <c r="E11" s="33">
        <f>C33*'E Balans VL '!I21/100/3.6*1000000</f>
        <v>1.6484003235965077</v>
      </c>
      <c r="F11" s="33">
        <f>C33*'E Balans VL '!L21/100/3.6*1000000+C33*'E Balans VL '!N21/100/3.6*1000000</f>
        <v>40.220682744423719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90.886282482653996</v>
      </c>
      <c r="C13" s="33"/>
      <c r="D13" s="37">
        <f>IF( ISERROR(IND_papier_gas_kWh/1000),0,IND_papier_gas_kWh/1000)*0.903</f>
        <v>69.469138328831178</v>
      </c>
      <c r="E13" s="33">
        <f>C35*'E Balans VL '!I23/100/3.6*1000000</f>
        <v>0</v>
      </c>
      <c r="F13" s="33">
        <f>C35*'E Balans VL '!L23/100/3.6*1000000+C35*'E Balans VL '!N23/100/3.6*1000000</f>
        <v>1.2174504072567776E-2</v>
      </c>
      <c r="G13" s="34"/>
      <c r="H13" s="33"/>
      <c r="I13" s="33"/>
      <c r="J13" s="40">
        <f>C35*'E Balans VL '!D23/100/3.6*1000000+C35*'E Balans VL '!E23/100/3.6*1000000</f>
        <v>1.797787852888803E-2</v>
      </c>
      <c r="K13" s="33"/>
      <c r="L13" s="33"/>
      <c r="M13" s="33"/>
      <c r="N13" s="33">
        <f>C35*'E Balans VL '!Y23/100/3.6*1000000</f>
        <v>0</v>
      </c>
      <c r="O13" s="33"/>
      <c r="P13" s="33"/>
      <c r="R13" s="32"/>
    </row>
    <row r="14" spans="1:18">
      <c r="A14" s="6" t="s">
        <v>33</v>
      </c>
      <c r="B14" s="37">
        <f t="shared" si="0"/>
        <v>971.22135394621</v>
      </c>
      <c r="C14" s="33"/>
      <c r="D14" s="37">
        <f>IF( ISERROR(IND_chemie_gas_kWh/1000),0,IND_chemie_gas_kWh/1000)*0.903</f>
        <v>456.62857969490392</v>
      </c>
      <c r="E14" s="33">
        <f>C36*'E Balans VL '!I24/100/3.6*1000000</f>
        <v>202.8214657843146</v>
      </c>
      <c r="F14" s="33">
        <f>C36*'E Balans VL '!L24/100/3.6*1000000+C36*'E Balans VL '!N24/100/3.6*1000000</f>
        <v>6.4527572802879156</v>
      </c>
      <c r="G14" s="34"/>
      <c r="H14" s="33"/>
      <c r="I14" s="33"/>
      <c r="J14" s="40">
        <f>C36*'E Balans VL '!D24/100/3.6*1000000+C36*'E Balans VL '!E24/100/3.6*1000000</f>
        <v>0</v>
      </c>
      <c r="K14" s="33"/>
      <c r="L14" s="33"/>
      <c r="M14" s="33"/>
      <c r="N14" s="33">
        <f>C36*'E Balans VL '!Y24/100/3.6*1000000</f>
        <v>0.33891088969615696</v>
      </c>
      <c r="O14" s="33"/>
      <c r="P14" s="33"/>
      <c r="R14" s="32"/>
    </row>
    <row r="15" spans="1:18">
      <c r="A15" s="6" t="s">
        <v>265</v>
      </c>
      <c r="B15" s="37">
        <f t="shared" si="0"/>
        <v>112.40361989627999</v>
      </c>
      <c r="C15" s="33"/>
      <c r="D15" s="37">
        <f>IF( ISERROR(IND_rest_gas_kWh/1000),0,IND_rest_gas_kWh/1000)*0.903</f>
        <v>0</v>
      </c>
      <c r="E15" s="33">
        <f>C37*'E Balans VL '!I15/100/3.6*1000000</f>
        <v>6.6174808308713304</v>
      </c>
      <c r="F15" s="33">
        <f>C37*'E Balans VL '!L15/100/3.6*1000000+C37*'E Balans VL '!N15/100/3.6*1000000</f>
        <v>17.147569014983009</v>
      </c>
      <c r="G15" s="34"/>
      <c r="H15" s="33"/>
      <c r="I15" s="33"/>
      <c r="J15" s="40">
        <f>C37*'E Balans VL '!D15/100/3.6*1000000+C37*'E Balans VL '!E15/100/3.6*1000000</f>
        <v>0.61029745586636286</v>
      </c>
      <c r="K15" s="33"/>
      <c r="L15" s="33"/>
      <c r="M15" s="33"/>
      <c r="N15" s="33">
        <f>C37*'E Balans VL '!Y15/100/3.6*1000000</f>
        <v>3.5512556711711043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16027.584614813093</v>
      </c>
      <c r="C18" s="21">
        <f>C5+C16</f>
        <v>0</v>
      </c>
      <c r="D18" s="21">
        <f>MAX((D5+D16),0)</f>
        <v>8889.1423961262917</v>
      </c>
      <c r="E18" s="21">
        <f>MAX((E5+E16),0)</f>
        <v>272.48702680087069</v>
      </c>
      <c r="F18" s="21">
        <f>MAX((F5+F16),0)</f>
        <v>1974.5098465588846</v>
      </c>
      <c r="G18" s="21"/>
      <c r="H18" s="21"/>
      <c r="I18" s="21"/>
      <c r="J18" s="21">
        <f>MAX((J5+J16),0)</f>
        <v>8.4575004255641204</v>
      </c>
      <c r="K18" s="21"/>
      <c r="L18" s="21">
        <f>MAX((L5+L16),0)</f>
        <v>0</v>
      </c>
      <c r="M18" s="21"/>
      <c r="N18" s="21">
        <f>MAX((N5+N16),0)</f>
        <v>345.93710173219262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0.17044278739922172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2731.7861970256249</v>
      </c>
      <c r="C22" s="23">
        <f ca="1">C18*C20</f>
        <v>0</v>
      </c>
      <c r="D22" s="23">
        <f>D18*D20</f>
        <v>1795.6067640175111</v>
      </c>
      <c r="E22" s="23">
        <f>E18*E20</f>
        <v>61.854555083797649</v>
      </c>
      <c r="F22" s="23">
        <f>F18*F20</f>
        <v>527.19412903122225</v>
      </c>
      <c r="G22" s="23"/>
      <c r="H22" s="23"/>
      <c r="I22" s="23"/>
      <c r="J22" s="23">
        <f>J18*J20</f>
        <v>2.9939551506496986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9558.0698571721896</v>
      </c>
      <c r="C30" s="39">
        <f>IF(ISERROR(B30*3.6/1000000/'E Balans VL '!Z18*100),0,B30*3.6/1000000/'E Balans VL '!Z18*100)</f>
        <v>0.57556075818272456</v>
      </c>
      <c r="D30" s="233" t="s">
        <v>841</v>
      </c>
    </row>
    <row r="31" spans="1:18" ht="30">
      <c r="A31" s="6" t="s">
        <v>32</v>
      </c>
      <c r="B31" s="37">
        <f>IF( ISERROR(IND_ander_ele_kWh/1000),0,IND_ander_ele_kWh/1000)</f>
        <v>1960.2933896161901</v>
      </c>
      <c r="C31" s="39">
        <f>IF(ISERROR(B31*3.6/1000000/'E Balans VL '!Z19*100),0,B31*3.6/1000000/'E Balans VL '!Z19*100)</f>
        <v>7.986641096731148E-2</v>
      </c>
      <c r="D31" s="233" t="s">
        <v>841</v>
      </c>
    </row>
    <row r="32" spans="1:18" ht="30">
      <c r="A32" s="168" t="s">
        <v>40</v>
      </c>
      <c r="B32" s="37">
        <f>IF( ISERROR(IND_voed_ele_kWh/1000),0,IND_voed_ele_kWh/1000)</f>
        <v>1416.3370280243801</v>
      </c>
      <c r="C32" s="39">
        <f>IF(ISERROR(B32*3.6/1000000/'E Balans VL '!Z20*100),0,B32*3.6/1000000/'E Balans VL '!Z20*100)</f>
        <v>4.0952003246287928E-2</v>
      </c>
      <c r="D32" s="233" t="s">
        <v>841</v>
      </c>
    </row>
    <row r="33" spans="1:5" ht="30">
      <c r="A33" s="168" t="s">
        <v>39</v>
      </c>
      <c r="B33" s="37">
        <f>IF( ISERROR(IND_textiel_ele_kWh/1000),0,IND_textiel_ele_kWh/1000)</f>
        <v>1918.3730836751902</v>
      </c>
      <c r="C33" s="39">
        <f>IF(ISERROR(B33*3.6/1000000/'E Balans VL '!Z21*100),0,B33*3.6/1000000/'E Balans VL '!Z21*100)</f>
        <v>0.31548331552086273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90.886282482653996</v>
      </c>
      <c r="C35" s="39">
        <f>IF(ISERROR(B35*3.6/1000000/'E Balans VL '!Z22*100),0,B35*3.6/1000000/'E Balans VL '!Z22*100)</f>
        <v>3.8807598082158445E-2</v>
      </c>
      <c r="D35" s="233" t="s">
        <v>841</v>
      </c>
    </row>
    <row r="36" spans="1:5" ht="30">
      <c r="A36" s="168" t="s">
        <v>33</v>
      </c>
      <c r="B36" s="37">
        <f>IF( ISERROR(IND_chemie_ele_kWh/1000),0,IND_chemie_ele_kWh/1000)</f>
        <v>971.22135394621</v>
      </c>
      <c r="C36" s="39">
        <f>IF(ISERROR(B36*3.6/1000000/'E Balans VL '!Z24*100),0,B36*3.6/1000000/'E Balans VL '!Z24*100)</f>
        <v>2.9470512147492075E-2</v>
      </c>
      <c r="D36" s="233" t="s">
        <v>841</v>
      </c>
    </row>
    <row r="37" spans="1:5" ht="30">
      <c r="A37" s="168" t="s">
        <v>265</v>
      </c>
      <c r="B37" s="37">
        <f>IF( ISERROR(IND_rest_ele_kWh/1000),0,IND_rest_ele_kWh/1000)</f>
        <v>112.40361989627999</v>
      </c>
      <c r="C37" s="39">
        <f>IF(ISERROR(B37*3.6/1000000/'E Balans VL '!Z15*100),0,B37*3.6/1000000/'E Balans VL '!Z15*100)</f>
        <v>9.2291885627485105E-4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1381.23852042921</v>
      </c>
      <c r="C5" s="17">
        <f>'Eigen informatie GS &amp; warmtenet'!B62</f>
        <v>0</v>
      </c>
      <c r="D5" s="30">
        <f>IF(ISERROR(SUM(LB_lb_gas_kWh,LB_rest_gas_kWh)/1000),0,SUM(LB_lb_gas_kWh,LB_rest_gas_kWh)/1000)*0.903</f>
        <v>22215.503554303337</v>
      </c>
      <c r="E5" s="17">
        <f>B17*'E Balans VL '!I25/3.6*1000000/100</f>
        <v>39.561008708614359</v>
      </c>
      <c r="F5" s="17">
        <f>B17*('E Balans VL '!L25/3.6*1000000+'E Balans VL '!N25/3.6*1000000)/100</f>
        <v>4372.2876592198372</v>
      </c>
      <c r="G5" s="18"/>
      <c r="H5" s="17"/>
      <c r="I5" s="17"/>
      <c r="J5" s="17">
        <f>('E Balans VL '!D25+'E Balans VL '!E25)/3.6*1000000*landbouw!B17/100</f>
        <v>351.2055815516884</v>
      </c>
      <c r="K5" s="17"/>
      <c r="L5" s="17">
        <f>L6*(-1)</f>
        <v>0</v>
      </c>
      <c r="M5" s="17"/>
      <c r="N5" s="17">
        <f>N6*(-1)</f>
        <v>0</v>
      </c>
      <c r="O5" s="17"/>
      <c r="P5" s="17"/>
      <c r="R5" s="32"/>
    </row>
    <row r="6" spans="1:18">
      <c r="A6" s="16" t="s">
        <v>473</v>
      </c>
      <c r="B6" s="17" t="s">
        <v>210</v>
      </c>
      <c r="C6" s="17">
        <f>'lokale energieproductie'!O39+'lokale energieproductie'!O32</f>
        <v>10182.857142857143</v>
      </c>
      <c r="D6" s="304">
        <f>('lokale energieproductie'!P32+'lokale energieproductie'!P39)*(-1)</f>
        <v>-20365.714285714286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1381.23852042921</v>
      </c>
      <c r="C8" s="21">
        <f>C5+C6</f>
        <v>10182.857142857143</v>
      </c>
      <c r="D8" s="21">
        <f>MAX((D5+D6),0)</f>
        <v>1849.7892685890511</v>
      </c>
      <c r="E8" s="21">
        <f>MAX((E5+E6),0)</f>
        <v>39.561008708614359</v>
      </c>
      <c r="F8" s="21">
        <f>MAX((F5+F6),0)</f>
        <v>4372.2876592198372</v>
      </c>
      <c r="G8" s="21"/>
      <c r="H8" s="21"/>
      <c r="I8" s="21"/>
      <c r="J8" s="21">
        <f>MAX((J5+J6),0)</f>
        <v>351.2055815516884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0.17044278739922172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235.42214348513141</v>
      </c>
      <c r="C12" s="23">
        <f ca="1">C8*C10</f>
        <v>2419.9260504201679</v>
      </c>
      <c r="D12" s="23">
        <f>D8*D10</f>
        <v>373.65743225498835</v>
      </c>
      <c r="E12" s="23">
        <f>E8*E10</f>
        <v>8.9803489768554599</v>
      </c>
      <c r="F12" s="23">
        <f>F8*F10</f>
        <v>1167.4008050116965</v>
      </c>
      <c r="G12" s="23"/>
      <c r="H12" s="23"/>
      <c r="I12" s="23"/>
      <c r="J12" s="23">
        <f>J8*J10</f>
        <v>124.32677586929769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0.19127020099332878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225.45423467652643</v>
      </c>
      <c r="C26" s="243">
        <f>B26*'GWP N2O_CH4'!B5</f>
        <v>4734.5389282070546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71.205935147931442</v>
      </c>
      <c r="C27" s="243">
        <f>B27*'GWP N2O_CH4'!B5</f>
        <v>1495.3246381065603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3.1014173752798158</v>
      </c>
      <c r="C28" s="243">
        <f>B28*'GWP N2O_CH4'!B4</f>
        <v>961.43938633674293</v>
      </c>
      <c r="D28" s="50"/>
    </row>
    <row r="29" spans="1:4">
      <c r="A29" s="41" t="s">
        <v>272</v>
      </c>
      <c r="B29" s="243">
        <f>B34*'ha_N2O bodem landbouw'!B4</f>
        <v>10.390572026210451</v>
      </c>
      <c r="C29" s="243">
        <f>B29*'GWP N2O_CH4'!B4</f>
        <v>3221.07732812524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2.3605520014020808E-3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7.9862234930327188E-4</v>
      </c>
      <c r="C5" s="434" t="s">
        <v>210</v>
      </c>
      <c r="D5" s="419">
        <f>SUM(D6:D11)</f>
        <v>1.5657169809750909E-3</v>
      </c>
      <c r="E5" s="419">
        <f>SUM(E6:E11)</f>
        <v>6.0594399770187615E-4</v>
      </c>
      <c r="F5" s="432" t="s">
        <v>210</v>
      </c>
      <c r="G5" s="419">
        <f>SUM(G6:G11)</f>
        <v>0.24101570170087716</v>
      </c>
      <c r="H5" s="419">
        <f>SUM(H6:H11)</f>
        <v>7.6383915124776672E-2</v>
      </c>
      <c r="I5" s="434" t="s">
        <v>210</v>
      </c>
      <c r="J5" s="434" t="s">
        <v>210</v>
      </c>
      <c r="K5" s="434" t="s">
        <v>210</v>
      </c>
      <c r="L5" s="434" t="s">
        <v>210</v>
      </c>
      <c r="M5" s="419">
        <f>SUM(M6:M11)</f>
        <v>1.9253682359487195E-2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4.1243647197811384E-4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6.8764966608063621E-4</v>
      </c>
      <c r="E6" s="886">
        <f>vkm_GW_PW*SUMIFS(TableVerdeelsleutelVkm[LPG],TableVerdeelsleutelVkm[Voertuigtype],"Lichte voertuigen")*SUMIFS(TableECFTransport[EnergieConsumptieFactor (PJ per km)],TableECFTransport[Index],CONCATENATE($A6,"_LPG_LPG"))</f>
        <v>2.726251243897494E-4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8.1930698342264838E-2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3.3723543180768402E-2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7.0950466428125192E-3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1.4861666758836919E-6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5.8912583778835306E-2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4.3468959520371793E-7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3.3826609309065819E-3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3.8453483830959607E-4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8.7806731489445465E-4</v>
      </c>
      <c r="E8" s="422">
        <f>vkm_NGW_PW*SUMIFS(TableVerdeelsleutelVkm[LPG],TableVerdeelsleutelVkm[Voertuigtype],"Lichte voertuigen")*SUMIFS(TableECFTransport[EnergieConsumptieFactor (PJ per km)],TableECFTransport[Index],CONCATENATE($A8,"_LPG_LPG"))</f>
        <v>3.3331887331212675E-4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9.1756046617769552E-2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4.2659879047311611E-2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8.2927211596157471E-3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1.6487233967828271E-7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8.4163729620074668E-3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5.8207101459372955E-8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4.832536261523458E-4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221.83954147313108</v>
      </c>
      <c r="C14" s="21"/>
      <c r="D14" s="21">
        <f t="shared" ref="D14:M14" si="0">((D5)*10^9/3600)+D12</f>
        <v>434.92138360419187</v>
      </c>
      <c r="E14" s="21">
        <f t="shared" si="0"/>
        <v>168.31777713941003</v>
      </c>
      <c r="F14" s="21"/>
      <c r="G14" s="21">
        <f t="shared" si="0"/>
        <v>66948.806028021427</v>
      </c>
      <c r="H14" s="21">
        <f t="shared" si="0"/>
        <v>21217.754201326854</v>
      </c>
      <c r="I14" s="21"/>
      <c r="J14" s="21"/>
      <c r="K14" s="21"/>
      <c r="L14" s="21"/>
      <c r="M14" s="21">
        <f t="shared" si="0"/>
        <v>5348.2450998575541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0.17044278739922172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37.810949804045713</v>
      </c>
      <c r="C18" s="23"/>
      <c r="D18" s="23">
        <f t="shared" ref="D18:M18" si="1">D14*D16</f>
        <v>87.854119488046763</v>
      </c>
      <c r="E18" s="23">
        <f t="shared" si="1"/>
        <v>38.208135410646079</v>
      </c>
      <c r="F18" s="23"/>
      <c r="G18" s="23">
        <f t="shared" si="1"/>
        <v>17875.331209481723</v>
      </c>
      <c r="H18" s="23">
        <f t="shared" si="1"/>
        <v>5283.2207961303866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5.6165727523753191E-5</v>
      </c>
      <c r="C50" s="315">
        <f t="shared" ref="C50:P50" si="2">SUM(C51:C52)</f>
        <v>0</v>
      </c>
      <c r="D50" s="315">
        <f t="shared" si="2"/>
        <v>0</v>
      </c>
      <c r="E50" s="315">
        <f t="shared" si="2"/>
        <v>0</v>
      </c>
      <c r="F50" s="315">
        <f t="shared" si="2"/>
        <v>0</v>
      </c>
      <c r="G50" s="315">
        <f t="shared" si="2"/>
        <v>3.5161443438734845E-3</v>
      </c>
      <c r="H50" s="315">
        <f t="shared" si="2"/>
        <v>0</v>
      </c>
      <c r="I50" s="315">
        <f t="shared" si="2"/>
        <v>0</v>
      </c>
      <c r="J50" s="315">
        <f t="shared" si="2"/>
        <v>0</v>
      </c>
      <c r="K50" s="315">
        <f t="shared" si="2"/>
        <v>0</v>
      </c>
      <c r="L50" s="315">
        <f t="shared" si="2"/>
        <v>0</v>
      </c>
      <c r="M50" s="315">
        <f t="shared" si="2"/>
        <v>2.0188922266292718E-4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5.6165727523753191E-5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3.5161443438734845E-3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2.0188922266292718E-4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15.601590978820331</v>
      </c>
      <c r="C54" s="21">
        <f t="shared" ref="C54:P54" si="3">(C50)*10^9/3600</f>
        <v>0</v>
      </c>
      <c r="D54" s="21">
        <f t="shared" si="3"/>
        <v>0</v>
      </c>
      <c r="E54" s="21">
        <f t="shared" si="3"/>
        <v>0</v>
      </c>
      <c r="F54" s="21">
        <f t="shared" si="3"/>
        <v>0</v>
      </c>
      <c r="G54" s="21">
        <f t="shared" si="3"/>
        <v>976.70676218707899</v>
      </c>
      <c r="H54" s="21">
        <f t="shared" si="3"/>
        <v>0</v>
      </c>
      <c r="I54" s="21">
        <f t="shared" si="3"/>
        <v>0</v>
      </c>
      <c r="J54" s="21">
        <f t="shared" si="3"/>
        <v>0</v>
      </c>
      <c r="K54" s="21">
        <f t="shared" si="3"/>
        <v>0</v>
      </c>
      <c r="L54" s="21">
        <f t="shared" si="3"/>
        <v>0</v>
      </c>
      <c r="M54" s="21">
        <f t="shared" si="3"/>
        <v>56.080339628590885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0.17044278739922172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2.6591786542926892</v>
      </c>
      <c r="C58" s="23">
        <f t="shared" ref="C58:P58" ca="1" si="4">C54*C56</f>
        <v>0</v>
      </c>
      <c r="D58" s="23">
        <f t="shared" si="4"/>
        <v>0</v>
      </c>
      <c r="E58" s="23">
        <f t="shared" si="4"/>
        <v>0</v>
      </c>
      <c r="F58" s="23">
        <f t="shared" si="4"/>
        <v>0</v>
      </c>
      <c r="G58" s="23">
        <f t="shared" si="4"/>
        <v>260.78070550395012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9533.0157609603466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8450.9582319737729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7128</v>
      </c>
      <c r="C8" s="545">
        <f>B48</f>
        <v>8385.8823529411748</v>
      </c>
      <c r="D8" s="546"/>
      <c r="E8" s="546">
        <f>E48</f>
        <v>0</v>
      </c>
      <c r="F8" s="547"/>
      <c r="G8" s="548"/>
      <c r="H8" s="546">
        <f>I48</f>
        <v>0</v>
      </c>
      <c r="I8" s="546">
        <f>G48+F48</f>
        <v>0</v>
      </c>
      <c r="J8" s="546">
        <f>H48+D48+C48</f>
        <v>0</v>
      </c>
      <c r="K8" s="546"/>
      <c r="L8" s="546"/>
      <c r="M8" s="546"/>
      <c r="N8" s="549"/>
      <c r="O8" s="550">
        <f>C8*$C$12+D8*$D$12+E8*$E$12+F8*$F$12+G8*$G$12+H8*$H$12+I8*$I$12+J8*$J$12</f>
        <v>1693.9482352941175</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25111.973992934119</v>
      </c>
      <c r="C10" s="560">
        <f t="shared" ref="C10:L10" si="0">SUM(C8:C9)</f>
        <v>8385.8823529411748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1693.9482352941175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10182.857142857143</v>
      </c>
      <c r="C17" s="576">
        <f>B49</f>
        <v>11979.831932773108</v>
      </c>
      <c r="D17" s="577"/>
      <c r="E17" s="577">
        <f>E49</f>
        <v>0</v>
      </c>
      <c r="F17" s="578"/>
      <c r="G17" s="579"/>
      <c r="H17" s="576">
        <f>I49</f>
        <v>0</v>
      </c>
      <c r="I17" s="577">
        <f>G49+F49</f>
        <v>0</v>
      </c>
      <c r="J17" s="577">
        <f>H49+D49+C49</f>
        <v>0</v>
      </c>
      <c r="K17" s="577"/>
      <c r="L17" s="577"/>
      <c r="M17" s="577"/>
      <c r="N17" s="962"/>
      <c r="O17" s="580">
        <f>C17*$C$22+E17*$E$22+H17*$H$22+I17*$I$22+J17*$J$22+D17*$D$22+F17*$F$22+G17*$G$22+K17*$K$22+L17*$L$22</f>
        <v>2419.9260504201679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10182.857142857143</v>
      </c>
      <c r="C20" s="559">
        <f>SUM(C17:C19)</f>
        <v>11979.831932773108</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2419.9260504201679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42008</v>
      </c>
      <c r="C28" s="787">
        <v>9220</v>
      </c>
      <c r="D28" s="637" t="s">
        <v>874</v>
      </c>
      <c r="E28" s="636" t="s">
        <v>875</v>
      </c>
      <c r="F28" s="636" t="s">
        <v>876</v>
      </c>
      <c r="G28" s="636" t="s">
        <v>877</v>
      </c>
      <c r="H28" s="636" t="s">
        <v>878</v>
      </c>
      <c r="I28" s="636" t="s">
        <v>879</v>
      </c>
      <c r="J28" s="786">
        <v>41092</v>
      </c>
      <c r="K28" s="786">
        <v>38534</v>
      </c>
      <c r="L28" s="636" t="s">
        <v>880</v>
      </c>
      <c r="M28" s="636">
        <v>1584</v>
      </c>
      <c r="N28" s="636">
        <v>7128</v>
      </c>
      <c r="O28" s="636">
        <v>10182.857142857143</v>
      </c>
      <c r="P28" s="636">
        <v>20365.714285714286</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1584</v>
      </c>
      <c r="N29" s="594">
        <f>SUM(N28:N28)</f>
        <v>7128</v>
      </c>
      <c r="O29" s="594">
        <f>SUM(O28:O28)</f>
        <v>10182.857142857143</v>
      </c>
      <c r="P29" s="594">
        <f>SUM(P28:P28)</f>
        <v>20365.714285714286</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1584</v>
      </c>
      <c r="N32" s="599">
        <f>SUMIF($Z$28:$Z$28,"landbouw",N28:N28)</f>
        <v>7128</v>
      </c>
      <c r="O32" s="599">
        <f>SUMIF($Z$28:$Z$28,"landbouw",O28:O28)</f>
        <v>10182.857142857143</v>
      </c>
      <c r="P32" s="599">
        <f>SUMIF($Z$28:$Z$28,"landbouw",P28:P28)</f>
        <v>20365.714285714286</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0.58823529411764697</v>
      </c>
      <c r="C45" s="619">
        <f>IF(ISERROR(N29/(O29+N29)),0,N29/(N29+O29))</f>
        <v>0.41176470588235287</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8385.8823529411748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11979.831932773108</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2021-06-29T14:19:31Z</dcterms:modified>
</cp:coreProperties>
</file>