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2" i="13"/>
  <c r="B36" i="13"/>
  <c r="B33"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2" i="59"/>
  <c r="C29" i="20"/>
  <c r="C20" i="16"/>
  <c r="C22" i="16" s="1"/>
  <c r="D43" i="14" s="1"/>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<sst xmlns="http://schemas.openxmlformats.org/spreadsheetml/2006/main" count="2438" uniqueCount="880">
  <si>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</si>
  <si>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</si>
  <si>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</si>
  <si>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</si>
  <si>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</si>
  <si>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</si>
  <si>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</si>
  <si>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</si>
  <si>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</si>
  <si>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</si>
  <si>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</si>
  <si>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</si>
  <si>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</si>
  <si>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</si>
  <si>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</si>
  <si>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</si>
  <si>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</si>
  <si>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</si>
  <si>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</si>
  <si>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</si>
  <si>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</si>
  <si>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</si>
  <si>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</si>
  <si>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</si>
  <si>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</si>
  <si>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</si>
  <si>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</si>
  <si>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</si>
  <si>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</si>
  <si>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</si>
  <si>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</si>
  <si>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</si>
  <si>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</si>
  <si>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</si>
  <si>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</si>
  <si>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</si>
  <si>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</si>
  <si>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</si>
  <si>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</si>
  <si>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</si>
  <si>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</si>
  <si>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</si>
  <si>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</si>
  <si>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</si>
  <si>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</si>
  <si>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</si>
  <si>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</si>
  <si>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</si>
  <si>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</si>
  <si>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</si>
  <si>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</si>
  <si>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</si>
  <si>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</si>
  <si>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</si>
  <si>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</si>
  <si>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</si>
  <si>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</si>
  <si>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</si>
  <si>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</si>
  <si>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</si>
  <si>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</si>
  <si>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</si>
  <si>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</si>
  <si>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</si>
  <si>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</si>
  <si>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</si>
  <si>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</si>
  <si>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</si>
  <si>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</si>
  <si>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</si>
  <si>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</si>
  <si>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</si>
  <si>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</si>
  <si>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</si>
  <si>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</si>
  <si>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</si>
  <si>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</si>
  <si>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</si>
  <si>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</si>
  <si>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</si>
  <si>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</si>
  <si>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</si>
  <si>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</si>
  <si>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</si>
  <si>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</si>
  <si>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</si>
  <si>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</si>
  <si>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</si>
  <si>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</si>
  <si>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</si>
  <si>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</si>
  <si>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</si>
  <si>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</si>
  <si>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</si>
  <si>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</si>
  <si>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</si>
  <si>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</si>
  <si>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</si>
  <si>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</si>
  <si>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</si>
  <si>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</si>
  <si>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</si>
  <si>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</si>
  <si>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</si>
  <si>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</si>
  <si>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</si>
  <si>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</si>
  <si>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</si>
  <si>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</si>
  <si>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</si>
  <si>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</si>
  <si>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</si>
  <si>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</si>
  <si>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</si>
  <si>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</si>
  <si>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</si>
  <si>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</si>
  <si>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</si>
  <si>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</si>
  <si>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</si>
  <si>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</si>
  <si>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</si>
  <si>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</si>
  <si>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</si>
  <si>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</si>
  <si>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</si>
  <si>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</si>
  <si>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</si>
  <si>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</si>
  <si>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</si>
  <si>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</si>
  <si>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</si>
  <si>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</si>
  <si>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</si>
  <si>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</si>
  <si>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</si>
  <si>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</si>
  <si>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</si>
  <si>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</si>
  <si>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</si>
  <si>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</si>
  <si>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</si>
  <si>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</si>
  <si>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</si>
  <si>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</si>
  <si>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</si>
  <si>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</si>
  <si>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</si>
  <si>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</si>
  <si>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</si>
  <si>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</si>
  <si>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</si>
  <si>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</si>
  <si>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</si>
  <si>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</si>
  <si>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</si>
  <si>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</si>
  <si>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</si>
  <si>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</si>
  <si>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</si>
  <si>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</si>
  <si>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</si>
  <si>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</si>
  <si>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</si>
  <si>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</si>
  <si>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</si>
  <si>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</si>
  <si>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</si>
  <si>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</si>
  <si>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</si>
  <si>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</si>
  <si>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</si>
  <si>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</si>
  <si>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</si>
  <si>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</si>
  <si>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</si>
  <si>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</si>
  <si>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</si>
  <si>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</si>
  <si>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</si>
  <si>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</si>
  <si>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</si>
  <si>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</si>
  <si>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</si>
  <si>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</si>
  <si>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</si>
  <si>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</si>
  <si>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</si>
  <si>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</si>
  <si>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</si>
  <si>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</si>
  <si>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</si>
  <si>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</si>
  <si>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</si>
  <si>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</si>
  <si>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</si>
  <si>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</si>
  <si>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</si>
  <si>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</si>
  <si>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</si>
  <si>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</si>
  <si>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</si>
  <si>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</si>
  <si>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</si>
  <si>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</si>
  <si>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</si>
  <si>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</si>
  <si>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</si>
  <si>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</si>
  <si>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</si>
  <si>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</si>
  <si>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</si>
  <si>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</si>
  <si>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</si>
  <si>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</si>
  <si>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</si>
  <si>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</si>
  <si>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</si>
  <si>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</si>
  <si>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</si>
  <si>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</si>
  <si>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</si>
  <si>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</si>
  <si>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</si>
  <si>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</si>
  <si>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</si>
  <si>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</si>
  <si>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</si>
  <si>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</si>
  <si>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</si>
  <si>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</si>
  <si>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</si>
  <si>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</si>
  <si>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</si>
  <si>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</si>
  <si>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</si>
  <si>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</si>
  <si>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</si>
  <si>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</si>
  <si>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</si>
  <si>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</si>
  <si>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</si>
  <si>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</si>
  <si>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</si>
  <si>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</si>
  <si>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</si>
  <si>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</si>
  <si>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</si>
  <si>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</si>
  <si>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</si>
  <si>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</si>
  <si>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</si>
  <si>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</si>
  <si>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</si>
  <si>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</si>
  <si>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</si>
  <si>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</si>
  <si>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</si>
  <si>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</si>
  <si>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</si>
  <si>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</si>
  <si>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</si>
  <si>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</si>
  <si>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</si>
  <si>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</si>
  <si>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</si>
  <si>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</si>
  <si>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</si>
  <si>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</si>
  <si>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</si>
  <si>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</si>
  <si>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</si>
  <si>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</si>
  <si>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</si>
  <si>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</si>
  <si>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</si>
  <si>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</si>
  <si>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</si>
  <si>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</si>
  <si>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</si>
  <si>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</si>
  <si>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</si>
  <si>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</si>
  <si>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</si>
  <si>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</si>
  <si>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</si>
  <si>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</si>
  <si>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</si>
  <si>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</si>
  <si>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</si>
  <si>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</si>
  <si>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</si>
  <si>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</si>
  <si>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</si>
  <si>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</si>
  <si>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</si>
  <si>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</si>
  <si>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</si>
  <si>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</si>
  <si>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</si>
  <si>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</si>
  <si>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</si>
  <si>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</si>
  <si>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</si>
  <si>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</si>
  <si>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</si>
  <si>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</si>
  <si>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</si>
  <si>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</si>
  <si>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</si>
  <si>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</si>
  <si>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</si>
  <si>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</si>
  <si>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</si>
  <si>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</si>
  <si>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</si>
  <si>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</si>
  <si>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</si>
  <si>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</si>
  <si>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</si>
  <si>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</si>
  <si>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</si>
  <si>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</si>
  <si>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</si>
  <si>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</si>
  <si>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</si>
  <si>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</si>
  <si>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</si>
  <si>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</si>
  <si>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</si>
  <si>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</si>
  <si>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</si>
  <si>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</si>
  <si>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</si>
  <si>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</si>
  <si>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</si>
  <si>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</si>
  <si>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</si>
  <si>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</si>
  <si>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</si>
  <si>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</si>
  <si>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</si>
  <si>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</si>
  <si>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</si>
  <si>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</si>
  <si>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</si>
  <si>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</si>
  <si>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</si>
  <si>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</si>
  <si>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</si>
  <si>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</si>
  <si>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</si>
  <si>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</si>
  <si>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</si>
  <si>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</si>
  <si>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</si>
  <si>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</si>
  <si>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</si>
  <si>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</si>
  <si>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</si>
  <si>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</si>
  <si>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</si>
  <si>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</si>
  <si>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</si>
  <si>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</si>
  <si>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</si>
  <si>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</si>
  <si>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</si>
  <si>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</si>
  <si>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</si>
  <si>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</si>
  <si>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</si>
  <si>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</si>
  <si>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</si>
  <si>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</si>
  <si>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</si>
  <si>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</si>
  <si>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</si>
  <si>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</si>
  <si>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</si>
  <si>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</si>
  <si>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</si>
  <si>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</si>
  <si>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</si>
  <si>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</si>
  <si>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</si>
  <si>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</si>
  <si>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</si>
  <si>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</si>
  <si>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</si>
  <si>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</si>
  <si>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</si>
  <si>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</si>
  <si>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</si>
  <si>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</si>
  <si>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</si>
  <si>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</si>
  <si>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</si>
  <si>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</si>
  <si>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</si>
  <si>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</si>
  <si>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</si>
  <si>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</si>
  <si>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</si>
  <si>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</si>
  <si>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</si>
  <si>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</si>
  <si>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</si>
  <si>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</si>
  <si>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</si>
  <si>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</si>
  <si>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</si>
  <si>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</si>
  <si>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</si>
  <si>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</si>
  <si>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</si>
  <si>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</si>
  <si>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</si>
  <si>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</si>
  <si>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</si>
  <si>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</si>
  <si>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</si>
  <si>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</si>
  <si>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</si>
  <si>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</si>
  <si>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</si>
  <si>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</si>
  <si>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</si>
  <si>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</si>
  <si>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</si>
  <si>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</si>
  <si>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</si>
  <si>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</si>
  <si>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</si>
  <si>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</si>
  <si>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</si>
  <si>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</si>
  <si>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</si>
  <si>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</si>
  <si>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</si>
  <si>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</si>
  <si>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</si>
  <si>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</si>
  <si>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</si>
  <si>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</si>
  <si>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</si>
  <si>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</si>
  <si>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</si>
  <si>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</si>
  <si>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</si>
  <si>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</si>
  <si>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</si>
  <si>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</si>
  <si>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</si>
  <si>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</si>
  <si>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</si>
  <si>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</si>
  <si>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</si>
  <si>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</si>
  <si>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</si>
  <si>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</si>
  <si>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</si>
  <si>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</si>
  <si>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</si>
  <si>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</si>
  <si>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</si>
  <si>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</si>
  <si>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</si>
  <si>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</si>
  <si>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</si>
  <si>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</si>
  <si>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</si>
  <si>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</si>
  <si>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</si>
  <si>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</si>
  <si>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</si>
  <si>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</si>
  <si>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</si>
  <si>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</si>
  <si>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</si>
  <si>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</si>
  <si>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</si>
  <si>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</si>
  <si>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</si>
  <si>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</si>
  <si>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</si>
  <si>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</si>
  <si>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</si>
  <si>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</si>
  <si>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</si>
  <si>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</si>
  <si>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</si>
  <si>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</si>
  <si>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</si>
  <si>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</si>
  <si>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</si>
  <si>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</si>
  <si>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</si>
  <si>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</si>
  <si>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</si>
  <si>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</si>
  <si>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</si>
  <si>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</si>
  <si>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</si>
  <si>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</si>
  <si>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</si>
  <si>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</si>
  <si>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</si>
  <si>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</si>
  <si>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</si>
  <si>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</si>
  <si>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</si>
  <si>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</si>
  <si>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</si>
  <si>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</si>
  <si>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</si>
  <si>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</si>
  <si>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</si>
  <si>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</si>
  <si>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</si>
  <si>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</si>
  <si>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</si>
  <si>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</si>
  <si>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</si>
  <si>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</si>
  <si>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</si>
  <si>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</si>
  <si>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</si>
  <si>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</si>
  <si>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</si>
  <si>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</si>
  <si>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</si>
  <si>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</si>
  <si>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</si>
  <si>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</si>
  <si>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</si>
  <si>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</si>
  <si>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</si>
  <si>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</si>
  <si>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</si>
  <si>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</si>
  <si>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</si>
  <si>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</si>
  <si>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</si>
  <si>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</si>
  <si>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</si>
  <si>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</si>
  <si>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</si>
  <si>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</si>
  <si>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</si>
  <si>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</si>
  <si>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</si>
  <si>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</si>
  <si>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</si>
  <si>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</si>
  <si>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</si>
  <si>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</si>
  <si>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</si>
  <si>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</si>
  <si>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</si>
  <si>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</si>
  <si>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</si>
  <si>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</si>
  <si>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</si>
  <si>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</si>
  <si>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</si>
  <si>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</si>
  <si>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</si>
  <si>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</si>
  <si>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</si>
  <si>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</si>
  <si>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</si>
  <si>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</si>
  <si>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</si>
  <si>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</si>
  <si>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</si>
  <si>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</si>
  <si>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</si>
  <si>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</si>
  <si>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</si>
  <si>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</si>
  <si>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</si>
  <si>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</si>
  <si>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</si>
  <si>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</si>
  <si>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</si>
  <si>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</si>
  <si>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</si>
  <si>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</si>
  <si>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</si>
  <si>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</si>
  <si>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</si>
  <si>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</si>
  <si>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</si>
  <si>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</si>
  <si>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</si>
  <si>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</si>
  <si>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</si>
  <si>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</si>
  <si>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</si>
  <si>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</si>
  <si>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</si>
  <si>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</si>
  <si>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</si>
  <si>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</si>
  <si>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</si>
  <si>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</si>
  <si>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</si>
  <si>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</si>
  <si>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</si>
  <si>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</si>
  <si>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</si>
  <si>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</si>
  <si>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</si>
  <si>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</si>
  <si>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</si>
  <si>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</si>
  <si>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</si>
  <si>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</si>
  <si>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</si>
  <si>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</si>
  <si>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</si>
  <si>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</si>
  <si>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</si>
  <si>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</si>
  <si>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</si>
  <si>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</si>
  <si>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</si>
  <si>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</si>
  <si>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</si>
  <si>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</si>
  <si>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</si>
  <si>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</si>
  <si>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</si>
  <si>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</si>
  <si>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</si>
  <si>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</si>
  <si>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</si>
  <si>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</si>
  <si>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</si>
  <si>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</si>
  <si>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</si>
  <si>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</si>
  <si>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</si>
  <si>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</si>
  <si>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</si>
  <si>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</si>
  <si>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</si>
  <si>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</si>
  <si>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</si>
  <si>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</si>
  <si>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</si>
  <si>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</si>
  <si>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</si>
  <si>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</si>
  <si>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</si>
  <si>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</si>
  <si>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</si>
  <si>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</si>
  <si>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</si>
  <si>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</si>
  <si>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</si>
  <si>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</si>
  <si>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</si>
  <si>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</si>
  <si>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</si>
  <si>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</si>
  <si>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</si>
  <si>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</si>
  <si>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</si>
  <si>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</si>
  <si>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</si>
  <si>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</si>
  <si>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</si>
  <si>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</si>
  <si>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</si>
  <si>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</si>
  <si>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</si>
  <si>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</si>
  <si>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</si>
  <si>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</si>
  <si>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</si>
  <si>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</si>
  <si>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</si>
  <si>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</si>
  <si>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</si>
  <si>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</si>
  <si>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</si>
  <si>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</si>
  <si>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</si>
  <si>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</si>
  <si>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</si>
  <si>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</si>
  <si>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</si>
  <si>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</si>
  <si>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</si>
  <si>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</si>
  <si>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</si>
  <si>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</si>
  <si>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</si>
  <si>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</si>
  <si>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</si>
  <si>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</si>
  <si>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</si>
  <si>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</si>
  <si>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</si>
  <si>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</si>
  <si>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</si>
  <si>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</si>
  <si>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</si>
  <si>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</si>
  <si>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</si>
  <si>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</si>
  <si>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</si>
  <si>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</si>
  <si>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</si>
  <si>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</si>
  <si>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</si>
  <si>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</si>
  <si>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</si>
  <si>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</si>
  <si>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</si>
  <si>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</si>
  <si>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</si>
  <si>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</si>
  <si>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</si>
  <si>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</si>
  <si>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</si>
  <si>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</si>
  <si>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</si>
  <si>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</si>
  <si>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</si>
  <si>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</si>
  <si>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</si>
  <si>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</si>
  <si>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</si>
  <si>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</si>
  <si>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</si>
  <si>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</si>
  <si>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</si>
  <si>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</si>
  <si>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</si>
  <si>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</si>
  <si>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</si>
  <si>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</si>
  <si>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</si>
  <si>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</si>
  <si>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</si>
  <si>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</si>
  <si>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</si>
  <si>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</si>
  <si>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</si>
  <si>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</si>
  <si>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</si>
  <si>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</si>
  <si>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</si>
  <si>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</si>
  <si>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</si>
  <si>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</si>
  <si>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</si>
  <si>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</si>
  <si>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</si>
  <si>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</si>
  <si>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</si>
  <si>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</si>
  <si>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</si>
  <si>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</si>
  <si>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</si>
  <si>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</si>
  <si>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</si>
  <si>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</si>
  <si>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</si>
  <si>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</si>
  <si>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</si>
  <si>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</si>
  <si>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</si>
  <si>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</si>
  <si>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</si>
  <si>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</si>
  <si>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</si>
  <si>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</si>
  <si>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</si>
  <si>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</si>
  <si>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</si>
  <si>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</si>
  <si>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</si>
  <si>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</si>
  <si>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</si>
  <si>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</si>
  <si>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</si>
  <si>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</si>
  <si>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</si>
  <si>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</si>
  <si>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</si>
  <si>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</si>
  <si>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</si>
  <si>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</si>
  <si>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</si>
  <si>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</si>
  <si>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</si>
  <si>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</si>
  <si>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</si>
  <si>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</si>
  <si>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</si>
  <si>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</si>
  <si>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</si>
  <si>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</si>
  <si>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</si>
  <si>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</si>
  <si>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</si>
  <si>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</si>
  <si>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</si>
  <si>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</si>
  <si>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</si>
  <si>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</si>
  <si>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</si>
  <si>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</si>
  <si>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</si>
  <si>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</si>
  <si>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</si>
  <si>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</si>
  <si>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</si>
  <si>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</si>
  <si>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</si>
  <si>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</si>
  <si>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</si>
  <si>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</si>
  <si>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</si>
  <si>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</si>
  <si>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</si>
  <si>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</si>
  <si>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</si>
  <si>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</si>
  <si>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</si>
  <si>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</si>
  <si>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</si>
  <si>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</si>
  <si>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</si>
  <si>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</si>
  <si>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</si>
  <si>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</si>
  <si>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</si>
  <si>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</si>
  <si>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</si>
  <si>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</si>
  <si>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</si>
  <si>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</si>
  <si>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</si>
  <si>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</si>
  <si>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</si>
  <si>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</si>
  <si>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</si>
  <si>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</si>
  <si>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</si>
  <si>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</si>
  <si>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</si>
  <si>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</si>
  <si>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</si>
  <si>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</si>
  <si>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</si>
  <si>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</si>
  <si>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</si>
  <si>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</si>
  <si>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</si>
  <si>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</si>
  <si>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</si>
  <si>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</si>
  <si>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</si>
  <si>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</si>
  <si>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</si>
  <si>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42003</t>
  </si>
  <si>
    <t>BERLARE</t>
  </si>
  <si>
    <t>referentietaak LNE (2017); Jaarverslag De Lijn</t>
  </si>
  <si>
    <t>waterkracht</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</si>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</sst>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129639.75969711467</c:v>
                </c:pt>
                <c:pt idx="1">
                  <c:v>26243.248999876399</c:v>
                </c:pt>
                <c:pt idx="2">
                  <c:v>1083.8510000000001</c:v>
                </c:pt>
                <c:pt idx="3">
                  <c:v>4404.7177578956862</c:v>
                </c:pt>
                <c:pt idx="4">
                  <c:v>11493.982472598062</c:v>
                </c:pt>
                <c:pt idx="5">
                  <c:v>62906.057845521616</c:v>
                </c:pt>
                <c:pt idx="6">
                  <c:v>745.87721158770762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129639.75969711467</c:v>
                </c:pt>
                <c:pt idx="1">
                  <c:v>26243.248999876399</c:v>
                </c:pt>
                <c:pt idx="2">
                  <c:v>1083.8510000000001</c:v>
                </c:pt>
                <c:pt idx="3">
                  <c:v>4404.7177578956862</c:v>
                </c:pt>
                <c:pt idx="4">
                  <c:v>11493.982472598062</c:v>
                </c:pt>
                <c:pt idx="5">
                  <c:v>62906.057845521616</c:v>
                </c:pt>
                <c:pt idx="6">
                  <c:v>745.87721158770762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23470.284649018638</c:v>
                </c:pt>
                <c:pt idx="1">
                  <c:v>3963.7931012489726</c:v>
                </c:pt>
                <c:pt idx="2">
                  <c:v>93.596824098641008</c:v>
                </c:pt>
                <c:pt idx="3">
                  <c:v>1004.6043485644097</c:v>
                </c:pt>
                <c:pt idx="4">
                  <c:v>1972.2917402662674</c:v>
                </c:pt>
                <c:pt idx="5">
                  <c:v>15570.864550741193</c:v>
                </c:pt>
                <c:pt idx="6">
                  <c:v>186.49122998254711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23470.284649018638</c:v>
                </c:pt>
                <c:pt idx="1">
                  <c:v>3963.7931012489726</c:v>
                </c:pt>
                <c:pt idx="2">
                  <c:v>93.596824098641008</c:v>
                </c:pt>
                <c:pt idx="3">
                  <c:v>1004.6043485644097</c:v>
                </c:pt>
                <c:pt idx="4">
                  <c:v>1972.2917402662674</c:v>
                </c:pt>
                <c:pt idx="5">
                  <c:v>15570.864550741193</c:v>
                </c:pt>
                <c:pt idx="6">
                  <c:v>186.49122998254711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42003</v>
      </c>
      <c r="B6" s="386"/>
      <c r="C6" s="387"/>
    </row>
    <row r="7" spans="1:7" s="384" customFormat="1" ht="15.75" customHeight="1">
      <c r="A7" s="388" t="str">
        <f>txtMunicipality</f>
        <v>BERLARE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12616.061088755454</v>
      </c>
      <c r="D10" s="683">
        <f ca="1">tertiair!C16</f>
        <v>45.5625</v>
      </c>
      <c r="E10" s="683">
        <f ca="1">tertiair!D16</f>
        <v>11678.622801548237</v>
      </c>
      <c r="F10" s="683">
        <f>tertiair!E16</f>
        <v>44.660638204397394</v>
      </c>
      <c r="G10" s="683">
        <f ca="1">tertiair!F16</f>
        <v>2242.30237356423</v>
      </c>
      <c r="H10" s="683">
        <f>tertiair!G16</f>
        <v>0</v>
      </c>
      <c r="I10" s="683">
        <f>tertiair!H16</f>
        <v>0</v>
      </c>
      <c r="J10" s="683">
        <f>tertiair!I16</f>
        <v>0</v>
      </c>
      <c r="K10" s="683">
        <f>tertiair!J16</f>
        <v>1.5048324508977641E-2</v>
      </c>
      <c r="L10" s="683">
        <f>tertiair!K16</f>
        <v>0</v>
      </c>
      <c r="M10" s="683">
        <f ca="1">tertiair!L16</f>
        <v>0</v>
      </c>
      <c r="N10" s="683">
        <f>tertiair!M16</f>
        <v>0</v>
      </c>
      <c r="O10" s="683">
        <f ca="1">tertiair!N16</f>
        <v>580.10549056906314</v>
      </c>
      <c r="P10" s="683">
        <f>tertiair!O16</f>
        <v>14.691782297523464</v>
      </c>
      <c r="Q10" s="684">
        <f>tertiair!P16</f>
        <v>105.07827661299004</v>
      </c>
      <c r="R10" s="686">
        <f ca="1">SUM(C10:Q10)</f>
        <v>27327.099999876402</v>
      </c>
      <c r="S10" s="67"/>
    </row>
    <row r="11" spans="1:19" s="445" customFormat="1">
      <c r="A11" s="804" t="s">
        <v>220</v>
      </c>
      <c r="B11" s="809"/>
      <c r="C11" s="683">
        <f>huishoudens!B8</f>
        <v>28700.609678010067</v>
      </c>
      <c r="D11" s="683">
        <f>huishoudens!C8</f>
        <v>0</v>
      </c>
      <c r="E11" s="683">
        <f>huishoudens!D8</f>
        <v>50568.069675967352</v>
      </c>
      <c r="F11" s="683">
        <f>huishoudens!E8</f>
        <v>1760.8844437780274</v>
      </c>
      <c r="G11" s="683">
        <f>huishoudens!F8</f>
        <v>38575.000445627593</v>
      </c>
      <c r="H11" s="683">
        <f>huishoudens!G8</f>
        <v>0</v>
      </c>
      <c r="I11" s="683">
        <f>huishoudens!H8</f>
        <v>0</v>
      </c>
      <c r="J11" s="683">
        <f>huishoudens!I8</f>
        <v>0</v>
      </c>
      <c r="K11" s="683">
        <f>huishoudens!J8</f>
        <v>219.8431466324048</v>
      </c>
      <c r="L11" s="683">
        <f>huishoudens!K8</f>
        <v>0</v>
      </c>
      <c r="M11" s="683">
        <f>huishoudens!L8</f>
        <v>0</v>
      </c>
      <c r="N11" s="683">
        <f>huishoudens!M8</f>
        <v>0</v>
      </c>
      <c r="O11" s="683">
        <f>huishoudens!N8</f>
        <v>8658.7458030598427</v>
      </c>
      <c r="P11" s="683">
        <f>huishoudens!O8</f>
        <v>408.69539319372859</v>
      </c>
      <c r="Q11" s="684">
        <f>huishoudens!P8</f>
        <v>747.91111084563659</v>
      </c>
      <c r="R11" s="686">
        <f>SUM(C11:Q11)</f>
        <v>129639.75969711467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3089.3958099627971</v>
      </c>
      <c r="D13" s="683">
        <f>industrie!C18</f>
        <v>0</v>
      </c>
      <c r="E13" s="683">
        <f>industrie!D18</f>
        <v>7552.0954809417399</v>
      </c>
      <c r="F13" s="683">
        <f>industrie!E18</f>
        <v>9.7413055445471119</v>
      </c>
      <c r="G13" s="683">
        <f>industrie!F18</f>
        <v>660.20287511699325</v>
      </c>
      <c r="H13" s="683">
        <f>industrie!G18</f>
        <v>0</v>
      </c>
      <c r="I13" s="683">
        <f>industrie!H18</f>
        <v>0</v>
      </c>
      <c r="J13" s="683">
        <f>industrie!I18</f>
        <v>0</v>
      </c>
      <c r="K13" s="683">
        <f>industrie!J18</f>
        <v>4.2252860510916452</v>
      </c>
      <c r="L13" s="683">
        <f>industrie!K18</f>
        <v>0</v>
      </c>
      <c r="M13" s="683">
        <f>industrie!L18</f>
        <v>0</v>
      </c>
      <c r="N13" s="683">
        <f>industrie!M18</f>
        <v>0</v>
      </c>
      <c r="O13" s="683">
        <f>industrie!N18</f>
        <v>178.32171498089073</v>
      </c>
      <c r="P13" s="683">
        <f>industrie!O18</f>
        <v>0</v>
      </c>
      <c r="Q13" s="684">
        <f>industrie!P18</f>
        <v>0</v>
      </c>
      <c r="R13" s="686">
        <f>SUM(C13:Q13)</f>
        <v>11493.982472598062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44406.066576728321</v>
      </c>
      <c r="D16" s="719">
        <f t="shared" ref="D16:R16" ca="1" si="0">SUM(D9:D15)</f>
        <v>45.5625</v>
      </c>
      <c r="E16" s="719">
        <f t="shared" ca="1" si="0"/>
        <v>69798.787958457338</v>
      </c>
      <c r="F16" s="719">
        <f t="shared" si="0"/>
        <v>1815.2863875269718</v>
      </c>
      <c r="G16" s="719">
        <f t="shared" ca="1" si="0"/>
        <v>41477.505694308813</v>
      </c>
      <c r="H16" s="719">
        <f t="shared" si="0"/>
        <v>0</v>
      </c>
      <c r="I16" s="719">
        <f t="shared" si="0"/>
        <v>0</v>
      </c>
      <c r="J16" s="719">
        <f t="shared" si="0"/>
        <v>0</v>
      </c>
      <c r="K16" s="719">
        <f t="shared" si="0"/>
        <v>224.08348100800541</v>
      </c>
      <c r="L16" s="719">
        <f t="shared" si="0"/>
        <v>0</v>
      </c>
      <c r="M16" s="719">
        <f t="shared" ca="1" si="0"/>
        <v>0</v>
      </c>
      <c r="N16" s="719">
        <f t="shared" si="0"/>
        <v>0</v>
      </c>
      <c r="O16" s="719">
        <f t="shared" ca="1" si="0"/>
        <v>9417.1730086097978</v>
      </c>
      <c r="P16" s="719">
        <f t="shared" si="0"/>
        <v>423.38717549125204</v>
      </c>
      <c r="Q16" s="719">
        <f t="shared" si="0"/>
        <v>852.98938745862665</v>
      </c>
      <c r="R16" s="719">
        <f t="shared" ca="1" si="0"/>
        <v>168460.84216958913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11.099767915844504</v>
      </c>
      <c r="D19" s="683">
        <f>transport!C54</f>
        <v>0</v>
      </c>
      <c r="E19" s="683">
        <f>transport!D54</f>
        <v>0</v>
      </c>
      <c r="F19" s="683">
        <f>transport!E54</f>
        <v>0</v>
      </c>
      <c r="G19" s="683">
        <f>transport!F54</f>
        <v>0</v>
      </c>
      <c r="H19" s="683">
        <f>transport!G54</f>
        <v>694.879028480481</v>
      </c>
      <c r="I19" s="683">
        <f>transport!H54</f>
        <v>0</v>
      </c>
      <c r="J19" s="683">
        <f>transport!I54</f>
        <v>0</v>
      </c>
      <c r="K19" s="683">
        <f>transport!J54</f>
        <v>0</v>
      </c>
      <c r="L19" s="683">
        <f>transport!K54</f>
        <v>0</v>
      </c>
      <c r="M19" s="683">
        <f>transport!L54</f>
        <v>0</v>
      </c>
      <c r="N19" s="683">
        <f>transport!M54</f>
        <v>39.898415191382171</v>
      </c>
      <c r="O19" s="683">
        <f>transport!N54</f>
        <v>0</v>
      </c>
      <c r="P19" s="683">
        <f>transport!O54</f>
        <v>0</v>
      </c>
      <c r="Q19" s="684">
        <f>transport!P54</f>
        <v>0</v>
      </c>
      <c r="R19" s="686">
        <f>SUM(C19:Q19)</f>
        <v>745.87721158770762</v>
      </c>
      <c r="S19" s="67"/>
    </row>
    <row r="20" spans="1:19" s="445" customFormat="1">
      <c r="A20" s="804" t="s">
        <v>302</v>
      </c>
      <c r="B20" s="809"/>
      <c r="C20" s="683">
        <f>transport!B14</f>
        <v>137.32051045783462</v>
      </c>
      <c r="D20" s="683">
        <f>transport!C14</f>
        <v>0</v>
      </c>
      <c r="E20" s="683">
        <f>transport!D14</f>
        <v>262.57190473243855</v>
      </c>
      <c r="F20" s="683">
        <f>transport!E14</f>
        <v>101.9595659964868</v>
      </c>
      <c r="G20" s="683">
        <f>transport!F14</f>
        <v>0</v>
      </c>
      <c r="H20" s="683">
        <f>transport!G14</f>
        <v>46033.320805077776</v>
      </c>
      <c r="I20" s="683">
        <f>transport!H14</f>
        <v>12818.976411708965</v>
      </c>
      <c r="J20" s="683">
        <f>transport!I14</f>
        <v>0</v>
      </c>
      <c r="K20" s="683">
        <f>transport!J14</f>
        <v>0</v>
      </c>
      <c r="L20" s="683">
        <f>transport!K14</f>
        <v>0</v>
      </c>
      <c r="M20" s="683">
        <f>transport!L14</f>
        <v>0</v>
      </c>
      <c r="N20" s="683">
        <f>transport!M14</f>
        <v>3551.9086475481149</v>
      </c>
      <c r="O20" s="683">
        <f>transport!N14</f>
        <v>0</v>
      </c>
      <c r="P20" s="683">
        <f>transport!O14</f>
        <v>0</v>
      </c>
      <c r="Q20" s="684">
        <f>transport!P14</f>
        <v>0</v>
      </c>
      <c r="R20" s="686">
        <f>SUM(C20:Q20)</f>
        <v>62906.057845521616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148.42027837367911</v>
      </c>
      <c r="D22" s="807">
        <f t="shared" ref="D22:R22" si="1">SUM(D18:D21)</f>
        <v>0</v>
      </c>
      <c r="E22" s="807">
        <f t="shared" si="1"/>
        <v>262.57190473243855</v>
      </c>
      <c r="F22" s="807">
        <f t="shared" si="1"/>
        <v>101.9595659964868</v>
      </c>
      <c r="G22" s="807">
        <f t="shared" si="1"/>
        <v>0</v>
      </c>
      <c r="H22" s="807">
        <f t="shared" si="1"/>
        <v>46728.199833558254</v>
      </c>
      <c r="I22" s="807">
        <f t="shared" si="1"/>
        <v>12818.976411708965</v>
      </c>
      <c r="J22" s="807">
        <f t="shared" si="1"/>
        <v>0</v>
      </c>
      <c r="K22" s="807">
        <f t="shared" si="1"/>
        <v>0</v>
      </c>
      <c r="L22" s="807">
        <f t="shared" si="1"/>
        <v>0</v>
      </c>
      <c r="M22" s="807">
        <f t="shared" si="1"/>
        <v>0</v>
      </c>
      <c r="N22" s="807">
        <f t="shared" si="1"/>
        <v>3591.8070627394973</v>
      </c>
      <c r="O22" s="807">
        <f t="shared" si="1"/>
        <v>0</v>
      </c>
      <c r="P22" s="807">
        <f t="shared" si="1"/>
        <v>0</v>
      </c>
      <c r="Q22" s="807">
        <f t="shared" si="1"/>
        <v>0</v>
      </c>
      <c r="R22" s="807">
        <f t="shared" si="1"/>
        <v>63651.935057109324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887.03998518431695</v>
      </c>
      <c r="D24" s="683">
        <f>+landbouw!C8</f>
        <v>0</v>
      </c>
      <c r="E24" s="683">
        <f>+landbouw!D8</f>
        <v>458.81465211286002</v>
      </c>
      <c r="F24" s="683">
        <f>+landbouw!E8</f>
        <v>25.406326322162855</v>
      </c>
      <c r="G24" s="683">
        <f>+landbouw!F8</f>
        <v>2807.9103812213066</v>
      </c>
      <c r="H24" s="683">
        <f>+landbouw!G8</f>
        <v>0</v>
      </c>
      <c r="I24" s="683">
        <f>+landbouw!H8</f>
        <v>0</v>
      </c>
      <c r="J24" s="683">
        <f>+landbouw!I8</f>
        <v>0</v>
      </c>
      <c r="K24" s="683">
        <f>+landbouw!J8</f>
        <v>225.54641305504015</v>
      </c>
      <c r="L24" s="683">
        <f>+landbouw!K8</f>
        <v>0</v>
      </c>
      <c r="M24" s="683">
        <f>+landbouw!L8</f>
        <v>0</v>
      </c>
      <c r="N24" s="683">
        <f>+landbouw!M8</f>
        <v>0</v>
      </c>
      <c r="O24" s="683">
        <f>+landbouw!N8</f>
        <v>0</v>
      </c>
      <c r="P24" s="683">
        <f>+landbouw!O8</f>
        <v>0</v>
      </c>
      <c r="Q24" s="684">
        <f>+landbouw!P8</f>
        <v>0</v>
      </c>
      <c r="R24" s="686">
        <f>SUM(C24:Q24)</f>
        <v>4404.7177578956862</v>
      </c>
      <c r="S24" s="67"/>
    </row>
    <row r="25" spans="1:19" s="445" customFormat="1" ht="15" thickBot="1">
      <c r="A25" s="826" t="s">
        <v>696</v>
      </c>
      <c r="B25" s="939"/>
      <c r="C25" s="940">
        <f>IF(Onbekend_ele_kWh="---",0,Onbekend_ele_kWh)/1000+IF(REST_rest_ele_kWh="---",0,REST_rest_ele_kWh)/1000</f>
        <v>1129.5606827763702</v>
      </c>
      <c r="D25" s="940"/>
      <c r="E25" s="940">
        <f>IF(onbekend_gas_kWh="---",0,onbekend_gas_kWh)/1000+IF(REST_rest_gas_kWh="---",0,REST_rest_gas_kWh)/1000</f>
        <v>1061.97507371911</v>
      </c>
      <c r="F25" s="940"/>
      <c r="G25" s="940"/>
      <c r="H25" s="940"/>
      <c r="I25" s="940"/>
      <c r="J25" s="940"/>
      <c r="K25" s="940"/>
      <c r="L25" s="940"/>
      <c r="M25" s="940"/>
      <c r="N25" s="940"/>
      <c r="O25" s="940"/>
      <c r="P25" s="940"/>
      <c r="Q25" s="941"/>
      <c r="R25" s="686">
        <f>SUM(C25:Q25)</f>
        <v>2191.5357564954802</v>
      </c>
      <c r="S25" s="67"/>
    </row>
    <row r="26" spans="1:19" s="445" customFormat="1" ht="15.75" thickBot="1">
      <c r="A26" s="691" t="s">
        <v>697</v>
      </c>
      <c r="B26" s="812"/>
      <c r="C26" s="807">
        <f>SUM(C24:C25)</f>
        <v>2016.6006679606871</v>
      </c>
      <c r="D26" s="807">
        <f t="shared" ref="D26:R26" si="2">SUM(D24:D25)</f>
        <v>0</v>
      </c>
      <c r="E26" s="807">
        <f t="shared" si="2"/>
        <v>1520.7897258319699</v>
      </c>
      <c r="F26" s="807">
        <f t="shared" si="2"/>
        <v>25.406326322162855</v>
      </c>
      <c r="G26" s="807">
        <f t="shared" si="2"/>
        <v>2807.9103812213066</v>
      </c>
      <c r="H26" s="807">
        <f t="shared" si="2"/>
        <v>0</v>
      </c>
      <c r="I26" s="807">
        <f t="shared" si="2"/>
        <v>0</v>
      </c>
      <c r="J26" s="807">
        <f t="shared" si="2"/>
        <v>0</v>
      </c>
      <c r="K26" s="807">
        <f t="shared" si="2"/>
        <v>225.54641305504015</v>
      </c>
      <c r="L26" s="807">
        <f t="shared" si="2"/>
        <v>0</v>
      </c>
      <c r="M26" s="807">
        <f t="shared" si="2"/>
        <v>0</v>
      </c>
      <c r="N26" s="807">
        <f t="shared" si="2"/>
        <v>0</v>
      </c>
      <c r="O26" s="807">
        <f t="shared" si="2"/>
        <v>0</v>
      </c>
      <c r="P26" s="807">
        <f t="shared" si="2"/>
        <v>0</v>
      </c>
      <c r="Q26" s="807">
        <f t="shared" si="2"/>
        <v>0</v>
      </c>
      <c r="R26" s="807">
        <f t="shared" si="2"/>
        <v>6596.2535143911664</v>
      </c>
      <c r="S26" s="67"/>
    </row>
    <row r="27" spans="1:19" s="445" customFormat="1" ht="17.25" thickTop="1" thickBot="1">
      <c r="A27" s="692" t="s">
        <v>115</v>
      </c>
      <c r="B27" s="799"/>
      <c r="C27" s="693">
        <f ca="1">C22+C16+C26</f>
        <v>46571.087523062684</v>
      </c>
      <c r="D27" s="693">
        <f t="shared" ref="D27:R27" ca="1" si="3">D22+D16+D26</f>
        <v>45.5625</v>
      </c>
      <c r="E27" s="693">
        <f t="shared" ca="1" si="3"/>
        <v>71582.149589021748</v>
      </c>
      <c r="F27" s="693">
        <f t="shared" si="3"/>
        <v>1942.6522798456215</v>
      </c>
      <c r="G27" s="693">
        <f t="shared" ca="1" si="3"/>
        <v>44285.41607553012</v>
      </c>
      <c r="H27" s="693">
        <f t="shared" si="3"/>
        <v>46728.199833558254</v>
      </c>
      <c r="I27" s="693">
        <f t="shared" si="3"/>
        <v>12818.976411708965</v>
      </c>
      <c r="J27" s="693">
        <f t="shared" si="3"/>
        <v>0</v>
      </c>
      <c r="K27" s="693">
        <f t="shared" si="3"/>
        <v>449.62989406304553</v>
      </c>
      <c r="L27" s="693">
        <f t="shared" si="3"/>
        <v>0</v>
      </c>
      <c r="M27" s="693">
        <f t="shared" ca="1" si="3"/>
        <v>0</v>
      </c>
      <c r="N27" s="693">
        <f t="shared" si="3"/>
        <v>3591.8070627394973</v>
      </c>
      <c r="O27" s="693">
        <f t="shared" ca="1" si="3"/>
        <v>9417.1730086097978</v>
      </c>
      <c r="P27" s="693">
        <f t="shared" si="3"/>
        <v>423.38717549125204</v>
      </c>
      <c r="Q27" s="693">
        <f t="shared" si="3"/>
        <v>852.98938745862665</v>
      </c>
      <c r="R27" s="693">
        <f t="shared" ca="1" si="3"/>
        <v>238709.03074108963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1089.4700937139453</v>
      </c>
      <c r="D40" s="683">
        <f ca="1">tertiair!C20</f>
        <v>0</v>
      </c>
      <c r="E40" s="683">
        <f ca="1">tertiair!D20</f>
        <v>2359.0818059127441</v>
      </c>
      <c r="F40" s="683">
        <f>tertiair!E20</f>
        <v>10.137964872398209</v>
      </c>
      <c r="G40" s="683">
        <f ca="1">tertiair!F20</f>
        <v>598.69473374164943</v>
      </c>
      <c r="H40" s="683">
        <f>tertiair!G20</f>
        <v>0</v>
      </c>
      <c r="I40" s="683">
        <f>tertiair!H20</f>
        <v>0</v>
      </c>
      <c r="J40" s="683">
        <f>tertiair!I20</f>
        <v>0</v>
      </c>
      <c r="K40" s="683">
        <f>tertiair!J20</f>
        <v>5.3271068761780848E-3</v>
      </c>
      <c r="L40" s="683">
        <f>tertiair!K20</f>
        <v>0</v>
      </c>
      <c r="M40" s="683">
        <f ca="1">tertiair!L20</f>
        <v>0</v>
      </c>
      <c r="N40" s="683">
        <f>tertiair!M20</f>
        <v>0</v>
      </c>
      <c r="O40" s="683">
        <f ca="1">tertiair!N20</f>
        <v>0</v>
      </c>
      <c r="P40" s="683">
        <f>tertiair!O20</f>
        <v>0</v>
      </c>
      <c r="Q40" s="766">
        <f>tertiair!P20</f>
        <v>0</v>
      </c>
      <c r="R40" s="845">
        <f t="shared" ca="1" si="4"/>
        <v>4057.3899253476134</v>
      </c>
    </row>
    <row r="41" spans="1:18">
      <c r="A41" s="817" t="s">
        <v>220</v>
      </c>
      <c r="B41" s="824"/>
      <c r="C41" s="683">
        <f ca="1">huishoudens!B12</f>
        <v>2478.4642128451801</v>
      </c>
      <c r="D41" s="683">
        <f ca="1">huishoudens!C12</f>
        <v>0</v>
      </c>
      <c r="E41" s="683">
        <f>huishoudens!D12</f>
        <v>10214.750074545405</v>
      </c>
      <c r="F41" s="683">
        <f>huishoudens!E12</f>
        <v>399.72076873761222</v>
      </c>
      <c r="G41" s="683">
        <f>huishoudens!F12</f>
        <v>10299.525118982569</v>
      </c>
      <c r="H41" s="683">
        <f>huishoudens!G12</f>
        <v>0</v>
      </c>
      <c r="I41" s="683">
        <f>huishoudens!H12</f>
        <v>0</v>
      </c>
      <c r="J41" s="683">
        <f>huishoudens!I12</f>
        <v>0</v>
      </c>
      <c r="K41" s="683">
        <f>huishoudens!J12</f>
        <v>77.824473907871294</v>
      </c>
      <c r="L41" s="683">
        <f>huishoudens!K12</f>
        <v>0</v>
      </c>
      <c r="M41" s="683">
        <f>huishoudens!L12</f>
        <v>0</v>
      </c>
      <c r="N41" s="683">
        <f>huishoudens!M12</f>
        <v>0</v>
      </c>
      <c r="O41" s="683">
        <f>huishoudens!N12</f>
        <v>0</v>
      </c>
      <c r="P41" s="683">
        <f>huishoudens!O12</f>
        <v>0</v>
      </c>
      <c r="Q41" s="766">
        <f>huishoudens!P12</f>
        <v>0</v>
      </c>
      <c r="R41" s="845">
        <f t="shared" ca="1" si="4"/>
        <v>23470.284649018638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266.78725783910005</v>
      </c>
      <c r="D43" s="683">
        <f ca="1">industrie!C22</f>
        <v>0</v>
      </c>
      <c r="E43" s="683">
        <f>industrie!D22</f>
        <v>1525.5232871502315</v>
      </c>
      <c r="F43" s="683">
        <f>industrie!E22</f>
        <v>2.2112763586121944</v>
      </c>
      <c r="G43" s="683">
        <f>industrie!F22</f>
        <v>176.27416765623721</v>
      </c>
      <c r="H43" s="683">
        <f>industrie!G22</f>
        <v>0</v>
      </c>
      <c r="I43" s="683">
        <f>industrie!H22</f>
        <v>0</v>
      </c>
      <c r="J43" s="683">
        <f>industrie!I22</f>
        <v>0</v>
      </c>
      <c r="K43" s="683">
        <f>industrie!J22</f>
        <v>1.4957512620864424</v>
      </c>
      <c r="L43" s="683">
        <f>industrie!K22</f>
        <v>0</v>
      </c>
      <c r="M43" s="683">
        <f>industrie!L22</f>
        <v>0</v>
      </c>
      <c r="N43" s="683">
        <f>industrie!M22</f>
        <v>0</v>
      </c>
      <c r="O43" s="683">
        <f>industrie!N22</f>
        <v>0</v>
      </c>
      <c r="P43" s="683">
        <f>industrie!O22</f>
        <v>0</v>
      </c>
      <c r="Q43" s="766">
        <f>industrie!P22</f>
        <v>0</v>
      </c>
      <c r="R43" s="844">
        <f t="shared" ca="1" si="4"/>
        <v>1972.2917402662674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3834.7215643982258</v>
      </c>
      <c r="D46" s="719">
        <f t="shared" ref="D46:Q46" ca="1" si="5">SUM(D39:D45)</f>
        <v>0</v>
      </c>
      <c r="E46" s="719">
        <f t="shared" ca="1" si="5"/>
        <v>14099.355167608383</v>
      </c>
      <c r="F46" s="719">
        <f t="shared" si="5"/>
        <v>412.07000996862257</v>
      </c>
      <c r="G46" s="719">
        <f t="shared" ca="1" si="5"/>
        <v>11074.494020380454</v>
      </c>
      <c r="H46" s="719">
        <f t="shared" si="5"/>
        <v>0</v>
      </c>
      <c r="I46" s="719">
        <f t="shared" si="5"/>
        <v>0</v>
      </c>
      <c r="J46" s="719">
        <f t="shared" si="5"/>
        <v>0</v>
      </c>
      <c r="K46" s="719">
        <f t="shared" si="5"/>
        <v>79.325552276833918</v>
      </c>
      <c r="L46" s="719">
        <f t="shared" si="5"/>
        <v>0</v>
      </c>
      <c r="M46" s="719">
        <f t="shared" ca="1" si="5"/>
        <v>0</v>
      </c>
      <c r="N46" s="719">
        <f t="shared" si="5"/>
        <v>0</v>
      </c>
      <c r="O46" s="719">
        <f t="shared" ca="1" si="5"/>
        <v>0</v>
      </c>
      <c r="P46" s="719">
        <f t="shared" si="5"/>
        <v>0</v>
      </c>
      <c r="Q46" s="719">
        <f t="shared" si="5"/>
        <v>0</v>
      </c>
      <c r="R46" s="719">
        <f ca="1">SUM(R39:R45)</f>
        <v>29499.966314632518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0.95852937825866935</v>
      </c>
      <c r="D49" s="683">
        <f ca="1">transport!C58</f>
        <v>0</v>
      </c>
      <c r="E49" s="683">
        <f>transport!D58</f>
        <v>0</v>
      </c>
      <c r="F49" s="683">
        <f>transport!E58</f>
        <v>0</v>
      </c>
      <c r="G49" s="683">
        <f>transport!F58</f>
        <v>0</v>
      </c>
      <c r="H49" s="683">
        <f>transport!G58</f>
        <v>185.53270060428844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186.49122998254711</v>
      </c>
    </row>
    <row r="50" spans="1:18">
      <c r="A50" s="820" t="s">
        <v>302</v>
      </c>
      <c r="B50" s="830"/>
      <c r="C50" s="689">
        <f ca="1">transport!B18</f>
        <v>11.858423032739314</v>
      </c>
      <c r="D50" s="689">
        <f>transport!C18</f>
        <v>0</v>
      </c>
      <c r="E50" s="689">
        <f>transport!D18</f>
        <v>53.039524755952591</v>
      </c>
      <c r="F50" s="689">
        <f>transport!E18</f>
        <v>23.144821481202506</v>
      </c>
      <c r="G50" s="689">
        <f>transport!F18</f>
        <v>0</v>
      </c>
      <c r="H50" s="689">
        <f>transport!G18</f>
        <v>12290.896654955766</v>
      </c>
      <c r="I50" s="689">
        <f>transport!H18</f>
        <v>3191.9251265155322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15570.864550741193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12.816952410997983</v>
      </c>
      <c r="D52" s="719">
        <f t="shared" ref="D52:Q52" ca="1" si="6">SUM(D48:D51)</f>
        <v>0</v>
      </c>
      <c r="E52" s="719">
        <f t="shared" si="6"/>
        <v>53.039524755952591</v>
      </c>
      <c r="F52" s="719">
        <f t="shared" si="6"/>
        <v>23.144821481202506</v>
      </c>
      <c r="G52" s="719">
        <f t="shared" si="6"/>
        <v>0</v>
      </c>
      <c r="H52" s="719">
        <f t="shared" si="6"/>
        <v>12476.429355560054</v>
      </c>
      <c r="I52" s="719">
        <f t="shared" si="6"/>
        <v>3191.9251265155322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15757.355780723739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76.601050754907845</v>
      </c>
      <c r="D54" s="689">
        <f ca="1">+landbouw!C12</f>
        <v>0</v>
      </c>
      <c r="E54" s="689">
        <f>+landbouw!D12</f>
        <v>92.680559726797725</v>
      </c>
      <c r="F54" s="689">
        <f>+landbouw!E12</f>
        <v>5.7672360751309686</v>
      </c>
      <c r="G54" s="689">
        <f>+landbouw!F12</f>
        <v>749.71207178608893</v>
      </c>
      <c r="H54" s="689">
        <f>+landbouw!G12</f>
        <v>0</v>
      </c>
      <c r="I54" s="689">
        <f>+landbouw!H12</f>
        <v>0</v>
      </c>
      <c r="J54" s="689">
        <f>+landbouw!I12</f>
        <v>0</v>
      </c>
      <c r="K54" s="689">
        <f>+landbouw!J12</f>
        <v>79.843430221484212</v>
      </c>
      <c r="L54" s="689">
        <f>+landbouw!K12</f>
        <v>0</v>
      </c>
      <c r="M54" s="689">
        <f>+landbouw!L12</f>
        <v>0</v>
      </c>
      <c r="N54" s="689">
        <f>+landbouw!M12</f>
        <v>0</v>
      </c>
      <c r="O54" s="689">
        <f>+landbouw!N12</f>
        <v>0</v>
      </c>
      <c r="P54" s="689">
        <f>+landbouw!O12</f>
        <v>0</v>
      </c>
      <c r="Q54" s="690">
        <f>+landbouw!P12</f>
        <v>0</v>
      </c>
      <c r="R54" s="718">
        <f ca="1">SUM(C54:Q54)</f>
        <v>1004.6043485644097</v>
      </c>
    </row>
    <row r="55" spans="1:18" ht="15" thickBot="1">
      <c r="A55" s="820" t="s">
        <v>696</v>
      </c>
      <c r="B55" s="830"/>
      <c r="C55" s="689">
        <f ca="1">C25*'EF ele_warmte'!B12</f>
        <v>97.544120487558473</v>
      </c>
      <c r="D55" s="689"/>
      <c r="E55" s="689">
        <f>E25*EF_CO2_aardgas</f>
        <v>214.51896489126023</v>
      </c>
      <c r="F55" s="689"/>
      <c r="G55" s="689"/>
      <c r="H55" s="689"/>
      <c r="I55" s="689"/>
      <c r="J55" s="689"/>
      <c r="K55" s="689"/>
      <c r="L55" s="689"/>
      <c r="M55" s="689"/>
      <c r="N55" s="689"/>
      <c r="O55" s="689"/>
      <c r="P55" s="689"/>
      <c r="Q55" s="690"/>
      <c r="R55" s="718">
        <f ca="1">SUM(C55:Q55)</f>
        <v>312.0630853788187</v>
      </c>
    </row>
    <row r="56" spans="1:18" ht="15.75" thickBot="1">
      <c r="A56" s="818" t="s">
        <v>697</v>
      </c>
      <c r="B56" s="831"/>
      <c r="C56" s="719">
        <f ca="1">SUM(C54:C55)</f>
        <v>174.14517124246632</v>
      </c>
      <c r="D56" s="719">
        <f t="shared" ref="D56:Q56" ca="1" si="7">SUM(D54:D55)</f>
        <v>0</v>
      </c>
      <c r="E56" s="719">
        <f t="shared" si="7"/>
        <v>307.19952461805792</v>
      </c>
      <c r="F56" s="719">
        <f t="shared" si="7"/>
        <v>5.7672360751309686</v>
      </c>
      <c r="G56" s="719">
        <f t="shared" si="7"/>
        <v>749.71207178608893</v>
      </c>
      <c r="H56" s="719">
        <f t="shared" si="7"/>
        <v>0</v>
      </c>
      <c r="I56" s="719">
        <f t="shared" si="7"/>
        <v>0</v>
      </c>
      <c r="J56" s="719">
        <f t="shared" si="7"/>
        <v>0</v>
      </c>
      <c r="K56" s="719">
        <f t="shared" si="7"/>
        <v>79.843430221484212</v>
      </c>
      <c r="L56" s="719">
        <f t="shared" si="7"/>
        <v>0</v>
      </c>
      <c r="M56" s="719">
        <f t="shared" si="7"/>
        <v>0</v>
      </c>
      <c r="N56" s="719">
        <f t="shared" si="7"/>
        <v>0</v>
      </c>
      <c r="O56" s="719">
        <f t="shared" si="7"/>
        <v>0</v>
      </c>
      <c r="P56" s="719">
        <f t="shared" si="7"/>
        <v>0</v>
      </c>
      <c r="Q56" s="720">
        <f t="shared" si="7"/>
        <v>0</v>
      </c>
      <c r="R56" s="721">
        <f ca="1">SUM(R54:R55)</f>
        <v>1316.6674339432284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4021.6836880516903</v>
      </c>
      <c r="D61" s="727">
        <f t="shared" ref="D61:Q61" ca="1" si="8">D46+D52+D56</f>
        <v>0</v>
      </c>
      <c r="E61" s="727">
        <f t="shared" ca="1" si="8"/>
        <v>14459.594216982392</v>
      </c>
      <c r="F61" s="727">
        <f t="shared" si="8"/>
        <v>440.98206752495605</v>
      </c>
      <c r="G61" s="727">
        <f t="shared" ca="1" si="8"/>
        <v>11824.206092166543</v>
      </c>
      <c r="H61" s="727">
        <f t="shared" si="8"/>
        <v>12476.429355560054</v>
      </c>
      <c r="I61" s="727">
        <f t="shared" si="8"/>
        <v>3191.9251265155322</v>
      </c>
      <c r="J61" s="727">
        <f t="shared" si="8"/>
        <v>0</v>
      </c>
      <c r="K61" s="727">
        <f t="shared" si="8"/>
        <v>159.16898249831814</v>
      </c>
      <c r="L61" s="727">
        <f t="shared" si="8"/>
        <v>0</v>
      </c>
      <c r="M61" s="727">
        <f t="shared" ca="1" si="8"/>
        <v>0</v>
      </c>
      <c r="N61" s="727">
        <f t="shared" si="8"/>
        <v>0</v>
      </c>
      <c r="O61" s="727">
        <f t="shared" ca="1" si="8"/>
        <v>0</v>
      </c>
      <c r="P61" s="727">
        <f t="shared" si="8"/>
        <v>0</v>
      </c>
      <c r="Q61" s="727">
        <f t="shared" si="8"/>
        <v>0</v>
      </c>
      <c r="R61" s="727">
        <f ca="1">R46+R52+R56</f>
        <v>46573.989529299484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8.6355803610128137E-2</v>
      </c>
      <c r="D63" s="773">
        <f t="shared" ca="1" si="9"/>
        <v>0</v>
      </c>
      <c r="E63" s="965">
        <f t="shared" ca="1" si="9"/>
        <v>0.20199999999999999</v>
      </c>
      <c r="F63" s="773">
        <f t="shared" si="9"/>
        <v>0.22699999999999998</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23314.440719739981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5018.4830564824751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40.5</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47.647058823529413</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28373.423776222458</v>
      </c>
      <c r="C78" s="745">
        <f>SUM(C72:C77)</f>
        <v>0</v>
      </c>
      <c r="D78" s="746">
        <f t="shared" ref="D78:H78" si="10">SUM(D76:D77)</f>
        <v>0</v>
      </c>
      <c r="E78" s="746">
        <f t="shared" si="10"/>
        <v>0</v>
      </c>
      <c r="F78" s="746">
        <f t="shared" si="10"/>
        <v>0</v>
      </c>
      <c r="G78" s="746">
        <f t="shared" si="10"/>
        <v>0</v>
      </c>
      <c r="H78" s="746">
        <f t="shared" si="10"/>
        <v>0</v>
      </c>
      <c r="I78" s="746">
        <f>SUM(I76:I77)</f>
        <v>47.647058823529413</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45.5625</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53.602941176470587</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45.5625</v>
      </c>
      <c r="C90" s="745">
        <f>SUM(C87:C89)</f>
        <v>0</v>
      </c>
      <c r="D90" s="745">
        <f t="shared" ref="D90:H90" si="12">SUM(D87:D89)</f>
        <v>0</v>
      </c>
      <c r="E90" s="745">
        <f t="shared" si="12"/>
        <v>0</v>
      </c>
      <c r="F90" s="745">
        <f t="shared" si="12"/>
        <v>0</v>
      </c>
      <c r="G90" s="745">
        <f t="shared" si="12"/>
        <v>0</v>
      </c>
      <c r="H90" s="745">
        <f t="shared" si="12"/>
        <v>0</v>
      </c>
      <c r="I90" s="745">
        <f>SUM(I87:I89)</f>
        <v>53.602941176470587</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28700.609678010067</v>
      </c>
      <c r="C4" s="449">
        <f>huishoudens!C8</f>
        <v>0</v>
      </c>
      <c r="D4" s="449">
        <f>huishoudens!D8</f>
        <v>50568.069675967352</v>
      </c>
      <c r="E4" s="449">
        <f>huishoudens!E8</f>
        <v>1760.8844437780274</v>
      </c>
      <c r="F4" s="449">
        <f>huishoudens!F8</f>
        <v>38575.000445627593</v>
      </c>
      <c r="G4" s="449">
        <f>huishoudens!G8</f>
        <v>0</v>
      </c>
      <c r="H4" s="449">
        <f>huishoudens!H8</f>
        <v>0</v>
      </c>
      <c r="I4" s="449">
        <f>huishoudens!I8</f>
        <v>0</v>
      </c>
      <c r="J4" s="449">
        <f>huishoudens!J8</f>
        <v>219.8431466324048</v>
      </c>
      <c r="K4" s="449">
        <f>huishoudens!K8</f>
        <v>0</v>
      </c>
      <c r="L4" s="449">
        <f>huishoudens!L8</f>
        <v>0</v>
      </c>
      <c r="M4" s="449">
        <f>huishoudens!M8</f>
        <v>0</v>
      </c>
      <c r="N4" s="449">
        <f>huishoudens!N8</f>
        <v>8658.7458030598427</v>
      </c>
      <c r="O4" s="449">
        <f>huishoudens!O8</f>
        <v>408.69539319372859</v>
      </c>
      <c r="P4" s="450">
        <f>huishoudens!P8</f>
        <v>747.91111084563659</v>
      </c>
      <c r="Q4" s="451">
        <f>SUM(B4:P4)</f>
        <v>129639.75969711467</v>
      </c>
    </row>
    <row r="5" spans="1:17">
      <c r="A5" s="448" t="s">
        <v>155</v>
      </c>
      <c r="B5" s="449">
        <f ca="1">tertiair!B16</f>
        <v>11532.210088755453</v>
      </c>
      <c r="C5" s="449">
        <f ca="1">tertiair!C16</f>
        <v>45.5625</v>
      </c>
      <c r="D5" s="449">
        <f ca="1">tertiair!D16</f>
        <v>11678.622801548237</v>
      </c>
      <c r="E5" s="449">
        <f>tertiair!E16</f>
        <v>44.660638204397394</v>
      </c>
      <c r="F5" s="449">
        <f ca="1">tertiair!F16</f>
        <v>2242.30237356423</v>
      </c>
      <c r="G5" s="449">
        <f>tertiair!G16</f>
        <v>0</v>
      </c>
      <c r="H5" s="449">
        <f>tertiair!H16</f>
        <v>0</v>
      </c>
      <c r="I5" s="449">
        <f>tertiair!I16</f>
        <v>0</v>
      </c>
      <c r="J5" s="449">
        <f>tertiair!J16</f>
        <v>1.5048324508977641E-2</v>
      </c>
      <c r="K5" s="449">
        <f>tertiair!K16</f>
        <v>0</v>
      </c>
      <c r="L5" s="449">
        <f ca="1">tertiair!L16</f>
        <v>0</v>
      </c>
      <c r="M5" s="449">
        <f>tertiair!M16</f>
        <v>0</v>
      </c>
      <c r="N5" s="449">
        <f ca="1">tertiair!N16</f>
        <v>580.10549056906314</v>
      </c>
      <c r="O5" s="449">
        <f>tertiair!O16</f>
        <v>14.691782297523464</v>
      </c>
      <c r="P5" s="450">
        <f>tertiair!P16</f>
        <v>105.07827661299004</v>
      </c>
      <c r="Q5" s="448">
        <f t="shared" ref="Q5:Q14" ca="1" si="0">SUM(B5:P5)</f>
        <v>26243.248999876399</v>
      </c>
    </row>
    <row r="6" spans="1:17">
      <c r="A6" s="448" t="s">
        <v>193</v>
      </c>
      <c r="B6" s="449">
        <f>'openbare verlichting'!B8</f>
        <v>1083.8510000000001</v>
      </c>
      <c r="C6" s="449"/>
      <c r="D6" s="449"/>
      <c r="E6" s="449"/>
      <c r="F6" s="449"/>
      <c r="G6" s="449"/>
      <c r="H6" s="449"/>
      <c r="I6" s="449"/>
      <c r="J6" s="449"/>
      <c r="K6" s="449"/>
      <c r="L6" s="449"/>
      <c r="M6" s="449"/>
      <c r="N6" s="449"/>
      <c r="O6" s="449"/>
      <c r="P6" s="450"/>
      <c r="Q6" s="448">
        <f t="shared" si="0"/>
        <v>1083.8510000000001</v>
      </c>
    </row>
    <row r="7" spans="1:17">
      <c r="A7" s="448" t="s">
        <v>111</v>
      </c>
      <c r="B7" s="449">
        <f>landbouw!B8</f>
        <v>887.03998518431695</v>
      </c>
      <c r="C7" s="449">
        <f>landbouw!C8</f>
        <v>0</v>
      </c>
      <c r="D7" s="449">
        <f>landbouw!D8</f>
        <v>458.81465211286002</v>
      </c>
      <c r="E7" s="449">
        <f>landbouw!E8</f>
        <v>25.406326322162855</v>
      </c>
      <c r="F7" s="449">
        <f>landbouw!F8</f>
        <v>2807.9103812213066</v>
      </c>
      <c r="G7" s="449">
        <f>landbouw!G8</f>
        <v>0</v>
      </c>
      <c r="H7" s="449">
        <f>landbouw!H8</f>
        <v>0</v>
      </c>
      <c r="I7" s="449">
        <f>landbouw!I8</f>
        <v>0</v>
      </c>
      <c r="J7" s="449">
        <f>landbouw!J8</f>
        <v>225.54641305504015</v>
      </c>
      <c r="K7" s="449">
        <f>landbouw!K8</f>
        <v>0</v>
      </c>
      <c r="L7" s="449">
        <f>landbouw!L8</f>
        <v>0</v>
      </c>
      <c r="M7" s="449">
        <f>landbouw!M8</f>
        <v>0</v>
      </c>
      <c r="N7" s="449">
        <f>landbouw!N8</f>
        <v>0</v>
      </c>
      <c r="O7" s="449">
        <f>landbouw!O8</f>
        <v>0</v>
      </c>
      <c r="P7" s="450">
        <f>landbouw!P8</f>
        <v>0</v>
      </c>
      <c r="Q7" s="448">
        <f t="shared" si="0"/>
        <v>4404.7177578956862</v>
      </c>
    </row>
    <row r="8" spans="1:17">
      <c r="A8" s="448" t="s">
        <v>617</v>
      </c>
      <c r="B8" s="449">
        <f>industrie!B18</f>
        <v>3089.3958099627971</v>
      </c>
      <c r="C8" s="449">
        <f>industrie!C18</f>
        <v>0</v>
      </c>
      <c r="D8" s="449">
        <f>industrie!D18</f>
        <v>7552.0954809417399</v>
      </c>
      <c r="E8" s="449">
        <f>industrie!E18</f>
        <v>9.7413055445471119</v>
      </c>
      <c r="F8" s="449">
        <f>industrie!F18</f>
        <v>660.20287511699325</v>
      </c>
      <c r="G8" s="449">
        <f>industrie!G18</f>
        <v>0</v>
      </c>
      <c r="H8" s="449">
        <f>industrie!H18</f>
        <v>0</v>
      </c>
      <c r="I8" s="449">
        <f>industrie!I18</f>
        <v>0</v>
      </c>
      <c r="J8" s="449">
        <f>industrie!J18</f>
        <v>4.2252860510916452</v>
      </c>
      <c r="K8" s="449">
        <f>industrie!K18</f>
        <v>0</v>
      </c>
      <c r="L8" s="449">
        <f>industrie!L18</f>
        <v>0</v>
      </c>
      <c r="M8" s="449">
        <f>industrie!M18</f>
        <v>0</v>
      </c>
      <c r="N8" s="449">
        <f>industrie!N18</f>
        <v>178.32171498089073</v>
      </c>
      <c r="O8" s="449">
        <f>industrie!O18</f>
        <v>0</v>
      </c>
      <c r="P8" s="450">
        <f>industrie!P18</f>
        <v>0</v>
      </c>
      <c r="Q8" s="448">
        <f t="shared" si="0"/>
        <v>11493.982472598062</v>
      </c>
    </row>
    <row r="9" spans="1:17" s="454" customFormat="1">
      <c r="A9" s="452" t="s">
        <v>543</v>
      </c>
      <c r="B9" s="453">
        <f>transport!B14</f>
        <v>137.32051045783462</v>
      </c>
      <c r="C9" s="453">
        <f>transport!C14</f>
        <v>0</v>
      </c>
      <c r="D9" s="453">
        <f>transport!D14</f>
        <v>262.57190473243855</v>
      </c>
      <c r="E9" s="453">
        <f>transport!E14</f>
        <v>101.9595659964868</v>
      </c>
      <c r="F9" s="453">
        <f>transport!F14</f>
        <v>0</v>
      </c>
      <c r="G9" s="453">
        <f>transport!G14</f>
        <v>46033.320805077776</v>
      </c>
      <c r="H9" s="453">
        <f>transport!H14</f>
        <v>12818.976411708965</v>
      </c>
      <c r="I9" s="453">
        <f>transport!I14</f>
        <v>0</v>
      </c>
      <c r="J9" s="453">
        <f>transport!J14</f>
        <v>0</v>
      </c>
      <c r="K9" s="453">
        <f>transport!K14</f>
        <v>0</v>
      </c>
      <c r="L9" s="453">
        <f>transport!L14</f>
        <v>0</v>
      </c>
      <c r="M9" s="453">
        <f>transport!M14</f>
        <v>3551.9086475481149</v>
      </c>
      <c r="N9" s="453">
        <f>transport!N14</f>
        <v>0</v>
      </c>
      <c r="O9" s="453">
        <f>transport!O14</f>
        <v>0</v>
      </c>
      <c r="P9" s="453">
        <f>transport!P14</f>
        <v>0</v>
      </c>
      <c r="Q9" s="452">
        <f>SUM(B9:P9)</f>
        <v>62906.057845521616</v>
      </c>
    </row>
    <row r="10" spans="1:17">
      <c r="A10" s="448" t="s">
        <v>533</v>
      </c>
      <c r="B10" s="449">
        <f>transport!B54</f>
        <v>11.099767915844504</v>
      </c>
      <c r="C10" s="449">
        <f>transport!C54</f>
        <v>0</v>
      </c>
      <c r="D10" s="449">
        <f>transport!D54</f>
        <v>0</v>
      </c>
      <c r="E10" s="449">
        <f>transport!E54</f>
        <v>0</v>
      </c>
      <c r="F10" s="449">
        <f>transport!F54</f>
        <v>0</v>
      </c>
      <c r="G10" s="449">
        <f>transport!G54</f>
        <v>694.879028480481</v>
      </c>
      <c r="H10" s="449">
        <f>transport!H54</f>
        <v>0</v>
      </c>
      <c r="I10" s="449">
        <f>transport!I54</f>
        <v>0</v>
      </c>
      <c r="J10" s="449">
        <f>transport!J54</f>
        <v>0</v>
      </c>
      <c r="K10" s="449">
        <f>transport!K54</f>
        <v>0</v>
      </c>
      <c r="L10" s="449">
        <f>transport!L54</f>
        <v>0</v>
      </c>
      <c r="M10" s="449">
        <f>transport!M54</f>
        <v>39.898415191382171</v>
      </c>
      <c r="N10" s="449">
        <f>transport!N54</f>
        <v>0</v>
      </c>
      <c r="O10" s="449">
        <f>transport!O54</f>
        <v>0</v>
      </c>
      <c r="P10" s="450">
        <f>transport!P54</f>
        <v>0</v>
      </c>
      <c r="Q10" s="448">
        <f t="shared" si="0"/>
        <v>745.87721158770762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1129.5606827763702</v>
      </c>
      <c r="C14" s="456"/>
      <c r="D14" s="456">
        <f>'SEAP template'!E25</f>
        <v>1061.97507371911</v>
      </c>
      <c r="E14" s="456"/>
      <c r="F14" s="456"/>
      <c r="G14" s="456"/>
      <c r="H14" s="456"/>
      <c r="I14" s="456"/>
      <c r="J14" s="456"/>
      <c r="K14" s="456"/>
      <c r="L14" s="456"/>
      <c r="M14" s="456"/>
      <c r="N14" s="456"/>
      <c r="O14" s="456"/>
      <c r="P14" s="457"/>
      <c r="Q14" s="448">
        <f t="shared" si="0"/>
        <v>2191.5357564954802</v>
      </c>
    </row>
    <row r="15" spans="1:17" s="460" customFormat="1">
      <c r="A15" s="458" t="s">
        <v>537</v>
      </c>
      <c r="B15" s="459">
        <f ca="1">SUM(B4:B14)</f>
        <v>46571.087523062692</v>
      </c>
      <c r="C15" s="459">
        <f t="shared" ref="C15:Q15" ca="1" si="1">SUM(C4:C14)</f>
        <v>45.5625</v>
      </c>
      <c r="D15" s="459">
        <f t="shared" ca="1" si="1"/>
        <v>71582.149589021734</v>
      </c>
      <c r="E15" s="459">
        <f t="shared" si="1"/>
        <v>1942.6522798456215</v>
      </c>
      <c r="F15" s="459">
        <f t="shared" ca="1" si="1"/>
        <v>44285.41607553012</v>
      </c>
      <c r="G15" s="459">
        <f t="shared" si="1"/>
        <v>46728.199833558254</v>
      </c>
      <c r="H15" s="459">
        <f t="shared" si="1"/>
        <v>12818.976411708965</v>
      </c>
      <c r="I15" s="459">
        <f t="shared" si="1"/>
        <v>0</v>
      </c>
      <c r="J15" s="459">
        <f t="shared" si="1"/>
        <v>449.62989406304553</v>
      </c>
      <c r="K15" s="459">
        <f t="shared" si="1"/>
        <v>0</v>
      </c>
      <c r="L15" s="459">
        <f t="shared" ca="1" si="1"/>
        <v>0</v>
      </c>
      <c r="M15" s="459">
        <f t="shared" si="1"/>
        <v>3591.8070627394973</v>
      </c>
      <c r="N15" s="459">
        <f t="shared" ca="1" si="1"/>
        <v>9417.1730086097978</v>
      </c>
      <c r="O15" s="459">
        <f t="shared" si="1"/>
        <v>423.38717549125204</v>
      </c>
      <c r="P15" s="459">
        <f t="shared" si="1"/>
        <v>852.98938745862665</v>
      </c>
      <c r="Q15" s="459">
        <f t="shared" ca="1" si="1"/>
        <v>238709.03074108963</v>
      </c>
    </row>
    <row r="17" spans="1:17">
      <c r="A17" s="461" t="s">
        <v>538</v>
      </c>
      <c r="B17" s="778">
        <f ca="1">huishoudens!B10</f>
        <v>8.6355803610128137E-2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2478.4642128451801</v>
      </c>
      <c r="C22" s="449">
        <f t="shared" ref="C22:C32" ca="1" si="3">C4*$C$17</f>
        <v>0</v>
      </c>
      <c r="D22" s="449">
        <f t="shared" ref="D22:D32" si="4">D4*$D$17</f>
        <v>10214.750074545405</v>
      </c>
      <c r="E22" s="449">
        <f t="shared" ref="E22:E32" si="5">E4*$E$17</f>
        <v>399.72076873761222</v>
      </c>
      <c r="F22" s="449">
        <f t="shared" ref="F22:F32" si="6">F4*$F$17</f>
        <v>10299.525118982569</v>
      </c>
      <c r="G22" s="449">
        <f t="shared" ref="G22:G32" si="7">G4*$G$17</f>
        <v>0</v>
      </c>
      <c r="H22" s="449">
        <f t="shared" ref="H22:H32" si="8">H4*$H$17</f>
        <v>0</v>
      </c>
      <c r="I22" s="449">
        <f t="shared" ref="I22:I32" si="9">I4*$I$17</f>
        <v>0</v>
      </c>
      <c r="J22" s="449">
        <f t="shared" ref="J22:J32" si="10">J4*$J$17</f>
        <v>77.824473907871294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23470.284649018638</v>
      </c>
    </row>
    <row r="23" spans="1:17">
      <c r="A23" s="448" t="s">
        <v>155</v>
      </c>
      <c r="B23" s="449">
        <f t="shared" ca="1" si="2"/>
        <v>995.87326961530437</v>
      </c>
      <c r="C23" s="449">
        <f t="shared" ca="1" si="3"/>
        <v>0</v>
      </c>
      <c r="D23" s="449">
        <f t="shared" ca="1" si="4"/>
        <v>2359.0818059127441</v>
      </c>
      <c r="E23" s="449">
        <f t="shared" si="5"/>
        <v>10.137964872398209</v>
      </c>
      <c r="F23" s="449">
        <f t="shared" ca="1" si="6"/>
        <v>598.69473374164943</v>
      </c>
      <c r="G23" s="449">
        <f t="shared" si="7"/>
        <v>0</v>
      </c>
      <c r="H23" s="449">
        <f t="shared" si="8"/>
        <v>0</v>
      </c>
      <c r="I23" s="449">
        <f t="shared" si="9"/>
        <v>0</v>
      </c>
      <c r="J23" s="449">
        <f t="shared" si="10"/>
        <v>5.3271068761780848E-3</v>
      </c>
      <c r="K23" s="449">
        <f t="shared" si="11"/>
        <v>0</v>
      </c>
      <c r="L23" s="449">
        <f t="shared" ca="1" si="12"/>
        <v>0</v>
      </c>
      <c r="M23" s="449">
        <f t="shared" si="13"/>
        <v>0</v>
      </c>
      <c r="N23" s="449">
        <f t="shared" ca="1" si="14"/>
        <v>0</v>
      </c>
      <c r="O23" s="449">
        <f t="shared" si="15"/>
        <v>0</v>
      </c>
      <c r="P23" s="450">
        <f t="shared" si="16"/>
        <v>0</v>
      </c>
      <c r="Q23" s="448">
        <f t="shared" ref="Q23:Q31" ca="1" si="17">SUM(B23:P23)</f>
        <v>3963.7931012489726</v>
      </c>
    </row>
    <row r="24" spans="1:17">
      <c r="A24" s="448" t="s">
        <v>193</v>
      </c>
      <c r="B24" s="449">
        <f t="shared" ca="1" si="2"/>
        <v>93.596824098641008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93.596824098641008</v>
      </c>
    </row>
    <row r="25" spans="1:17">
      <c r="A25" s="448" t="s">
        <v>111</v>
      </c>
      <c r="B25" s="449">
        <f t="shared" ca="1" si="2"/>
        <v>76.601050754907845</v>
      </c>
      <c r="C25" s="449">
        <f t="shared" ca="1" si="3"/>
        <v>0</v>
      </c>
      <c r="D25" s="449">
        <f t="shared" si="4"/>
        <v>92.680559726797725</v>
      </c>
      <c r="E25" s="449">
        <f t="shared" si="5"/>
        <v>5.7672360751309686</v>
      </c>
      <c r="F25" s="449">
        <f t="shared" si="6"/>
        <v>749.71207178608893</v>
      </c>
      <c r="G25" s="449">
        <f t="shared" si="7"/>
        <v>0</v>
      </c>
      <c r="H25" s="449">
        <f t="shared" si="8"/>
        <v>0</v>
      </c>
      <c r="I25" s="449">
        <f t="shared" si="9"/>
        <v>0</v>
      </c>
      <c r="J25" s="449">
        <f t="shared" si="10"/>
        <v>79.843430221484212</v>
      </c>
      <c r="K25" s="449">
        <f t="shared" si="11"/>
        <v>0</v>
      </c>
      <c r="L25" s="449">
        <f t="shared" si="12"/>
        <v>0</v>
      </c>
      <c r="M25" s="449">
        <f t="shared" si="13"/>
        <v>0</v>
      </c>
      <c r="N25" s="449">
        <f t="shared" si="14"/>
        <v>0</v>
      </c>
      <c r="O25" s="449">
        <f t="shared" si="15"/>
        <v>0</v>
      </c>
      <c r="P25" s="450">
        <f t="shared" si="16"/>
        <v>0</v>
      </c>
      <c r="Q25" s="448">
        <f t="shared" ca="1" si="17"/>
        <v>1004.6043485644097</v>
      </c>
    </row>
    <row r="26" spans="1:17">
      <c r="A26" s="448" t="s">
        <v>617</v>
      </c>
      <c r="B26" s="449">
        <f t="shared" ca="1" si="2"/>
        <v>266.78725783910005</v>
      </c>
      <c r="C26" s="449">
        <f t="shared" ca="1" si="3"/>
        <v>0</v>
      </c>
      <c r="D26" s="449">
        <f t="shared" si="4"/>
        <v>1525.5232871502315</v>
      </c>
      <c r="E26" s="449">
        <f t="shared" si="5"/>
        <v>2.2112763586121944</v>
      </c>
      <c r="F26" s="449">
        <f t="shared" si="6"/>
        <v>176.27416765623721</v>
      </c>
      <c r="G26" s="449">
        <f t="shared" si="7"/>
        <v>0</v>
      </c>
      <c r="H26" s="449">
        <f t="shared" si="8"/>
        <v>0</v>
      </c>
      <c r="I26" s="449">
        <f t="shared" si="9"/>
        <v>0</v>
      </c>
      <c r="J26" s="449">
        <f t="shared" si="10"/>
        <v>1.4957512620864424</v>
      </c>
      <c r="K26" s="449">
        <f t="shared" si="11"/>
        <v>0</v>
      </c>
      <c r="L26" s="449">
        <f t="shared" si="12"/>
        <v>0</v>
      </c>
      <c r="M26" s="449">
        <f t="shared" si="13"/>
        <v>0</v>
      </c>
      <c r="N26" s="449">
        <f t="shared" si="14"/>
        <v>0</v>
      </c>
      <c r="O26" s="449">
        <f t="shared" si="15"/>
        <v>0</v>
      </c>
      <c r="P26" s="450">
        <f t="shared" si="16"/>
        <v>0</v>
      </c>
      <c r="Q26" s="448">
        <f t="shared" ca="1" si="17"/>
        <v>1972.2917402662674</v>
      </c>
    </row>
    <row r="27" spans="1:17" s="454" customFormat="1">
      <c r="A27" s="452" t="s">
        <v>543</v>
      </c>
      <c r="B27" s="772">
        <f t="shared" ca="1" si="2"/>
        <v>11.858423032739314</v>
      </c>
      <c r="C27" s="453">
        <f t="shared" ca="1" si="3"/>
        <v>0</v>
      </c>
      <c r="D27" s="453">
        <f t="shared" si="4"/>
        <v>53.039524755952591</v>
      </c>
      <c r="E27" s="453">
        <f t="shared" si="5"/>
        <v>23.144821481202506</v>
      </c>
      <c r="F27" s="453">
        <f t="shared" si="6"/>
        <v>0</v>
      </c>
      <c r="G27" s="453">
        <f t="shared" si="7"/>
        <v>12290.896654955766</v>
      </c>
      <c r="H27" s="453">
        <f t="shared" si="8"/>
        <v>3191.9251265155322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15570.864550741193</v>
      </c>
    </row>
    <row r="28" spans="1:17" ht="16.5" customHeight="1">
      <c r="A28" s="448" t="s">
        <v>533</v>
      </c>
      <c r="B28" s="449">
        <f t="shared" ca="1" si="2"/>
        <v>0.95852937825866935</v>
      </c>
      <c r="C28" s="449">
        <f t="shared" ca="1" si="3"/>
        <v>0</v>
      </c>
      <c r="D28" s="449">
        <f t="shared" si="4"/>
        <v>0</v>
      </c>
      <c r="E28" s="449">
        <f t="shared" si="5"/>
        <v>0</v>
      </c>
      <c r="F28" s="449">
        <f t="shared" si="6"/>
        <v>0</v>
      </c>
      <c r="G28" s="449">
        <f t="shared" si="7"/>
        <v>185.53270060428844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186.49122998254711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97.544120487558473</v>
      </c>
      <c r="C32" s="449">
        <f t="shared" ca="1" si="3"/>
        <v>0</v>
      </c>
      <c r="D32" s="449">
        <f t="shared" si="4"/>
        <v>214.51896489126023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312.0630853788187</v>
      </c>
    </row>
    <row r="33" spans="1:17" s="460" customFormat="1">
      <c r="A33" s="458" t="s">
        <v>537</v>
      </c>
      <c r="B33" s="459">
        <f ca="1">SUM(B22:B32)</f>
        <v>4021.6836880516894</v>
      </c>
      <c r="C33" s="459">
        <f t="shared" ref="C33:Q33" ca="1" si="19">SUM(C22:C32)</f>
        <v>0</v>
      </c>
      <c r="D33" s="459">
        <f t="shared" ca="1" si="19"/>
        <v>14459.594216982392</v>
      </c>
      <c r="E33" s="459">
        <f t="shared" si="19"/>
        <v>440.98206752495605</v>
      </c>
      <c r="F33" s="459">
        <f t="shared" ca="1" si="19"/>
        <v>11824.206092166543</v>
      </c>
      <c r="G33" s="459">
        <f t="shared" si="19"/>
        <v>12476.429355560054</v>
      </c>
      <c r="H33" s="459">
        <f t="shared" si="19"/>
        <v>3191.9251265155322</v>
      </c>
      <c r="I33" s="459">
        <f t="shared" si="19"/>
        <v>0</v>
      </c>
      <c r="J33" s="459">
        <f t="shared" si="19"/>
        <v>159.16898249831812</v>
      </c>
      <c r="K33" s="459">
        <f t="shared" si="19"/>
        <v>0</v>
      </c>
      <c r="L33" s="459">
        <f t="shared" ca="1" si="19"/>
        <v>0</v>
      </c>
      <c r="M33" s="459">
        <f t="shared" si="19"/>
        <v>0</v>
      </c>
      <c r="N33" s="459">
        <f t="shared" ca="1" si="19"/>
        <v>0</v>
      </c>
      <c r="O33" s="459">
        <f t="shared" si="19"/>
        <v>0</v>
      </c>
      <c r="P33" s="459">
        <f t="shared" si="19"/>
        <v>0</v>
      </c>
      <c r="Q33" s="459">
        <f t="shared" ca="1" si="19"/>
        <v>46573.989529299484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23314.440719739981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5018.4830564824751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40.5</v>
      </c>
      <c r="C8" s="1016">
        <f>'SEAP template'!C76</f>
        <v>0</v>
      </c>
      <c r="D8" s="1016">
        <f>'SEAP template'!D76</f>
        <v>0</v>
      </c>
      <c r="E8" s="1016">
        <f>'SEAP template'!E76</f>
        <v>0</v>
      </c>
      <c r="F8" s="1016">
        <f>'SEAP template'!F76</f>
        <v>0</v>
      </c>
      <c r="G8" s="1016">
        <f>'SEAP template'!G76</f>
        <v>0</v>
      </c>
      <c r="H8" s="1016">
        <f>'SEAP template'!H76</f>
        <v>0</v>
      </c>
      <c r="I8" s="1016">
        <f>'SEAP template'!I76</f>
        <v>47.647058823529413</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28373.423776222458</v>
      </c>
      <c r="C10" s="1018">
        <f>SUM(C4:C9)</f>
        <v>0</v>
      </c>
      <c r="D10" s="1018">
        <f t="shared" ref="D10:H10" si="0">SUM(D8:D9)</f>
        <v>0</v>
      </c>
      <c r="E10" s="1018">
        <f t="shared" si="0"/>
        <v>0</v>
      </c>
      <c r="F10" s="1018">
        <f t="shared" si="0"/>
        <v>0</v>
      </c>
      <c r="G10" s="1018">
        <f t="shared" si="0"/>
        <v>0</v>
      </c>
      <c r="H10" s="1018">
        <f t="shared" si="0"/>
        <v>0</v>
      </c>
      <c r="I10" s="1018">
        <f>SUM(I8:I9)</f>
        <v>47.647058823529413</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8.6355803610128137E-2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45.5625</v>
      </c>
      <c r="C17" s="1019">
        <f>'SEAP template'!C87</f>
        <v>0</v>
      </c>
      <c r="D17" s="1017">
        <f>'SEAP template'!D87</f>
        <v>0</v>
      </c>
      <c r="E17" s="1017">
        <f>'SEAP template'!E87</f>
        <v>0</v>
      </c>
      <c r="F17" s="1017">
        <f>'SEAP template'!F87</f>
        <v>0</v>
      </c>
      <c r="G17" s="1017">
        <f>'SEAP template'!G87</f>
        <v>0</v>
      </c>
      <c r="H17" s="1017">
        <f>'SEAP template'!H87</f>
        <v>0</v>
      </c>
      <c r="I17" s="1017">
        <f>'SEAP template'!I87</f>
        <v>53.602941176470587</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45.5625</v>
      </c>
      <c r="C20" s="1018">
        <f>SUM(C17:C19)</f>
        <v>0</v>
      </c>
      <c r="D20" s="1018">
        <f t="shared" ref="D20:H20" si="2">SUM(D17:D19)</f>
        <v>0</v>
      </c>
      <c r="E20" s="1018">
        <f t="shared" si="2"/>
        <v>0</v>
      </c>
      <c r="F20" s="1018">
        <f t="shared" si="2"/>
        <v>0</v>
      </c>
      <c r="G20" s="1018">
        <f t="shared" si="2"/>
        <v>0</v>
      </c>
      <c r="H20" s="1018">
        <f t="shared" si="2"/>
        <v>0</v>
      </c>
      <c r="I20" s="1018">
        <f>SUM(I17:I19)</f>
        <v>53.602941176470587</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8.6355803610128137E-2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8.6355803610128137E-2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8.6355803610128137E-2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6418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1907.18</v>
      </c>
      <c r="C14" s="326"/>
      <c r="D14" s="326"/>
      <c r="E14" s="326"/>
      <c r="F14" s="326"/>
    </row>
    <row r="15" spans="1:6">
      <c r="A15" s="1312" t="s">
        <v>183</v>
      </c>
      <c r="B15" s="1313">
        <v>32</v>
      </c>
      <c r="C15" s="326"/>
      <c r="D15" s="326"/>
      <c r="E15" s="326"/>
      <c r="F15" s="326"/>
    </row>
    <row r="16" spans="1:6">
      <c r="A16" s="1312" t="s">
        <v>6</v>
      </c>
      <c r="B16" s="1313">
        <v>1140</v>
      </c>
      <c r="C16" s="326"/>
      <c r="D16" s="326"/>
      <c r="E16" s="326"/>
      <c r="F16" s="326"/>
    </row>
    <row r="17" spans="1:6">
      <c r="A17" s="1312" t="s">
        <v>7</v>
      </c>
      <c r="B17" s="1313">
        <v>375</v>
      </c>
      <c r="C17" s="326"/>
      <c r="D17" s="326"/>
      <c r="E17" s="326"/>
      <c r="F17" s="326"/>
    </row>
    <row r="18" spans="1:6">
      <c r="A18" s="1312" t="s">
        <v>8</v>
      </c>
      <c r="B18" s="1313">
        <v>828</v>
      </c>
      <c r="C18" s="326"/>
      <c r="D18" s="326"/>
      <c r="E18" s="326"/>
      <c r="F18" s="326"/>
    </row>
    <row r="19" spans="1:6">
      <c r="A19" s="1312" t="s">
        <v>9</v>
      </c>
      <c r="B19" s="1313">
        <v>881</v>
      </c>
      <c r="C19" s="326"/>
      <c r="D19" s="326"/>
      <c r="E19" s="326"/>
      <c r="F19" s="326"/>
    </row>
    <row r="20" spans="1:6">
      <c r="A20" s="1312" t="s">
        <v>10</v>
      </c>
      <c r="B20" s="1313">
        <v>679</v>
      </c>
      <c r="C20" s="326"/>
      <c r="D20" s="326"/>
      <c r="E20" s="326"/>
      <c r="F20" s="326"/>
    </row>
    <row r="21" spans="1:6">
      <c r="A21" s="1312" t="s">
        <v>11</v>
      </c>
      <c r="B21" s="1313">
        <v>0</v>
      </c>
      <c r="C21" s="326"/>
      <c r="D21" s="326"/>
      <c r="E21" s="326"/>
      <c r="F21" s="326"/>
    </row>
    <row r="22" spans="1:6">
      <c r="A22" s="1312" t="s">
        <v>12</v>
      </c>
      <c r="B22" s="1313">
        <v>2616</v>
      </c>
      <c r="C22" s="326"/>
      <c r="D22" s="326"/>
      <c r="E22" s="326"/>
      <c r="F22" s="326"/>
    </row>
    <row r="23" spans="1:6">
      <c r="A23" s="1312" t="s">
        <v>13</v>
      </c>
      <c r="B23" s="1313">
        <v>15</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50</v>
      </c>
      <c r="C26" s="326"/>
      <c r="D26" s="326"/>
      <c r="E26" s="326"/>
      <c r="F26" s="326"/>
    </row>
    <row r="27" spans="1:6">
      <c r="A27" s="1312" t="s">
        <v>17</v>
      </c>
      <c r="B27" s="1313">
        <v>0</v>
      </c>
      <c r="C27" s="326"/>
      <c r="D27" s="326"/>
      <c r="E27" s="326"/>
      <c r="F27" s="326"/>
    </row>
    <row r="28" spans="1:6" s="43" customFormat="1">
      <c r="A28" s="1314" t="s">
        <v>18</v>
      </c>
      <c r="B28" s="1315">
        <v>42579</v>
      </c>
      <c r="C28" s="332"/>
      <c r="D28" s="332"/>
      <c r="E28" s="332"/>
      <c r="F28" s="332"/>
    </row>
    <row r="29" spans="1:6">
      <c r="A29" s="1314" t="s">
        <v>684</v>
      </c>
      <c r="B29" s="1315">
        <v>107</v>
      </c>
      <c r="C29" s="332"/>
      <c r="D29" s="332"/>
      <c r="E29" s="332"/>
      <c r="F29" s="332"/>
    </row>
    <row r="30" spans="1:6">
      <c r="A30" s="1307" t="s">
        <v>685</v>
      </c>
      <c r="B30" s="1316">
        <v>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13472.18836004</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3761</v>
      </c>
      <c r="D39" s="1313">
        <v>56000077.160539702</v>
      </c>
      <c r="E39" s="1313">
        <v>6262</v>
      </c>
      <c r="F39" s="1313">
        <v>24010089.268479299</v>
      </c>
    </row>
    <row r="40" spans="1:6">
      <c r="A40" s="1312" t="s">
        <v>29</v>
      </c>
      <c r="B40" s="1312" t="s">
        <v>28</v>
      </c>
      <c r="C40" s="1313">
        <v>0</v>
      </c>
      <c r="D40" s="1313">
        <v>0</v>
      </c>
      <c r="E40" s="1313">
        <v>0</v>
      </c>
      <c r="F40" s="1313">
        <v>0</v>
      </c>
    </row>
    <row r="41" spans="1:6">
      <c r="A41" s="1312" t="s">
        <v>31</v>
      </c>
      <c r="B41" s="1312" t="s">
        <v>32</v>
      </c>
      <c r="C41" s="1313">
        <v>57</v>
      </c>
      <c r="D41" s="1313">
        <v>925873.87824900798</v>
      </c>
      <c r="E41" s="1313">
        <v>155</v>
      </c>
      <c r="F41" s="1313">
        <v>922916.42575449497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65795.274992714694</v>
      </c>
      <c r="E44" s="1313">
        <v>16</v>
      </c>
      <c r="F44" s="1313">
        <v>119965.596159382</v>
      </c>
    </row>
    <row r="45" spans="1:6">
      <c r="A45" s="1312" t="s">
        <v>31</v>
      </c>
      <c r="B45" s="1312" t="s">
        <v>36</v>
      </c>
      <c r="C45" s="1313">
        <v>0</v>
      </c>
      <c r="D45" s="1313">
        <v>0</v>
      </c>
      <c r="E45" s="1313">
        <v>3</v>
      </c>
      <c r="F45" s="1313">
        <v>114735.845290702</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55198.263781649002</v>
      </c>
      <c r="E48" s="1313">
        <v>1</v>
      </c>
      <c r="F48" s="1313">
        <v>3871.0131135288002</v>
      </c>
    </row>
    <row r="49" spans="1:6">
      <c r="A49" s="1312" t="s">
        <v>31</v>
      </c>
      <c r="B49" s="1312" t="s">
        <v>39</v>
      </c>
      <c r="C49" s="1313">
        <v>3</v>
      </c>
      <c r="D49" s="1313">
        <v>97682.951067804504</v>
      </c>
      <c r="E49" s="1313">
        <v>3</v>
      </c>
      <c r="F49" s="1313">
        <v>31445.635063389</v>
      </c>
    </row>
    <row r="50" spans="1:6">
      <c r="A50" s="1312" t="s">
        <v>31</v>
      </c>
      <c r="B50" s="1312" t="s">
        <v>40</v>
      </c>
      <c r="C50" s="1313">
        <v>8</v>
      </c>
      <c r="D50" s="1313">
        <v>7218789.0349450801</v>
      </c>
      <c r="E50" s="1313">
        <v>19</v>
      </c>
      <c r="F50" s="1313">
        <v>1896461.2945813001</v>
      </c>
    </row>
    <row r="51" spans="1:6">
      <c r="A51" s="1312" t="s">
        <v>41</v>
      </c>
      <c r="B51" s="1312" t="s">
        <v>42</v>
      </c>
      <c r="C51" s="1313">
        <v>12</v>
      </c>
      <c r="D51" s="1313">
        <v>508100.389936722</v>
      </c>
      <c r="E51" s="1313">
        <v>62</v>
      </c>
      <c r="F51" s="1313">
        <v>887039.98518431699</v>
      </c>
    </row>
    <row r="52" spans="1:6">
      <c r="A52" s="1312" t="s">
        <v>41</v>
      </c>
      <c r="B52" s="1312" t="s">
        <v>28</v>
      </c>
      <c r="C52" s="1313">
        <v>0</v>
      </c>
      <c r="D52" s="1313">
        <v>0</v>
      </c>
      <c r="E52" s="1313">
        <v>0</v>
      </c>
      <c r="F52" s="1313">
        <v>0</v>
      </c>
    </row>
    <row r="53" spans="1:6">
      <c r="A53" s="1312" t="s">
        <v>43</v>
      </c>
      <c r="B53" s="1312" t="s">
        <v>44</v>
      </c>
      <c r="C53" s="1313">
        <v>78</v>
      </c>
      <c r="D53" s="1313">
        <v>1061975.0737191101</v>
      </c>
      <c r="E53" s="1313">
        <v>229</v>
      </c>
      <c r="F53" s="1313">
        <v>1129560.6827763701</v>
      </c>
    </row>
    <row r="54" spans="1:6">
      <c r="A54" s="1312" t="s">
        <v>45</v>
      </c>
      <c r="B54" s="1312" t="s">
        <v>46</v>
      </c>
      <c r="C54" s="1313">
        <v>0</v>
      </c>
      <c r="D54" s="1313">
        <v>0</v>
      </c>
      <c r="E54" s="1313">
        <v>2</v>
      </c>
      <c r="F54" s="1313">
        <v>1083851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45</v>
      </c>
      <c r="D57" s="1313">
        <v>1062568.47822999</v>
      </c>
      <c r="E57" s="1313">
        <v>65</v>
      </c>
      <c r="F57" s="1313">
        <v>1487845.4048391201</v>
      </c>
    </row>
    <row r="58" spans="1:6">
      <c r="A58" s="1312" t="s">
        <v>48</v>
      </c>
      <c r="B58" s="1312" t="s">
        <v>50</v>
      </c>
      <c r="C58" s="1313">
        <v>21</v>
      </c>
      <c r="D58" s="1313">
        <v>1030891.80823311</v>
      </c>
      <c r="E58" s="1313">
        <v>36</v>
      </c>
      <c r="F58" s="1313">
        <v>465217.46429188899</v>
      </c>
    </row>
    <row r="59" spans="1:6">
      <c r="A59" s="1312" t="s">
        <v>48</v>
      </c>
      <c r="B59" s="1312" t="s">
        <v>51</v>
      </c>
      <c r="C59" s="1313">
        <v>70</v>
      </c>
      <c r="D59" s="1313">
        <v>1996405.7948416099</v>
      </c>
      <c r="E59" s="1313">
        <v>158</v>
      </c>
      <c r="F59" s="1313">
        <v>3069994.5560019398</v>
      </c>
    </row>
    <row r="60" spans="1:6">
      <c r="A60" s="1312" t="s">
        <v>48</v>
      </c>
      <c r="B60" s="1312" t="s">
        <v>52</v>
      </c>
      <c r="C60" s="1313">
        <v>67</v>
      </c>
      <c r="D60" s="1313">
        <v>2873400.16918837</v>
      </c>
      <c r="E60" s="1313">
        <v>105</v>
      </c>
      <c r="F60" s="1313">
        <v>2614272.50163195</v>
      </c>
    </row>
    <row r="61" spans="1:6">
      <c r="A61" s="1312" t="s">
        <v>48</v>
      </c>
      <c r="B61" s="1312" t="s">
        <v>53</v>
      </c>
      <c r="C61" s="1313">
        <v>109</v>
      </c>
      <c r="D61" s="1313">
        <v>5650796.8668620102</v>
      </c>
      <c r="E61" s="1313">
        <v>299</v>
      </c>
      <c r="F61" s="1313">
        <v>3488075.3703666599</v>
      </c>
    </row>
    <row r="62" spans="1:6">
      <c r="A62" s="1312" t="s">
        <v>48</v>
      </c>
      <c r="B62" s="1312" t="s">
        <v>54</v>
      </c>
      <c r="C62" s="1313">
        <v>6</v>
      </c>
      <c r="D62" s="1313">
        <v>319073.98291981098</v>
      </c>
      <c r="E62" s="1313">
        <v>15</v>
      </c>
      <c r="F62" s="1313">
        <v>366304.79162389599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52884.145619592302</v>
      </c>
      <c r="E65" s="1313">
        <v>4</v>
      </c>
      <c r="F65" s="1313">
        <v>14668.244884112901</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19610.099068848402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41762929</v>
      </c>
      <c r="E73" s="447"/>
      <c r="F73" s="326"/>
    </row>
    <row r="74" spans="1:6">
      <c r="A74" s="1312" t="s">
        <v>63</v>
      </c>
      <c r="B74" s="1312" t="s">
        <v>638</v>
      </c>
      <c r="C74" s="1326" t="s">
        <v>640</v>
      </c>
      <c r="D74" s="1327">
        <v>3671872.5761421127</v>
      </c>
      <c r="E74" s="447"/>
      <c r="F74" s="326"/>
    </row>
    <row r="75" spans="1:6">
      <c r="A75" s="1312" t="s">
        <v>64</v>
      </c>
      <c r="B75" s="1312" t="s">
        <v>637</v>
      </c>
      <c r="C75" s="1326" t="s">
        <v>641</v>
      </c>
      <c r="D75" s="1327">
        <v>22872481</v>
      </c>
      <c r="E75" s="447"/>
      <c r="F75" s="326"/>
    </row>
    <row r="76" spans="1:6">
      <c r="A76" s="1312" t="s">
        <v>64</v>
      </c>
      <c r="B76" s="1312" t="s">
        <v>638</v>
      </c>
      <c r="C76" s="1326" t="s">
        <v>642</v>
      </c>
      <c r="D76" s="1327">
        <v>1962741.5761421125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207034.84771577499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23314.440719739981</v>
      </c>
      <c r="C90" s="326"/>
      <c r="D90" s="326"/>
      <c r="E90" s="326"/>
      <c r="F90" s="326"/>
    </row>
    <row r="91" spans="1:6">
      <c r="A91" s="1312" t="s">
        <v>67</v>
      </c>
      <c r="B91" s="1313">
        <v>4690.5204095307672</v>
      </c>
      <c r="C91" s="326"/>
      <c r="D91" s="326"/>
      <c r="E91" s="326"/>
      <c r="F91" s="326"/>
    </row>
    <row r="92" spans="1:6">
      <c r="A92" s="1307" t="s">
        <v>68</v>
      </c>
      <c r="B92" s="1308">
        <v>327.96264695170788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1055</v>
      </c>
      <c r="C97" s="326"/>
      <c r="D97" s="326"/>
      <c r="E97" s="326"/>
      <c r="F97" s="326"/>
    </row>
    <row r="98" spans="1:6">
      <c r="A98" s="1312" t="s">
        <v>71</v>
      </c>
      <c r="B98" s="1313">
        <v>3</v>
      </c>
      <c r="C98" s="326"/>
      <c r="D98" s="326"/>
      <c r="E98" s="326"/>
      <c r="F98" s="326"/>
    </row>
    <row r="99" spans="1:6">
      <c r="A99" s="1312" t="s">
        <v>72</v>
      </c>
      <c r="B99" s="1313">
        <v>179</v>
      </c>
      <c r="C99" s="326"/>
      <c r="D99" s="326"/>
      <c r="E99" s="326"/>
      <c r="F99" s="326"/>
    </row>
    <row r="100" spans="1:6">
      <c r="A100" s="1312" t="s">
        <v>73</v>
      </c>
      <c r="B100" s="1313">
        <v>711</v>
      </c>
      <c r="C100" s="326"/>
      <c r="D100" s="326"/>
      <c r="E100" s="326"/>
      <c r="F100" s="326"/>
    </row>
    <row r="101" spans="1:6">
      <c r="A101" s="1312" t="s">
        <v>74</v>
      </c>
      <c r="B101" s="1313">
        <v>87</v>
      </c>
      <c r="C101" s="326"/>
      <c r="D101" s="326"/>
      <c r="E101" s="326"/>
      <c r="F101" s="326"/>
    </row>
    <row r="102" spans="1:6">
      <c r="A102" s="1312" t="s">
        <v>75</v>
      </c>
      <c r="B102" s="1313">
        <v>120</v>
      </c>
      <c r="C102" s="326"/>
      <c r="D102" s="326"/>
      <c r="E102" s="326"/>
      <c r="F102" s="326"/>
    </row>
    <row r="103" spans="1:6">
      <c r="A103" s="1312" t="s">
        <v>76</v>
      </c>
      <c r="B103" s="1313">
        <v>285</v>
      </c>
      <c r="C103" s="326"/>
      <c r="D103" s="326"/>
      <c r="E103" s="326"/>
      <c r="F103" s="326"/>
    </row>
    <row r="104" spans="1:6">
      <c r="A104" s="1312" t="s">
        <v>77</v>
      </c>
      <c r="B104" s="1313">
        <v>2904</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41</v>
      </c>
      <c r="C123" s="1313">
        <v>74</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131</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30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46571.087523062684</v>
      </c>
      <c r="C3" s="43" t="s">
        <v>169</v>
      </c>
      <c r="D3" s="43"/>
      <c r="E3" s="154"/>
      <c r="F3" s="43"/>
      <c r="G3" s="43"/>
      <c r="H3" s="43"/>
      <c r="I3" s="43"/>
      <c r="J3" s="43"/>
      <c r="K3" s="96"/>
    </row>
    <row r="4" spans="1:11">
      <c r="A4" s="354" t="s">
        <v>170</v>
      </c>
      <c r="B4" s="49">
        <f>IF(ISERROR('SEAP template'!B78+'SEAP template'!C78),0,'SEAP template'!B78+'SEAP template'!C78)</f>
        <v>28373.423776222458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8.6355803610128137E-2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45.5625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1083.8510000000001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1083.8510000000001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8.6355803610128137E-2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93.596824098641008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24010.0892684793</v>
      </c>
      <c r="C5" s="17">
        <f>IF(ISERROR('Eigen informatie GS &amp; warmtenet'!B59),0,'Eigen informatie GS &amp; warmtenet'!B59)</f>
        <v>0</v>
      </c>
      <c r="D5" s="30">
        <f>(SUM(HH_hh_gas_kWh,HH_rest_gas_kWh)/1000)*0.903</f>
        <v>50568.069675967352</v>
      </c>
      <c r="E5" s="17">
        <f>B32*B41</f>
        <v>1760.8844437780274</v>
      </c>
      <c r="F5" s="17">
        <f>B36*B45</f>
        <v>38575.000445627593</v>
      </c>
      <c r="G5" s="18"/>
      <c r="H5" s="17"/>
      <c r="I5" s="17"/>
      <c r="J5" s="17">
        <f>B35*B44+C35*C44</f>
        <v>219.8431466324048</v>
      </c>
      <c r="K5" s="17"/>
      <c r="L5" s="17"/>
      <c r="M5" s="17"/>
      <c r="N5" s="17">
        <f>B34*B43+C34*C43</f>
        <v>8658.7458030598427</v>
      </c>
      <c r="O5" s="17">
        <f>B52*B53*B54</f>
        <v>408.69539319372859</v>
      </c>
      <c r="P5" s="17">
        <f>B60*B61*B62/1000-B60*B61*B62/1000/B63</f>
        <v>747.91111084563659</v>
      </c>
    </row>
    <row r="6" spans="1:16">
      <c r="A6" s="16" t="s">
        <v>603</v>
      </c>
      <c r="B6" s="780">
        <f>kWh_PV_kleiner_dan_10kW</f>
        <v>4690.5204095307672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28700.609678010067</v>
      </c>
      <c r="C8" s="21">
        <f>C5</f>
        <v>0</v>
      </c>
      <c r="D8" s="21">
        <f>D5</f>
        <v>50568.069675967352</v>
      </c>
      <c r="E8" s="21">
        <f>E5</f>
        <v>1760.8844437780274</v>
      </c>
      <c r="F8" s="21">
        <f>F5</f>
        <v>38575.000445627593</v>
      </c>
      <c r="G8" s="21"/>
      <c r="H8" s="21"/>
      <c r="I8" s="21"/>
      <c r="J8" s="21">
        <f>J5</f>
        <v>219.8431466324048</v>
      </c>
      <c r="K8" s="21"/>
      <c r="L8" s="21">
        <f>L5</f>
        <v>0</v>
      </c>
      <c r="M8" s="21">
        <f>M5</f>
        <v>0</v>
      </c>
      <c r="N8" s="21">
        <f>N5</f>
        <v>8658.7458030598427</v>
      </c>
      <c r="O8" s="21">
        <f>O5</f>
        <v>408.69539319372859</v>
      </c>
      <c r="P8" s="21">
        <f>P5</f>
        <v>747.91111084563659</v>
      </c>
    </row>
    <row r="9" spans="1:16">
      <c r="B9" s="19"/>
      <c r="C9" s="19"/>
      <c r="D9" s="254"/>
      <c r="E9" s="19"/>
      <c r="F9" s="19"/>
      <c r="G9" s="19"/>
      <c r="H9" s="19"/>
      <c r="I9" s="19"/>
      <c r="J9" s="19"/>
      <c r="K9" s="19"/>
      <c r="L9" s="19"/>
      <c r="M9" s="19"/>
      <c r="N9" s="19"/>
      <c r="O9" s="19"/>
      <c r="P9" s="19"/>
    </row>
    <row r="10" spans="1:16">
      <c r="A10" s="24" t="s">
        <v>213</v>
      </c>
      <c r="B10" s="25">
        <f ca="1">'EF ele_warmte'!B12</f>
        <v>8.6355803610128137E-2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2478.4642128451801</v>
      </c>
      <c r="C12" s="23">
        <f ca="1">C10*C8</f>
        <v>0</v>
      </c>
      <c r="D12" s="23">
        <f>D8*D10</f>
        <v>10214.750074545405</v>
      </c>
      <c r="E12" s="23">
        <f>E10*E8</f>
        <v>399.72076873761222</v>
      </c>
      <c r="F12" s="23">
        <f>F10*F8</f>
        <v>10299.525118982569</v>
      </c>
      <c r="G12" s="23"/>
      <c r="H12" s="23"/>
      <c r="I12" s="23"/>
      <c r="J12" s="23">
        <f>J10*J8</f>
        <v>77.824473907871294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6418</v>
      </c>
      <c r="C26" s="36"/>
      <c r="D26" s="225"/>
    </row>
    <row r="27" spans="1:5" s="15" customFormat="1">
      <c r="A27" s="227" t="s">
        <v>866</v>
      </c>
      <c r="B27" s="37">
        <f>SUM(HH_hh_gas_aantal,HH_rest_gas_aantal)</f>
        <v>3761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3572.95</v>
      </c>
      <c r="C31" s="34" t="s">
        <v>110</v>
      </c>
      <c r="D31" s="171"/>
    </row>
    <row r="32" spans="1:5">
      <c r="A32" s="168" t="s">
        <v>72</v>
      </c>
      <c r="B32" s="33">
        <f>IF((B21*($B$26-($B$27-0.05*$B$27)-$B$60))&lt;0,0,(B21*($B$26-($B$27-0.05*$B$27)-$B$60)))</f>
        <v>44.038594936909554</v>
      </c>
      <c r="C32" s="34" t="s">
        <v>110</v>
      </c>
      <c r="D32" s="171"/>
    </row>
    <row r="33" spans="1:6">
      <c r="A33" s="168" t="s">
        <v>73</v>
      </c>
      <c r="B33" s="33">
        <f>IF((B22*($B$26-($B$27-0.05*$B$27)-$B$60))&lt;0,0,B22*($B$26-($B$27-0.05*$B$27)-$B$60))</f>
        <v>715.09956238082827</v>
      </c>
      <c r="C33" s="34" t="s">
        <v>110</v>
      </c>
      <c r="D33" s="171"/>
    </row>
    <row r="34" spans="1:6">
      <c r="A34" s="168" t="s">
        <v>74</v>
      </c>
      <c r="B34" s="33">
        <f>IF((B24*($B$26-($B$27-0.05*$B$27)-$B$60))&lt;0,0,B24*($B$26-($B$27-0.05*$B$27)-$B$60))</f>
        <v>137.09415590262333</v>
      </c>
      <c r="C34" s="33">
        <f>B26*C24</f>
        <v>1315.0863216784005</v>
      </c>
      <c r="D34" s="230"/>
    </row>
    <row r="35" spans="1:6">
      <c r="A35" s="168" t="s">
        <v>76</v>
      </c>
      <c r="B35" s="33">
        <f>IF((B19*($B$26-($B$27-0.05*$B$27)-$B$60))&lt;0,0,B19*($B$26-($B$27-0.05*$B$27)-$B$60))</f>
        <v>19.143472228190507</v>
      </c>
      <c r="C35" s="33">
        <f>B35/2</f>
        <v>9.5717361140952537</v>
      </c>
      <c r="D35" s="230"/>
    </row>
    <row r="36" spans="1:6">
      <c r="A36" s="168" t="s">
        <v>77</v>
      </c>
      <c r="B36" s="33">
        <f>IF((B18*($B$26-($B$27-0.05*$B$27)-$B$60))&lt;0,0,B18*($B$26-($B$27-0.05*$B$27)-$B$60))</f>
        <v>1858.6742145514481</v>
      </c>
      <c r="C36" s="34" t="s">
        <v>110</v>
      </c>
      <c r="D36" s="171"/>
    </row>
    <row r="37" spans="1:6">
      <c r="A37" s="168" t="s">
        <v>78</v>
      </c>
      <c r="B37" s="33">
        <f>B60</f>
        <v>71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11491.710088755453</v>
      </c>
      <c r="C5" s="17">
        <f>IF(ISERROR('Eigen informatie GS &amp; warmtenet'!B60),0,'Eigen informatie GS &amp; warmtenet'!B60)</f>
        <v>0</v>
      </c>
      <c r="D5" s="30">
        <f>SUM(D6:D12)</f>
        <v>11678.622801548237</v>
      </c>
      <c r="E5" s="17">
        <f>SUM(E6:E12)</f>
        <v>44.660638204397394</v>
      </c>
      <c r="F5" s="17">
        <f>SUM(F6:F12)</f>
        <v>2242.30237356423</v>
      </c>
      <c r="G5" s="18"/>
      <c r="H5" s="17"/>
      <c r="I5" s="17"/>
      <c r="J5" s="17">
        <f>SUM(J6:J12)</f>
        <v>1.5048324508977641E-2</v>
      </c>
      <c r="K5" s="17"/>
      <c r="L5" s="17"/>
      <c r="M5" s="17"/>
      <c r="N5" s="17">
        <f>SUM(N6:N12)</f>
        <v>580.10549056906314</v>
      </c>
      <c r="O5" s="17">
        <f>B38*B39*B40</f>
        <v>14.691782297523464</v>
      </c>
      <c r="P5" s="17">
        <f>B46*B47*B48/1000-B46*B47*B48/1000/B49</f>
        <v>105.07827661299004</v>
      </c>
      <c r="R5" s="32"/>
    </row>
    <row r="6" spans="1:18">
      <c r="A6" s="32" t="s">
        <v>53</v>
      </c>
      <c r="B6" s="37">
        <f>B26</f>
        <v>3488.0753703666601</v>
      </c>
      <c r="C6" s="33"/>
      <c r="D6" s="37">
        <f>IF(ISERROR(TER_kantoor_gas_kWh/1000),0,TER_kantoor_gas_kWh/1000)*0.903</f>
        <v>5102.6695707763956</v>
      </c>
      <c r="E6" s="33">
        <f>$C$26*'E Balans VL '!I12/100/3.6*1000000</f>
        <v>0.83110555086098481</v>
      </c>
      <c r="F6" s="33">
        <f>$C$26*('E Balans VL '!L12+'E Balans VL '!N12)/100/3.6*1000000</f>
        <v>302.97351562221991</v>
      </c>
      <c r="G6" s="34"/>
      <c r="H6" s="33"/>
      <c r="I6" s="33"/>
      <c r="J6" s="33">
        <f>$C$26*('E Balans VL '!D12+'E Balans VL '!E12)/100/3.6*1000000</f>
        <v>0</v>
      </c>
      <c r="K6" s="33"/>
      <c r="L6" s="33"/>
      <c r="M6" s="33"/>
      <c r="N6" s="33">
        <f>$C$26*'E Balans VL '!Y12/100/3.6*1000000</f>
        <v>4.6623007149336617</v>
      </c>
      <c r="O6" s="33"/>
      <c r="P6" s="33"/>
      <c r="R6" s="32"/>
    </row>
    <row r="7" spans="1:18">
      <c r="A7" s="32" t="s">
        <v>52</v>
      </c>
      <c r="B7" s="37">
        <f t="shared" ref="B7:B12" si="0">B27</f>
        <v>2614.27250163195</v>
      </c>
      <c r="C7" s="33"/>
      <c r="D7" s="37">
        <f>IF(ISERROR(TER_horeca_gas_kWh/1000),0,TER_horeca_gas_kWh/1000)*0.903</f>
        <v>2594.6803527770981</v>
      </c>
      <c r="E7" s="33">
        <f>$C$27*'E Balans VL '!I9/100/3.6*1000000</f>
        <v>0</v>
      </c>
      <c r="F7" s="33">
        <f>$C$27*('E Balans VL '!L9+'E Balans VL '!N9)/100/3.6*1000000</f>
        <v>213.01589730902927</v>
      </c>
      <c r="G7" s="34"/>
      <c r="H7" s="33"/>
      <c r="I7" s="33"/>
      <c r="J7" s="33">
        <f>$C$27*('E Balans VL '!D9+'E Balans VL '!E9)/100/3.6*1000000</f>
        <v>0</v>
      </c>
      <c r="K7" s="33"/>
      <c r="L7" s="33"/>
      <c r="M7" s="33"/>
      <c r="N7" s="33">
        <f>$C$27*'E Balans VL '!Y9/100/3.6*1000000</f>
        <v>0.72410481212387168</v>
      </c>
      <c r="O7" s="33"/>
      <c r="P7" s="33"/>
      <c r="R7" s="32"/>
    </row>
    <row r="8" spans="1:18">
      <c r="A8" s="6" t="s">
        <v>51</v>
      </c>
      <c r="B8" s="37">
        <f t="shared" si="0"/>
        <v>3069.9945560019396</v>
      </c>
      <c r="C8" s="33"/>
      <c r="D8" s="37">
        <f>IF(ISERROR(TER_handel_gas_kWh/1000),0,TER_handel_gas_kWh/1000)*0.903</f>
        <v>1802.7544327419737</v>
      </c>
      <c r="E8" s="33">
        <f>$C$28*'E Balans VL '!I13/100/3.6*1000000</f>
        <v>24.540353300539543</v>
      </c>
      <c r="F8" s="33">
        <f>$C$28*('E Balans VL '!L13+'E Balans VL '!N13)/100/3.6*1000000</f>
        <v>304.98487493916849</v>
      </c>
      <c r="G8" s="34"/>
      <c r="H8" s="33"/>
      <c r="I8" s="33"/>
      <c r="J8" s="33">
        <f>$C$28*('E Balans VL '!D13+'E Balans VL '!E13)/100/3.6*1000000</f>
        <v>0</v>
      </c>
      <c r="K8" s="33"/>
      <c r="L8" s="33"/>
      <c r="M8" s="33"/>
      <c r="N8" s="33">
        <f>$C$28*'E Balans VL '!Y13/100/3.6*1000000</f>
        <v>1.1468257049063941</v>
      </c>
      <c r="O8" s="33"/>
      <c r="P8" s="33"/>
      <c r="R8" s="32"/>
    </row>
    <row r="9" spans="1:18">
      <c r="A9" s="32" t="s">
        <v>50</v>
      </c>
      <c r="B9" s="37">
        <f t="shared" si="0"/>
        <v>465.21746429188897</v>
      </c>
      <c r="C9" s="33"/>
      <c r="D9" s="37">
        <f>IF(ISERROR(TER_gezond_gas_kWh/1000),0,TER_gezond_gas_kWh/1000)*0.903</f>
        <v>930.89530283449835</v>
      </c>
      <c r="E9" s="33">
        <f>$C$29*'E Balans VL '!I10/100/3.6*1000000</f>
        <v>0</v>
      </c>
      <c r="F9" s="33">
        <f>$C$29*('E Balans VL '!L10+'E Balans VL '!N10)/100/3.6*1000000</f>
        <v>42.412152912881766</v>
      </c>
      <c r="G9" s="34"/>
      <c r="H9" s="33"/>
      <c r="I9" s="33"/>
      <c r="J9" s="33">
        <f>$C$29*('E Balans VL '!D10+'E Balans VL '!E10)/100/3.6*1000000</f>
        <v>0</v>
      </c>
      <c r="K9" s="33"/>
      <c r="L9" s="33"/>
      <c r="M9" s="33"/>
      <c r="N9" s="33">
        <f>$C$29*'E Balans VL '!Y10/100/3.6*1000000</f>
        <v>3.400322754670559</v>
      </c>
      <c r="O9" s="33"/>
      <c r="P9" s="33"/>
      <c r="R9" s="32"/>
    </row>
    <row r="10" spans="1:18">
      <c r="A10" s="32" t="s">
        <v>49</v>
      </c>
      <c r="B10" s="37">
        <f t="shared" si="0"/>
        <v>1487.8454048391202</v>
      </c>
      <c r="C10" s="33"/>
      <c r="D10" s="37">
        <f>IF(ISERROR(TER_ander_gas_kWh/1000),0,TER_ander_gas_kWh/1000)*0.903</f>
        <v>959.49933584168093</v>
      </c>
      <c r="E10" s="33">
        <f>$C$30*'E Balans VL '!I14/100/3.6*1000000</f>
        <v>19.289179352996864</v>
      </c>
      <c r="F10" s="33">
        <f>$C$30*('E Balans VL '!L14+'E Balans VL '!N14)/100/3.6*1000000</f>
        <v>1364.5631336986919</v>
      </c>
      <c r="G10" s="34"/>
      <c r="H10" s="33"/>
      <c r="I10" s="33"/>
      <c r="J10" s="33">
        <f>$C$30*('E Balans VL '!D14+'E Balans VL '!E14)/100/3.6*1000000</f>
        <v>1.5048324508977641E-2</v>
      </c>
      <c r="K10" s="33"/>
      <c r="L10" s="33"/>
      <c r="M10" s="33"/>
      <c r="N10" s="33">
        <f>$C$30*'E Balans VL '!Y14/100/3.6*1000000</f>
        <v>569.01835228964478</v>
      </c>
      <c r="O10" s="33"/>
      <c r="P10" s="33"/>
      <c r="R10" s="32"/>
    </row>
    <row r="11" spans="1:18">
      <c r="A11" s="32" t="s">
        <v>54</v>
      </c>
      <c r="B11" s="37">
        <f t="shared" si="0"/>
        <v>366.30479162389599</v>
      </c>
      <c r="C11" s="33"/>
      <c r="D11" s="37">
        <f>IF(ISERROR(TER_onderwijs_gas_kWh/1000),0,TER_onderwijs_gas_kWh/1000)*0.903</f>
        <v>288.12380657658935</v>
      </c>
      <c r="E11" s="33">
        <f>$C$31*'E Balans VL '!I11/100/3.6*1000000</f>
        <v>0</v>
      </c>
      <c r="F11" s="33">
        <f>$C$31*('E Balans VL '!L11+'E Balans VL '!N11)/100/3.6*1000000</f>
        <v>14.352799082238342</v>
      </c>
      <c r="G11" s="34"/>
      <c r="H11" s="33"/>
      <c r="I11" s="33"/>
      <c r="J11" s="33">
        <f>$C$31*('E Balans VL '!D11+'E Balans VL '!E11)/100/3.6*1000000</f>
        <v>0</v>
      </c>
      <c r="K11" s="33"/>
      <c r="L11" s="33"/>
      <c r="M11" s="33"/>
      <c r="N11" s="33">
        <f>$C$31*'E Balans VL '!Y11/100/3.6*1000000</f>
        <v>1.1535842927838369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40.5</v>
      </c>
      <c r="C13" s="243">
        <f ca="1">'lokale energieproductie'!O38+'lokale energieproductie'!O31</f>
        <v>45.5625</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-101.25</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11532.210088755453</v>
      </c>
      <c r="C16" s="21">
        <f t="shared" ca="1" si="1"/>
        <v>45.5625</v>
      </c>
      <c r="D16" s="21">
        <f t="shared" ca="1" si="1"/>
        <v>11678.622801548237</v>
      </c>
      <c r="E16" s="21">
        <f t="shared" si="1"/>
        <v>44.660638204397394</v>
      </c>
      <c r="F16" s="21">
        <f t="shared" ca="1" si="1"/>
        <v>2242.30237356423</v>
      </c>
      <c r="G16" s="21">
        <f t="shared" si="1"/>
        <v>0</v>
      </c>
      <c r="H16" s="21">
        <f t="shared" si="1"/>
        <v>0</v>
      </c>
      <c r="I16" s="21">
        <f t="shared" si="1"/>
        <v>0</v>
      </c>
      <c r="J16" s="21">
        <f t="shared" si="1"/>
        <v>1.5048324508977641E-2</v>
      </c>
      <c r="K16" s="21">
        <f t="shared" si="1"/>
        <v>0</v>
      </c>
      <c r="L16" s="21">
        <f t="shared" ca="1" si="1"/>
        <v>0</v>
      </c>
      <c r="M16" s="21">
        <f t="shared" si="1"/>
        <v>0</v>
      </c>
      <c r="N16" s="21">
        <f t="shared" ca="1" si="1"/>
        <v>580.10549056906314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8.6355803610128137E-2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995.87326961530437</v>
      </c>
      <c r="C20" s="23">
        <f t="shared" ref="C20:P20" ca="1" si="2">C16*C18</f>
        <v>0</v>
      </c>
      <c r="D20" s="23">
        <f t="shared" ca="1" si="2"/>
        <v>2359.0818059127441</v>
      </c>
      <c r="E20" s="23">
        <f t="shared" si="2"/>
        <v>10.137964872398209</v>
      </c>
      <c r="F20" s="23">
        <f t="shared" ca="1" si="2"/>
        <v>598.69473374164943</v>
      </c>
      <c r="G20" s="23">
        <f t="shared" si="2"/>
        <v>0</v>
      </c>
      <c r="H20" s="23">
        <f t="shared" si="2"/>
        <v>0</v>
      </c>
      <c r="I20" s="23">
        <f t="shared" si="2"/>
        <v>0</v>
      </c>
      <c r="J20" s="23">
        <f t="shared" si="2"/>
        <v>5.3271068761780848E-3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3488.0753703666601</v>
      </c>
      <c r="C26" s="39">
        <f>IF(ISERROR(B26*3.6/1000000/'E Balans VL '!Z12*100),0,B26*3.6/1000000/'E Balans VL '!Z12*100)</f>
        <v>0.10007255413011583</v>
      </c>
      <c r="D26" s="233" t="s">
        <v>841</v>
      </c>
      <c r="F26" s="6"/>
    </row>
    <row r="27" spans="1:18" ht="30">
      <c r="A27" s="228" t="s">
        <v>52</v>
      </c>
      <c r="B27" s="33">
        <f>IF(ISERROR(TER_horeca_ele_kWh/1000),0,TER_horeca_ele_kWh/1000)</f>
        <v>2614.27250163195</v>
      </c>
      <c r="C27" s="39">
        <f>IF(ISERROR(B27*3.6/1000000/'E Balans VL '!Z9*100),0,B27*3.6/1000000/'E Balans VL '!Z9*100)</f>
        <v>0.19152252901498587</v>
      </c>
      <c r="D27" s="233" t="s">
        <v>841</v>
      </c>
      <c r="F27" s="6"/>
    </row>
    <row r="28" spans="1:18" ht="30">
      <c r="A28" s="168" t="s">
        <v>51</v>
      </c>
      <c r="B28" s="33">
        <f>IF(ISERROR(TER_handel_ele_kWh/1000),0,TER_handel_ele_kWh/1000)</f>
        <v>3069.9945560019396</v>
      </c>
      <c r="C28" s="39">
        <f>IF(ISERROR(B28*3.6/1000000/'E Balans VL '!Z13*100),0,B28*3.6/1000000/'E Balans VL '!Z13*100)</f>
        <v>9.4865421171471856E-2</v>
      </c>
      <c r="D28" s="233" t="s">
        <v>841</v>
      </c>
      <c r="F28" s="6"/>
    </row>
    <row r="29" spans="1:18" ht="30">
      <c r="A29" s="228" t="s">
        <v>50</v>
      </c>
      <c r="B29" s="33">
        <f>IF(ISERROR(TER_gezond_ele_kWh/1000),0,TER_gezond_ele_kWh/1000)</f>
        <v>465.21746429188897</v>
      </c>
      <c r="C29" s="39">
        <f>IF(ISERROR(B29*3.6/1000000/'E Balans VL '!Z10*100),0,B29*3.6/1000000/'E Balans VL '!Z10*100)</f>
        <v>4.5594172101857677E-2</v>
      </c>
      <c r="D29" s="233" t="s">
        <v>841</v>
      </c>
      <c r="F29" s="6"/>
    </row>
    <row r="30" spans="1:18" ht="30">
      <c r="A30" s="228" t="s">
        <v>49</v>
      </c>
      <c r="B30" s="33">
        <f>IF(ISERROR(TER_ander_ele_kWh/1000),0,TER_ander_ele_kWh/1000)</f>
        <v>1487.8454048391202</v>
      </c>
      <c r="C30" s="39">
        <f>IF(ISERROR(B30*3.6/1000000/'E Balans VL '!Z14*100),0,B30*3.6/1000000/'E Balans VL '!Z14*100)</f>
        <v>6.1631363176700225E-2</v>
      </c>
      <c r="D30" s="233" t="s">
        <v>841</v>
      </c>
      <c r="F30" s="6"/>
    </row>
    <row r="31" spans="1:18" ht="30">
      <c r="A31" s="228" t="s">
        <v>54</v>
      </c>
      <c r="B31" s="33">
        <f>IF(ISERROR(TER_onderwijs_ele_kWh/1000),0,TER_onderwijs_ele_kWh/1000)</f>
        <v>366.30479162389599</v>
      </c>
      <c r="C31" s="39">
        <f>IF(ISERROR(B31*3.6/1000000/'E Balans VL '!Z11*100),0,B31*3.6/1000000/'E Balans VL '!Z11*100)</f>
        <v>0.11255432584060802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3089.3958099627971</v>
      </c>
      <c r="C5" s="17">
        <f>IF(ISERROR('Eigen informatie GS &amp; warmtenet'!B61),0,'Eigen informatie GS &amp; warmtenet'!B61)</f>
        <v>0</v>
      </c>
      <c r="D5" s="30">
        <f>SUM(D6:D15)</f>
        <v>7552.0954809417399</v>
      </c>
      <c r="E5" s="17">
        <f>SUM(E6:E15)</f>
        <v>9.7413055445471119</v>
      </c>
      <c r="F5" s="17">
        <f>SUM(F6:F15)</f>
        <v>660.20287511699325</v>
      </c>
      <c r="G5" s="18"/>
      <c r="H5" s="17"/>
      <c r="I5" s="17"/>
      <c r="J5" s="17">
        <f>SUM(J6:J15)</f>
        <v>4.2252860510916452</v>
      </c>
      <c r="K5" s="17"/>
      <c r="L5" s="17"/>
      <c r="M5" s="17"/>
      <c r="N5" s="17">
        <f>SUM(N6:N15)</f>
        <v>178.32171498089073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119.965596159382</v>
      </c>
      <c r="C8" s="33"/>
      <c r="D8" s="37">
        <f>IF( ISERROR(IND_metaal_Gas_kWH/1000),0,IND_metaal_Gas_kWH/1000)*0.903</f>
        <v>59.413133318421373</v>
      </c>
      <c r="E8" s="33">
        <f>C30*'E Balans VL '!I18/100/3.6*1000000</f>
        <v>0.65395117419589788</v>
      </c>
      <c r="F8" s="33">
        <f>C30*'E Balans VL '!L18/100/3.6*1000000+C30*'E Balans VL '!N18/100/3.6*1000000</f>
        <v>7.725793555960526</v>
      </c>
      <c r="G8" s="34"/>
      <c r="H8" s="33"/>
      <c r="I8" s="33"/>
      <c r="J8" s="40">
        <f>C30*'E Balans VL '!D18/100/3.6*1000000+C30*'E Balans VL '!E18/100/3.6*1000000</f>
        <v>9.8266456466969618E-2</v>
      </c>
      <c r="K8" s="33"/>
      <c r="L8" s="33"/>
      <c r="M8" s="33"/>
      <c r="N8" s="33">
        <f>C30*'E Balans VL '!Y18/100/3.6*1000000</f>
        <v>2.5917774321297022</v>
      </c>
      <c r="O8" s="33"/>
      <c r="P8" s="33"/>
      <c r="R8" s="32"/>
    </row>
    <row r="9" spans="1:18">
      <c r="A9" s="6" t="s">
        <v>32</v>
      </c>
      <c r="B9" s="37">
        <f t="shared" si="0"/>
        <v>922.91642575449498</v>
      </c>
      <c r="C9" s="33"/>
      <c r="D9" s="37">
        <f>IF( ISERROR(IND_andere_gas_kWh/1000),0,IND_andere_gas_kWh/1000)*0.903</f>
        <v>836.06411205885422</v>
      </c>
      <c r="E9" s="33">
        <f>C31*'E Balans VL '!I19/100/3.6*1000000</f>
        <v>2.9793313955156235</v>
      </c>
      <c r="F9" s="33">
        <f>C31*'E Balans VL '!L19/100/3.6*1000000+C31*'E Balans VL '!N19/100/3.6*1000000</f>
        <v>596.76500584348298</v>
      </c>
      <c r="G9" s="34"/>
      <c r="H9" s="33"/>
      <c r="I9" s="33"/>
      <c r="J9" s="40">
        <f>C31*'E Balans VL '!D19/100/3.6*1000000+C31*'E Balans VL '!E19/100/3.6*1000000</f>
        <v>0</v>
      </c>
      <c r="K9" s="33"/>
      <c r="L9" s="33"/>
      <c r="M9" s="33"/>
      <c r="N9" s="33">
        <f>C31*'E Balans VL '!Y19/100/3.6*1000000</f>
        <v>37.29398670277385</v>
      </c>
      <c r="O9" s="33"/>
      <c r="P9" s="33"/>
      <c r="R9" s="32"/>
    </row>
    <row r="10" spans="1:18">
      <c r="A10" s="6" t="s">
        <v>40</v>
      </c>
      <c r="B10" s="37">
        <f t="shared" si="0"/>
        <v>1896.4612945813001</v>
      </c>
      <c r="C10" s="33"/>
      <c r="D10" s="37">
        <f>IF( ISERROR(IND_voed_gas_kWh/1000),0,IND_voed_gas_kWh/1000)*0.903</f>
        <v>6518.5664985554076</v>
      </c>
      <c r="E10" s="33">
        <f>C32*'E Balans VL '!I20/100/3.6*1000000</f>
        <v>3.9754476459620305</v>
      </c>
      <c r="F10" s="33">
        <f>C32*'E Balans VL '!L20/100/3.6*1000000+C32*'E Balans VL '!N20/100/3.6*1000000</f>
        <v>36.949619955709466</v>
      </c>
      <c r="G10" s="34"/>
      <c r="H10" s="33"/>
      <c r="I10" s="33"/>
      <c r="J10" s="40">
        <f>C32*'E Balans VL '!D20/100/3.6*1000000+C32*'E Balans VL '!E20/100/3.6*1000000</f>
        <v>0</v>
      </c>
      <c r="K10" s="33"/>
      <c r="L10" s="33"/>
      <c r="M10" s="33"/>
      <c r="N10" s="33">
        <f>C32*'E Balans VL '!Y20/100/3.6*1000000</f>
        <v>75.435972537168851</v>
      </c>
      <c r="O10" s="33"/>
      <c r="P10" s="33"/>
      <c r="R10" s="32"/>
    </row>
    <row r="11" spans="1:18">
      <c r="A11" s="6" t="s">
        <v>39</v>
      </c>
      <c r="B11" s="37">
        <f t="shared" si="0"/>
        <v>31.445635063388998</v>
      </c>
      <c r="C11" s="33"/>
      <c r="D11" s="37">
        <f>IF( ISERROR(IND_textiel_gas_kWh/1000),0,IND_textiel_gas_kWh/1000)*0.903</f>
        <v>88.207704814227469</v>
      </c>
      <c r="E11" s="33">
        <f>C33*'E Balans VL '!I21/100/3.6*1000000</f>
        <v>2.7020288939252325E-2</v>
      </c>
      <c r="F11" s="33">
        <f>C33*'E Balans VL '!L21/100/3.6*1000000+C33*'E Balans VL '!N21/100/3.6*1000000</f>
        <v>0.65929037596715945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114.735845290702</v>
      </c>
      <c r="C12" s="33"/>
      <c r="D12" s="37">
        <f>IF( ISERROR(IND_min_gas_kWh/1000),0,IND_min_gas_kWh/1000)*0.903</f>
        <v>0</v>
      </c>
      <c r="E12" s="33">
        <f>C34*'E Balans VL '!I22/100/3.6*1000000</f>
        <v>1.8776588645400833</v>
      </c>
      <c r="F12" s="33">
        <f>C34*'E Balans VL '!L22/100/3.6*1000000+C34*'E Balans VL '!N22/100/3.6*1000000</f>
        <v>17.512628670210493</v>
      </c>
      <c r="G12" s="34"/>
      <c r="H12" s="33"/>
      <c r="I12" s="33"/>
      <c r="J12" s="40">
        <f>C34*'E Balans VL '!D22/100/3.6*1000000+C34*'E Balans VL '!E22/100/3.6*1000000</f>
        <v>4.1060018599912897</v>
      </c>
      <c r="K12" s="33"/>
      <c r="L12" s="33"/>
      <c r="M12" s="33"/>
      <c r="N12" s="33">
        <f>C34*'E Balans VL '!Y22/100/3.6*1000000</f>
        <v>62.877678357221711</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3.8710131135288002</v>
      </c>
      <c r="C15" s="33"/>
      <c r="D15" s="37">
        <f>IF( ISERROR(IND_rest_gas_kWh/1000),0,IND_rest_gas_kWh/1000)*0.903</f>
        <v>49.844032194829055</v>
      </c>
      <c r="E15" s="33">
        <f>C37*'E Balans VL '!I15/100/3.6*1000000</f>
        <v>0.22789617539422469</v>
      </c>
      <c r="F15" s="33">
        <f>C37*'E Balans VL '!L15/100/3.6*1000000+C37*'E Balans VL '!N15/100/3.6*1000000</f>
        <v>0.59053671566262567</v>
      </c>
      <c r="G15" s="34"/>
      <c r="H15" s="33"/>
      <c r="I15" s="33"/>
      <c r="J15" s="40">
        <f>C37*'E Balans VL '!D15/100/3.6*1000000+C37*'E Balans VL '!E15/100/3.6*1000000</f>
        <v>2.1017734633385604E-2</v>
      </c>
      <c r="K15" s="33"/>
      <c r="L15" s="33"/>
      <c r="M15" s="33"/>
      <c r="N15" s="33">
        <f>C37*'E Balans VL '!Y15/100/3.6*1000000</f>
        <v>0.12229995159659289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3089.3958099627971</v>
      </c>
      <c r="C18" s="21">
        <f>C5+C16</f>
        <v>0</v>
      </c>
      <c r="D18" s="21">
        <f>MAX((D5+D16),0)</f>
        <v>7552.0954809417399</v>
      </c>
      <c r="E18" s="21">
        <f>MAX((E5+E16),0)</f>
        <v>9.7413055445471119</v>
      </c>
      <c r="F18" s="21">
        <f>MAX((F5+F16),0)</f>
        <v>660.20287511699325</v>
      </c>
      <c r="G18" s="21"/>
      <c r="H18" s="21"/>
      <c r="I18" s="21"/>
      <c r="J18" s="21">
        <f>MAX((J5+J16),0)</f>
        <v>4.2252860510916452</v>
      </c>
      <c r="K18" s="21"/>
      <c r="L18" s="21">
        <f>MAX((L5+L16),0)</f>
        <v>0</v>
      </c>
      <c r="M18" s="21"/>
      <c r="N18" s="21">
        <f>MAX((N5+N16),0)</f>
        <v>178.32171498089073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8.6355803610128137E-2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266.78725783910005</v>
      </c>
      <c r="C22" s="23">
        <f ca="1">C18*C20</f>
        <v>0</v>
      </c>
      <c r="D22" s="23">
        <f>D18*D20</f>
        <v>1525.5232871502315</v>
      </c>
      <c r="E22" s="23">
        <f>E18*E20</f>
        <v>2.2112763586121944</v>
      </c>
      <c r="F22" s="23">
        <f>F18*F20</f>
        <v>176.27416765623721</v>
      </c>
      <c r="G22" s="23"/>
      <c r="H22" s="23"/>
      <c r="I22" s="23"/>
      <c r="J22" s="23">
        <f>J18*J20</f>
        <v>1.4957512620864424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119.965596159382</v>
      </c>
      <c r="C30" s="39">
        <f>IF(ISERROR(B30*3.6/1000000/'E Balans VL '!Z18*100),0,B30*3.6/1000000/'E Balans VL '!Z18*100)</f>
        <v>7.2239992501754498E-3</v>
      </c>
      <c r="D30" s="233" t="s">
        <v>841</v>
      </c>
    </row>
    <row r="31" spans="1:18" ht="30">
      <c r="A31" s="6" t="s">
        <v>32</v>
      </c>
      <c r="B31" s="37">
        <f>IF( ISERROR(IND_ander_ele_kWh/1000),0,IND_ander_ele_kWh/1000)</f>
        <v>922.91642575449498</v>
      </c>
      <c r="C31" s="39">
        <f>IF(ISERROR(B31*3.6/1000000/'E Balans VL '!Z19*100),0,B31*3.6/1000000/'E Balans VL '!Z19*100)</f>
        <v>3.7601525842120273E-2</v>
      </c>
      <c r="D31" s="233" t="s">
        <v>841</v>
      </c>
    </row>
    <row r="32" spans="1:18" ht="30">
      <c r="A32" s="168" t="s">
        <v>40</v>
      </c>
      <c r="B32" s="37">
        <f>IF( ISERROR(IND_voed_ele_kWh/1000),0,IND_voed_ele_kWh/1000)</f>
        <v>1896.4612945813001</v>
      </c>
      <c r="C32" s="39">
        <f>IF(ISERROR(B32*3.6/1000000/'E Balans VL '!Z20*100),0,B32*3.6/1000000/'E Balans VL '!Z20*100)</f>
        <v>5.4834327956873805E-2</v>
      </c>
      <c r="D32" s="233" t="s">
        <v>841</v>
      </c>
    </row>
    <row r="33" spans="1:5" ht="30">
      <c r="A33" s="168" t="s">
        <v>39</v>
      </c>
      <c r="B33" s="37">
        <f>IF( ISERROR(IND_textiel_ele_kWh/1000),0,IND_textiel_ele_kWh/1000)</f>
        <v>31.445635063388998</v>
      </c>
      <c r="C33" s="39">
        <f>IF(ISERROR(B33*3.6/1000000/'E Balans VL '!Z21*100),0,B33*3.6/1000000/'E Balans VL '!Z21*100)</f>
        <v>5.1713471654071435E-3</v>
      </c>
      <c r="D33" s="233" t="s">
        <v>841</v>
      </c>
    </row>
    <row r="34" spans="1:5" ht="30">
      <c r="A34" s="168" t="s">
        <v>36</v>
      </c>
      <c r="B34" s="37">
        <f>IF( ISERROR(IND_min_ele_kWh/1000),0,IND_min_ele_kWh/1000)</f>
        <v>114.735845290702</v>
      </c>
      <c r="C34" s="39">
        <f>IF(ISERROR(B34*3.6/1000000/'E Balans VL '!Z22*100),0,B34*3.6/1000000/'E Balans VL '!Z22*100)</f>
        <v>4.8991139785127362E-2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3.8710131135288002</v>
      </c>
      <c r="C37" s="39">
        <f>IF(ISERROR(B37*3.6/1000000/'E Balans VL '!Z15*100),0,B37*3.6/1000000/'E Balans VL '!Z15*100)</f>
        <v>3.1783949650906107E-5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887.03998518431695</v>
      </c>
      <c r="C5" s="17">
        <f>'Eigen informatie GS &amp; warmtenet'!B62</f>
        <v>0</v>
      </c>
      <c r="D5" s="30">
        <f>IF(ISERROR(SUM(LB_lb_gas_kWh,LB_rest_gas_kWh)/1000),0,SUM(LB_lb_gas_kWh,LB_rest_gas_kWh)/1000)*0.903</f>
        <v>458.81465211286002</v>
      </c>
      <c r="E5" s="17">
        <f>B17*'E Balans VL '!I25/3.6*1000000/100</f>
        <v>25.406326322162855</v>
      </c>
      <c r="F5" s="17">
        <f>B17*('E Balans VL '!L25/3.6*1000000+'E Balans VL '!N25/3.6*1000000)/100</f>
        <v>2807.9103812213066</v>
      </c>
      <c r="G5" s="18"/>
      <c r="H5" s="17"/>
      <c r="I5" s="17"/>
      <c r="J5" s="17">
        <f>('E Balans VL '!D25+'E Balans VL '!E25)/3.6*1000000*landbouw!B17/100</f>
        <v>225.54641305504015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887.03998518431695</v>
      </c>
      <c r="C8" s="21">
        <f>C5+C6</f>
        <v>0</v>
      </c>
      <c r="D8" s="21">
        <f>MAX((D5+D6),0)</f>
        <v>458.81465211286002</v>
      </c>
      <c r="E8" s="21">
        <f>MAX((E5+E6),0)</f>
        <v>25.406326322162855</v>
      </c>
      <c r="F8" s="21">
        <f>MAX((F5+F6),0)</f>
        <v>2807.9103812213066</v>
      </c>
      <c r="G8" s="21"/>
      <c r="H8" s="21"/>
      <c r="I8" s="21"/>
      <c r="J8" s="21">
        <f>MAX((J5+J6),0)</f>
        <v>225.54641305504015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8.6355803610128137E-2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76.601050754907845</v>
      </c>
      <c r="C12" s="23">
        <f ca="1">C8*C10</f>
        <v>0</v>
      </c>
      <c r="D12" s="23">
        <f>D8*D10</f>
        <v>92.680559726797725</v>
      </c>
      <c r="E12" s="23">
        <f>E8*E10</f>
        <v>5.7672360751309686</v>
      </c>
      <c r="F12" s="23">
        <f>F8*F10</f>
        <v>749.71207178608893</v>
      </c>
      <c r="G12" s="23"/>
      <c r="H12" s="23"/>
      <c r="I12" s="23"/>
      <c r="J12" s="23">
        <f>J8*J10</f>
        <v>79.843430221484212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0.12283491500266132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282.6507341925797</v>
      </c>
      <c r="C26" s="243">
        <f>B26*'GWP N2O_CH4'!B5</f>
        <v>5935.6654180441737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60.623439433962908</v>
      </c>
      <c r="C27" s="243">
        <f>B27*'GWP N2O_CH4'!B5</f>
        <v>1273.0922281132212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3.6649919701266231</v>
      </c>
      <c r="C28" s="243">
        <f>B28*'GWP N2O_CH4'!B4</f>
        <v>1136.1475107392532</v>
      </c>
      <c r="D28" s="50"/>
    </row>
    <row r="29" spans="1:4">
      <c r="A29" s="41" t="s">
        <v>272</v>
      </c>
      <c r="B29" s="243">
        <f>B34*'ha_N2O bodem landbouw'!B4</f>
        <v>12.438060516653621</v>
      </c>
      <c r="C29" s="243">
        <f>B29*'GWP N2O_CH4'!B4</f>
        <v>3855.7987601626228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2.8257047419606839E-3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4.943538376482046E-4</v>
      </c>
      <c r="C5" s="434" t="s">
        <v>210</v>
      </c>
      <c r="D5" s="419">
        <f>SUM(D6:D11)</f>
        <v>9.4525885703677882E-4</v>
      </c>
      <c r="E5" s="419">
        <f>SUM(E6:E11)</f>
        <v>3.6705443758735249E-4</v>
      </c>
      <c r="F5" s="432" t="s">
        <v>210</v>
      </c>
      <c r="G5" s="419">
        <f>SUM(G6:G11)</f>
        <v>0.16571995489827998</v>
      </c>
      <c r="H5" s="419">
        <f>SUM(H6:H11)</f>
        <v>4.614831508215228E-2</v>
      </c>
      <c r="I5" s="434" t="s">
        <v>210</v>
      </c>
      <c r="J5" s="434" t="s">
        <v>210</v>
      </c>
      <c r="K5" s="434" t="s">
        <v>210</v>
      </c>
      <c r="L5" s="434" t="s">
        <v>210</v>
      </c>
      <c r="M5" s="419">
        <f>SUM(M6:M11)</f>
        <v>1.2786871131173215E-2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2.9285023674101751E-4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4.8826517824854775E-4</v>
      </c>
      <c r="E6" s="886">
        <f>vkm_GW_PW*SUMIFS(TableVerdeelsleutelVkm[LPG],TableVerdeelsleutelVkm[Voertuigtype],"Lichte voertuigen")*SUMIFS(TableECFTransport[EnergieConsumptieFactor (PJ per km)],TableECFTransport[Index],CONCATENATE($A6,"_LPG_LPG"))</f>
        <v>1.9357728436617051E-4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5.8174836698637968E-2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2.3945378925552502E-2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5.0378330487379063E-3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8.9336029054585899E-7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3.5413365011816772E-2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2.6129937467313152E-7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2.033375529871811E-3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2.0013270896259591E-4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4.5699367878823113E-4</v>
      </c>
      <c r="E8" s="422">
        <f>vkm_NGW_PW*SUMIFS(TableVerdeelsleutelVkm[LPG],TableVerdeelsleutelVkm[Voertuigtype],"Lichte voertuigen")*SUMIFS(TableECFTransport[EnergieConsumptieFactor (PJ per km)],TableECFTransport[Index],CONCATENATE($A8,"_LPG_LPG"))</f>
        <v>1.7347715322118198E-4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4.7754804880716054E-2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2.2202506267797118E-2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4.3159802051774797E-3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4.7753165404530952E-7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2.4376948307109198E-2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1.6858942798601426E-7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1.3996823473860162E-3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137.32051045783462</v>
      </c>
      <c r="C14" s="21"/>
      <c r="D14" s="21">
        <f t="shared" ref="D14:M14" si="0">((D5)*10^9/3600)+D12</f>
        <v>262.57190473243855</v>
      </c>
      <c r="E14" s="21">
        <f t="shared" si="0"/>
        <v>101.9595659964868</v>
      </c>
      <c r="F14" s="21"/>
      <c r="G14" s="21">
        <f t="shared" si="0"/>
        <v>46033.320805077776</v>
      </c>
      <c r="H14" s="21">
        <f t="shared" si="0"/>
        <v>12818.976411708965</v>
      </c>
      <c r="I14" s="21"/>
      <c r="J14" s="21"/>
      <c r="K14" s="21"/>
      <c r="L14" s="21"/>
      <c r="M14" s="21">
        <f t="shared" si="0"/>
        <v>3551.9086475481149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8.6355803610128137E-2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11.858423032739314</v>
      </c>
      <c r="C18" s="23"/>
      <c r="D18" s="23">
        <f t="shared" ref="D18:M18" si="1">D14*D16</f>
        <v>53.039524755952591</v>
      </c>
      <c r="E18" s="23">
        <f t="shared" si="1"/>
        <v>23.144821481202506</v>
      </c>
      <c r="F18" s="23"/>
      <c r="G18" s="23">
        <f t="shared" si="1"/>
        <v>12290.896654955766</v>
      </c>
      <c r="H18" s="23">
        <f t="shared" si="1"/>
        <v>3191.9251265155322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3.9959164497040211E-5</v>
      </c>
      <c r="C50" s="315">
        <f t="shared" ref="C50:P50" si="2">SUM(C51:C52)</f>
        <v>0</v>
      </c>
      <c r="D50" s="315">
        <f t="shared" si="2"/>
        <v>0</v>
      </c>
      <c r="E50" s="315">
        <f t="shared" si="2"/>
        <v>0</v>
      </c>
      <c r="F50" s="315">
        <f t="shared" si="2"/>
        <v>0</v>
      </c>
      <c r="G50" s="315">
        <f t="shared" si="2"/>
        <v>2.5015645025297313E-3</v>
      </c>
      <c r="H50" s="315">
        <f t="shared" si="2"/>
        <v>0</v>
      </c>
      <c r="I50" s="315">
        <f t="shared" si="2"/>
        <v>0</v>
      </c>
      <c r="J50" s="315">
        <f t="shared" si="2"/>
        <v>0</v>
      </c>
      <c r="K50" s="315">
        <f t="shared" si="2"/>
        <v>0</v>
      </c>
      <c r="L50" s="315">
        <f t="shared" si="2"/>
        <v>0</v>
      </c>
      <c r="M50" s="315">
        <f t="shared" si="2"/>
        <v>1.4363429468897582E-4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3.9959164497040211E-5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2.5015645025297313E-3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1.4363429468897582E-4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11.099767915844504</v>
      </c>
      <c r="C54" s="21">
        <f t="shared" ref="C54:P54" si="3">(C50)*10^9/3600</f>
        <v>0</v>
      </c>
      <c r="D54" s="21">
        <f t="shared" si="3"/>
        <v>0</v>
      </c>
      <c r="E54" s="21">
        <f t="shared" si="3"/>
        <v>0</v>
      </c>
      <c r="F54" s="21">
        <f t="shared" si="3"/>
        <v>0</v>
      </c>
      <c r="G54" s="21">
        <f t="shared" si="3"/>
        <v>694.879028480481</v>
      </c>
      <c r="H54" s="21">
        <f t="shared" si="3"/>
        <v>0</v>
      </c>
      <c r="I54" s="21">
        <f t="shared" si="3"/>
        <v>0</v>
      </c>
      <c r="J54" s="21">
        <f t="shared" si="3"/>
        <v>0</v>
      </c>
      <c r="K54" s="21">
        <f t="shared" si="3"/>
        <v>0</v>
      </c>
      <c r="L54" s="21">
        <f t="shared" si="3"/>
        <v>0</v>
      </c>
      <c r="M54" s="21">
        <f t="shared" si="3"/>
        <v>39.898415191382171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8.6355803610128137E-2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0.95852937825866935</v>
      </c>
      <c r="C58" s="23">
        <f t="shared" ref="C58:P58" ca="1" si="4">C54*C56</f>
        <v>0</v>
      </c>
      <c r="D58" s="23">
        <f t="shared" si="4"/>
        <v>0</v>
      </c>
      <c r="E58" s="23">
        <f t="shared" si="4"/>
        <v>0</v>
      </c>
      <c r="F58" s="23">
        <f t="shared" si="4"/>
        <v>0</v>
      </c>
      <c r="G58" s="23">
        <f t="shared" si="4"/>
        <v>185.53270060428844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23314.440719739981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5018.4830564824751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40.5</v>
      </c>
      <c r="C8" s="545">
        <f>B48</f>
        <v>0</v>
      </c>
      <c r="D8" s="546"/>
      <c r="E8" s="546">
        <f>E48</f>
        <v>0</v>
      </c>
      <c r="F8" s="547"/>
      <c r="G8" s="548"/>
      <c r="H8" s="546">
        <f>I48</f>
        <v>0</v>
      </c>
      <c r="I8" s="546">
        <f>G48+F48</f>
        <v>47.647058823529413</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28373.423776222458</v>
      </c>
      <c r="C10" s="560">
        <f t="shared" ref="C10:L10" si="0">SUM(C8:C9)</f>
        <v>0</v>
      </c>
      <c r="D10" s="560">
        <f t="shared" si="0"/>
        <v>0</v>
      </c>
      <c r="E10" s="560">
        <f t="shared" si="0"/>
        <v>0</v>
      </c>
      <c r="F10" s="560">
        <f t="shared" si="0"/>
        <v>0</v>
      </c>
      <c r="G10" s="560">
        <f t="shared" si="0"/>
        <v>0</v>
      </c>
      <c r="H10" s="560">
        <f t="shared" si="0"/>
        <v>0</v>
      </c>
      <c r="I10" s="560">
        <f t="shared" si="0"/>
        <v>47.647058823529413</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45.5625</v>
      </c>
      <c r="C17" s="576">
        <f>B49</f>
        <v>0</v>
      </c>
      <c r="D17" s="577"/>
      <c r="E17" s="577">
        <f>E49</f>
        <v>0</v>
      </c>
      <c r="F17" s="578"/>
      <c r="G17" s="579"/>
      <c r="H17" s="576">
        <f>I49</f>
        <v>0</v>
      </c>
      <c r="I17" s="577">
        <f>G49+F49</f>
        <v>53.602941176470587</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45.5625</v>
      </c>
      <c r="C20" s="559">
        <f>SUM(C17:C19)</f>
        <v>0</v>
      </c>
      <c r="D20" s="559">
        <f t="shared" ref="D20:L20" si="1">SUM(D17:D19)</f>
        <v>0</v>
      </c>
      <c r="E20" s="559">
        <f t="shared" si="1"/>
        <v>0</v>
      </c>
      <c r="F20" s="559">
        <f t="shared" si="1"/>
        <v>0</v>
      </c>
      <c r="G20" s="559">
        <f t="shared" si="1"/>
        <v>0</v>
      </c>
      <c r="H20" s="559">
        <f t="shared" si="1"/>
        <v>0</v>
      </c>
      <c r="I20" s="559">
        <f t="shared" si="1"/>
        <v>53.602941176470587</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42003</v>
      </c>
      <c r="C28" s="787">
        <v>9290</v>
      </c>
      <c r="D28" s="637" t="s">
        <v>874</v>
      </c>
      <c r="E28" s="636" t="s">
        <v>875</v>
      </c>
      <c r="F28" s="636" t="s">
        <v>876</v>
      </c>
      <c r="G28" s="636" t="s">
        <v>877</v>
      </c>
      <c r="H28" s="636" t="s">
        <v>878</v>
      </c>
      <c r="I28" s="636" t="s">
        <v>875</v>
      </c>
      <c r="J28" s="786">
        <v>40787</v>
      </c>
      <c r="K28" s="786">
        <v>40848</v>
      </c>
      <c r="L28" s="636" t="s">
        <v>879</v>
      </c>
      <c r="M28" s="636">
        <v>9</v>
      </c>
      <c r="N28" s="636">
        <v>40.5</v>
      </c>
      <c r="O28" s="636">
        <v>45.5625</v>
      </c>
      <c r="P28" s="636">
        <v>0</v>
      </c>
      <c r="Q28" s="636">
        <v>0</v>
      </c>
      <c r="R28" s="636">
        <v>0</v>
      </c>
      <c r="S28" s="636">
        <v>0</v>
      </c>
      <c r="T28" s="636">
        <v>0</v>
      </c>
      <c r="U28" s="636">
        <v>101.25</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9</v>
      </c>
      <c r="N29" s="594">
        <f>SUM(N28:N28)</f>
        <v>40.5</v>
      </c>
      <c r="O29" s="594">
        <f>SUM(O28:O28)</f>
        <v>45.5625</v>
      </c>
      <c r="P29" s="594">
        <f>SUM(P28:P28)</f>
        <v>0</v>
      </c>
      <c r="Q29" s="594">
        <f>SUM(Q28:Q28)</f>
        <v>0</v>
      </c>
      <c r="R29" s="594">
        <f>SUM(R28:R28)</f>
        <v>0</v>
      </c>
      <c r="S29" s="594">
        <f>SUM(S28:S28)</f>
        <v>0</v>
      </c>
      <c r="T29" s="594">
        <f>SUM(T28:T28)</f>
        <v>0</v>
      </c>
      <c r="U29" s="594">
        <f>SUM(U28:U28)</f>
        <v>101.25</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9</v>
      </c>
      <c r="N31" s="594">
        <f ca="1">SUMIF($Z$28:AD28,"tertiair",N28:N28)</f>
        <v>40.5</v>
      </c>
      <c r="O31" s="594">
        <f ca="1">SUMIF($Z$28:AE28,"tertiair",O28:O28)</f>
        <v>45.5625</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101.25</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0.52941176470588236</v>
      </c>
      <c r="C45" s="619">
        <f>IF(ISERROR(N29/(O29+N29)),0,N29/(N29+O29))</f>
        <v>0.47058823529411764</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47.647058823529413</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53.602941176470587</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2021-06-29T14:19:24Z</dcterms:modified>
</cp:coreProperties>
</file>