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B35" i="13"/>
  <c r="B34" i="13"/>
  <c r="B33" i="13"/>
  <c r="B32" i="13"/>
  <c r="B36" i="13"/>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<sst xmlns="http://schemas.openxmlformats.org/spreadsheetml/2006/main" count="2429" uniqueCount="874">
  <si>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</si>
  <si>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</si>
  <si>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</si>
  <si>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</si>
  <si>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</si>
  <si>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</si>
  <si>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</si>
  <si>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</si>
  <si>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</si>
  <si>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</si>
  <si>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</si>
  <si>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</si>
  <si>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</si>
  <si>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</si>
  <si>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</si>
  <si>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</si>
  <si>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</si>
  <si>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</si>
  <si>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</si>
  <si>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</si>
  <si>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</si>
  <si>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</si>
  <si>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</si>
  <si>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</si>
  <si>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</si>
  <si>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</si>
  <si>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</si>
  <si>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</si>
  <si>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</si>
  <si>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</si>
  <si>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</si>
  <si>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</si>
  <si>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</si>
  <si>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</si>
  <si>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</si>
  <si>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</si>
  <si>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</si>
  <si>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</si>
  <si>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</si>
  <si>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</si>
  <si>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</si>
  <si>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</si>
  <si>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</si>
  <si>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</si>
  <si>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</si>
  <si>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</si>
  <si>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</si>
  <si>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</si>
  <si>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</si>
  <si>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</si>
  <si>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</si>
  <si>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</si>
  <si>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</si>
  <si>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</si>
  <si>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</si>
  <si>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</si>
  <si>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</si>
  <si>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</si>
  <si>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</si>
  <si>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</si>
  <si>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</si>
  <si>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</si>
  <si>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</si>
  <si>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</si>
  <si>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</si>
  <si>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</si>
  <si>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</si>
  <si>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</si>
  <si>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</si>
  <si>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</si>
  <si>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</si>
  <si>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</si>
  <si>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</si>
  <si>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</si>
  <si>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</si>
  <si>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</si>
  <si>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</si>
  <si>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</si>
  <si>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</si>
  <si>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</si>
  <si>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</si>
  <si>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</si>
  <si>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</si>
  <si>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</si>
  <si>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</si>
  <si>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</si>
  <si>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</si>
  <si>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</si>
  <si>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</si>
  <si>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</si>
  <si>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</si>
  <si>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</si>
  <si>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</si>
  <si>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</si>
  <si>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</si>
  <si>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</si>
  <si>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</si>
  <si>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</si>
  <si>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</si>
  <si>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</si>
  <si>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</si>
  <si>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</si>
  <si>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</si>
  <si>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</si>
  <si>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</si>
  <si>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</si>
  <si>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</si>
  <si>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</si>
  <si>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</si>
  <si>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</si>
  <si>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</si>
  <si>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</si>
  <si>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</si>
  <si>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</si>
  <si>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</si>
  <si>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</si>
  <si>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</si>
  <si>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</si>
  <si>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</si>
  <si>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</si>
  <si>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</si>
  <si>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</si>
  <si>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</si>
  <si>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</si>
  <si>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</si>
  <si>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</si>
  <si>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</si>
  <si>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</si>
  <si>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</si>
  <si>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</si>
  <si>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</si>
  <si>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</si>
  <si>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</si>
  <si>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</si>
  <si>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</si>
  <si>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</si>
  <si>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</si>
  <si>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</si>
  <si>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</si>
  <si>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</si>
  <si>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</si>
  <si>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</si>
  <si>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</si>
  <si>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</si>
  <si>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</si>
  <si>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</si>
  <si>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</si>
  <si>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</si>
  <si>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</si>
  <si>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</si>
  <si>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</si>
  <si>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</si>
  <si>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</si>
  <si>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</si>
  <si>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</si>
  <si>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</si>
  <si>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</si>
  <si>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</si>
  <si>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</si>
  <si>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</si>
  <si>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</si>
  <si>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</si>
  <si>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</si>
  <si>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</si>
  <si>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</si>
  <si>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</si>
  <si>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</si>
  <si>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</si>
  <si>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</si>
  <si>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</si>
  <si>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</si>
  <si>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</si>
  <si>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</si>
  <si>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</si>
  <si>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</si>
  <si>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</si>
  <si>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</si>
  <si>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</si>
  <si>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</si>
  <si>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</si>
  <si>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</si>
  <si>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</si>
  <si>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</si>
  <si>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</si>
  <si>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</si>
  <si>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</si>
  <si>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</si>
  <si>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</si>
  <si>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</si>
  <si>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</si>
  <si>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</si>
  <si>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</si>
  <si>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</si>
  <si>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</si>
  <si>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</si>
  <si>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</si>
  <si>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</si>
  <si>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</si>
  <si>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</si>
  <si>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</si>
  <si>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</si>
  <si>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</si>
  <si>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</si>
  <si>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</si>
  <si>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</si>
  <si>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</si>
  <si>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</si>
  <si>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</si>
  <si>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</si>
  <si>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</si>
  <si>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</si>
  <si>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</si>
  <si>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</si>
  <si>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</si>
  <si>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</si>
  <si>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</si>
  <si>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</si>
  <si>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</si>
  <si>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</si>
  <si>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</si>
  <si>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</si>
  <si>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</si>
  <si>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</si>
  <si>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</si>
  <si>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</si>
  <si>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</si>
  <si>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</si>
  <si>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</si>
  <si>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</si>
  <si>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</si>
  <si>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</si>
  <si>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</si>
  <si>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</si>
  <si>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</si>
  <si>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</si>
  <si>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</si>
  <si>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</si>
  <si>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</si>
  <si>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</si>
  <si>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</si>
  <si>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</si>
  <si>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</si>
  <si>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</si>
  <si>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</si>
  <si>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</si>
  <si>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</si>
  <si>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</si>
  <si>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</si>
  <si>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</si>
  <si>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</si>
  <si>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</si>
  <si>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</si>
  <si>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</si>
  <si>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</si>
  <si>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</si>
  <si>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</si>
  <si>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</si>
  <si>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</si>
  <si>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</si>
  <si>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</si>
  <si>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</si>
  <si>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</si>
  <si>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</si>
  <si>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</si>
  <si>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</si>
  <si>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</si>
  <si>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</si>
  <si>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</si>
  <si>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</si>
  <si>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</si>
  <si>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</si>
  <si>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</si>
  <si>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</si>
  <si>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</si>
  <si>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</si>
  <si>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</si>
  <si>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</si>
  <si>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</si>
  <si>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</si>
  <si>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</si>
  <si>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</si>
  <si>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</si>
  <si>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</si>
  <si>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</si>
  <si>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</si>
  <si>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</si>
  <si>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</si>
  <si>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</si>
  <si>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</si>
  <si>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</si>
  <si>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</si>
  <si>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</si>
  <si>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</si>
  <si>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</si>
  <si>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</si>
  <si>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</si>
  <si>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</si>
  <si>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</si>
  <si>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</si>
  <si>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</si>
  <si>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</si>
  <si>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</si>
  <si>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</si>
  <si>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</si>
  <si>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</si>
  <si>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</si>
  <si>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</si>
  <si>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</si>
  <si>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</si>
  <si>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</si>
  <si>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</si>
  <si>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</si>
  <si>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</si>
  <si>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</si>
  <si>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</si>
  <si>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</si>
  <si>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</si>
  <si>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</si>
  <si>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</si>
  <si>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</si>
  <si>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</si>
  <si>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</si>
  <si>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</si>
  <si>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</si>
  <si>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</si>
  <si>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</si>
  <si>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</si>
  <si>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</si>
  <si>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</si>
  <si>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</si>
  <si>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</si>
  <si>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</si>
  <si>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</si>
  <si>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</si>
  <si>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</si>
  <si>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</si>
  <si>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</si>
  <si>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</si>
  <si>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</si>
  <si>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</si>
  <si>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</si>
  <si>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</si>
  <si>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</si>
  <si>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</si>
  <si>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</si>
  <si>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</si>
  <si>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</si>
  <si>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</si>
  <si>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</si>
  <si>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</si>
  <si>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</si>
  <si>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</si>
  <si>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</si>
  <si>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</si>
  <si>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</si>
  <si>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</si>
  <si>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</si>
  <si>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</si>
  <si>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</si>
  <si>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</si>
  <si>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</si>
  <si>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</si>
  <si>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</si>
  <si>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</si>
  <si>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</si>
  <si>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</si>
  <si>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</si>
  <si>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</si>
  <si>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</si>
  <si>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</si>
  <si>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</si>
  <si>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</si>
  <si>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</si>
  <si>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</si>
  <si>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</si>
  <si>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</si>
  <si>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</si>
  <si>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</si>
  <si>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</si>
  <si>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</si>
  <si>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</si>
  <si>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</si>
  <si>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</si>
  <si>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</si>
  <si>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</si>
  <si>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</si>
  <si>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</si>
  <si>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</si>
  <si>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</si>
  <si>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</si>
  <si>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</si>
  <si>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</si>
  <si>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</si>
  <si>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</si>
  <si>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</si>
  <si>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</si>
  <si>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</si>
  <si>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</si>
  <si>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</si>
  <si>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</si>
  <si>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</si>
  <si>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</si>
  <si>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</si>
  <si>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</si>
  <si>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</si>
  <si>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</si>
  <si>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</si>
  <si>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</si>
  <si>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</si>
  <si>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</si>
  <si>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</si>
  <si>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</si>
  <si>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</si>
  <si>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</si>
  <si>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</si>
  <si>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</si>
  <si>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</si>
  <si>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</si>
  <si>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</si>
  <si>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</si>
  <si>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</si>
  <si>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</si>
  <si>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</si>
  <si>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</si>
  <si>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</si>
  <si>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</si>
  <si>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</si>
  <si>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</si>
  <si>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</si>
  <si>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</si>
  <si>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</si>
  <si>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</si>
  <si>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</si>
  <si>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</si>
  <si>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</si>
  <si>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</si>
  <si>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</si>
  <si>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</si>
  <si>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</si>
  <si>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</si>
  <si>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</si>
  <si>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</si>
  <si>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</si>
  <si>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</si>
  <si>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</si>
  <si>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</si>
  <si>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</si>
  <si>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</si>
  <si>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</si>
  <si>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</si>
  <si>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</si>
  <si>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</si>
  <si>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</si>
  <si>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</si>
  <si>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</si>
  <si>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</si>
  <si>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</si>
  <si>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</si>
  <si>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</si>
  <si>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</si>
  <si>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</si>
  <si>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</si>
  <si>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</si>
  <si>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</si>
  <si>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</si>
  <si>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</si>
  <si>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</si>
  <si>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</si>
  <si>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</si>
  <si>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</si>
  <si>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</si>
  <si>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</si>
  <si>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</si>
  <si>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</si>
  <si>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</si>
  <si>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</si>
  <si>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</si>
  <si>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</si>
  <si>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</si>
  <si>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</si>
  <si>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</si>
  <si>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</si>
  <si>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</si>
  <si>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</si>
  <si>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</si>
  <si>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</si>
  <si>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</si>
  <si>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</si>
  <si>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</si>
  <si>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</si>
  <si>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</si>
  <si>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</si>
  <si>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</si>
  <si>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</si>
  <si>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</si>
  <si>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</si>
  <si>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</si>
  <si>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</si>
  <si>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</si>
  <si>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</si>
  <si>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</si>
  <si>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</si>
  <si>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</si>
  <si>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</si>
  <si>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</si>
  <si>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</si>
  <si>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</si>
  <si>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</si>
  <si>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</si>
  <si>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</si>
  <si>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</si>
  <si>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</si>
  <si>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</si>
  <si>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</si>
  <si>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</si>
  <si>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</si>
  <si>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</si>
  <si>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</si>
  <si>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</si>
  <si>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</si>
  <si>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</si>
  <si>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</si>
  <si>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</si>
  <si>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</si>
  <si>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</si>
  <si>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</si>
  <si>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</si>
  <si>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</si>
  <si>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</si>
  <si>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</si>
  <si>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</si>
  <si>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</si>
  <si>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</si>
  <si>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</si>
  <si>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</si>
  <si>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</si>
  <si>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</si>
  <si>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</si>
  <si>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</si>
  <si>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</si>
  <si>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</si>
  <si>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</si>
  <si>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</si>
  <si>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</si>
  <si>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</si>
  <si>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</si>
  <si>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</si>
  <si>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</si>
  <si>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</si>
  <si>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</si>
  <si>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</si>
  <si>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</si>
  <si>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</si>
  <si>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</si>
  <si>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</si>
  <si>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</si>
  <si>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</si>
  <si>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</si>
  <si>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</si>
  <si>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</si>
  <si>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</si>
  <si>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</si>
  <si>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</si>
  <si>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</si>
  <si>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</si>
  <si>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</si>
  <si>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</si>
  <si>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</si>
  <si>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</si>
  <si>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</si>
  <si>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</si>
  <si>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</si>
  <si>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</si>
  <si>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</si>
  <si>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</si>
  <si>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</si>
  <si>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</si>
  <si>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</si>
  <si>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</si>
  <si>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</si>
  <si>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</si>
  <si>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</si>
  <si>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</si>
  <si>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</si>
  <si>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</si>
  <si>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</si>
  <si>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</si>
  <si>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</si>
  <si>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</si>
  <si>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</si>
  <si>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</si>
  <si>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</si>
  <si>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</si>
  <si>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</si>
  <si>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</si>
  <si>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</si>
  <si>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</si>
  <si>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</si>
  <si>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</si>
  <si>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</si>
  <si>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</si>
  <si>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</si>
  <si>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</si>
  <si>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</si>
  <si>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</si>
  <si>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</si>
  <si>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</si>
  <si>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</si>
  <si>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</si>
  <si>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</si>
  <si>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</si>
  <si>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</si>
  <si>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</si>
  <si>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</si>
  <si>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</si>
  <si>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</si>
  <si>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</si>
  <si>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</si>
  <si>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</si>
  <si>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</si>
  <si>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</si>
  <si>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</si>
  <si>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</si>
  <si>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</si>
  <si>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</si>
  <si>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</si>
  <si>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</si>
  <si>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</si>
  <si>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</si>
  <si>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</si>
  <si>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</si>
  <si>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</si>
  <si>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</si>
  <si>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</si>
  <si>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</si>
  <si>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</si>
  <si>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</si>
  <si>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</si>
  <si>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</si>
  <si>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</si>
  <si>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</si>
  <si>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</si>
  <si>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</si>
  <si>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</si>
  <si>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</si>
  <si>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</si>
  <si>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</si>
  <si>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</si>
  <si>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</si>
  <si>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</si>
  <si>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</si>
  <si>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</si>
  <si>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</si>
  <si>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</si>
  <si>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</si>
  <si>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</si>
  <si>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</si>
  <si>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</si>
  <si>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</si>
  <si>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</si>
  <si>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</si>
  <si>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</si>
  <si>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</si>
  <si>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</si>
  <si>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</si>
  <si>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</si>
  <si>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</si>
  <si>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</si>
  <si>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</si>
  <si>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</si>
  <si>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</si>
  <si>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</si>
  <si>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</si>
  <si>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</si>
  <si>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</si>
  <si>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</si>
  <si>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</si>
  <si>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</si>
  <si>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</si>
  <si>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</si>
  <si>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</si>
  <si>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</si>
  <si>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</si>
  <si>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</si>
  <si>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</si>
  <si>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</si>
  <si>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</si>
  <si>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</si>
  <si>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</si>
  <si>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</si>
  <si>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</si>
  <si>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</si>
  <si>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</si>
  <si>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</si>
  <si>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</si>
  <si>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</si>
  <si>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</si>
  <si>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</si>
  <si>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</si>
  <si>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</si>
  <si>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</si>
  <si>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</si>
  <si>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</si>
  <si>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</si>
  <si>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</si>
  <si>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</si>
  <si>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</si>
  <si>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</si>
  <si>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</si>
  <si>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</si>
  <si>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</si>
  <si>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</si>
  <si>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</si>
  <si>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</si>
  <si>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</si>
  <si>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</si>
  <si>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</si>
  <si>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</si>
  <si>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</si>
  <si>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</si>
  <si>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</si>
  <si>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</si>
  <si>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</si>
  <si>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</si>
  <si>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</si>
  <si>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</si>
  <si>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</si>
  <si>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</si>
  <si>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</si>
  <si>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</si>
  <si>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</si>
  <si>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</si>
  <si>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</si>
  <si>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</si>
  <si>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</si>
  <si>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</si>
  <si>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</si>
  <si>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</si>
  <si>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</si>
  <si>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</si>
  <si>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</si>
  <si>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</si>
  <si>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</si>
  <si>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</si>
  <si>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</si>
  <si>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</si>
  <si>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</si>
  <si>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</si>
  <si>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</si>
  <si>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</si>
  <si>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</si>
  <si>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</si>
  <si>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</si>
  <si>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</si>
  <si>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</si>
  <si>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</si>
  <si>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</si>
  <si>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</si>
  <si>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</si>
  <si>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</si>
  <si>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</si>
  <si>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</si>
  <si>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</si>
  <si>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</si>
  <si>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</si>
  <si>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</si>
  <si>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</si>
  <si>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</si>
  <si>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</si>
  <si>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</si>
  <si>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</si>
  <si>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</si>
  <si>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</si>
  <si>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</si>
  <si>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</si>
  <si>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</si>
  <si>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</si>
  <si>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</si>
  <si>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</si>
  <si>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</si>
  <si>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</si>
  <si>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</si>
  <si>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</si>
  <si>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</si>
  <si>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</si>
  <si>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</si>
  <si>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</si>
  <si>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</si>
  <si>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</si>
  <si>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</si>
  <si>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</si>
  <si>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</si>
  <si>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</si>
  <si>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</si>
  <si>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</si>
  <si>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</si>
  <si>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</si>
  <si>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</si>
  <si>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</si>
  <si>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</si>
  <si>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</si>
  <si>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</si>
  <si>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</si>
  <si>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</si>
  <si>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</si>
  <si>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</si>
  <si>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</si>
  <si>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</si>
  <si>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</si>
  <si>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</si>
  <si>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</si>
  <si>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</si>
  <si>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</si>
  <si>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</si>
  <si>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</si>
  <si>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</si>
  <si>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</si>
  <si>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</si>
  <si>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</si>
  <si>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</si>
  <si>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</si>
  <si>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</si>
  <si>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</si>
  <si>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</si>
  <si>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</si>
  <si>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</si>
  <si>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</si>
  <si>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</si>
  <si>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</si>
  <si>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</si>
  <si>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</si>
  <si>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</si>
  <si>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</si>
  <si>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</si>
  <si>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</si>
  <si>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</si>
  <si>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</si>
  <si>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</si>
  <si>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</si>
  <si>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</si>
  <si>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</si>
  <si>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</si>
  <si>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</si>
  <si>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</si>
  <si>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</si>
  <si>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</si>
  <si>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</si>
  <si>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</si>
  <si>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</si>
  <si>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</si>
  <si>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</si>
  <si>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</si>
  <si>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</si>
  <si>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</si>
  <si>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</si>
  <si>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</si>
  <si>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</si>
  <si>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</si>
  <si>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</si>
  <si>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</si>
  <si>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</si>
  <si>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</si>
  <si>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</si>
  <si>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</si>
  <si>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</si>
  <si>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</si>
  <si>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</si>
  <si>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</si>
  <si>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</si>
  <si>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</si>
  <si>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41011</t>
  </si>
  <si>
    <t>DENDERLEEUW</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</si>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</sst>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161148.97041105098</c:v>
                </c:pt>
                <c:pt idx="1">
                  <c:v>28865.021778778217</c:v>
                </c:pt>
                <c:pt idx="2">
                  <c:v>1116.6690000000001</c:v>
                </c:pt>
                <c:pt idx="3">
                  <c:v>209.26548412951107</c:v>
                </c:pt>
                <c:pt idx="4">
                  <c:v>136949.96557646964</c:v>
                </c:pt>
                <c:pt idx="5">
                  <c:v>53683.236713001374</c:v>
                </c:pt>
                <c:pt idx="6">
                  <c:v>794.34605440149687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161148.97041105098</c:v>
                </c:pt>
                <c:pt idx="1">
                  <c:v>28865.021778778217</c:v>
                </c:pt>
                <c:pt idx="2">
                  <c:v>1116.6690000000001</c:v>
                </c:pt>
                <c:pt idx="3">
                  <c:v>209.26548412951107</c:v>
                </c:pt>
                <c:pt idx="4">
                  <c:v>136949.96557646964</c:v>
                </c:pt>
                <c:pt idx="5">
                  <c:v>53683.236713001374</c:v>
                </c:pt>
                <c:pt idx="6">
                  <c:v>794.34605440149687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32518.808934108969</c:v>
                </c:pt>
                <c:pt idx="1">
                  <c:v>5700.3060113395086</c:v>
                </c:pt>
                <c:pt idx="2">
                  <c:v>222.58782154181887</c:v>
                </c:pt>
                <c:pt idx="3">
                  <c:v>52.089341955062721</c:v>
                </c:pt>
                <c:pt idx="4">
                  <c:v>27632.248264402726</c:v>
                </c:pt>
                <c:pt idx="5">
                  <c:v>13256.656350836029</c:v>
                </c:pt>
                <c:pt idx="6">
                  <c:v>199.94536312725444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32518.808934108969</c:v>
                </c:pt>
                <c:pt idx="1">
                  <c:v>5700.3060113395086</c:v>
                </c:pt>
                <c:pt idx="2">
                  <c:v>222.58782154181887</c:v>
                </c:pt>
                <c:pt idx="3">
                  <c:v>52.089341955062721</c:v>
                </c:pt>
                <c:pt idx="4">
                  <c:v>27632.248264402726</c:v>
                </c:pt>
                <c:pt idx="5">
                  <c:v>13256.656350836029</c:v>
                </c:pt>
                <c:pt idx="6">
                  <c:v>199.94536312725444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41011</v>
      </c>
      <c r="B6" s="386"/>
      <c r="C6" s="387"/>
    </row>
    <row r="7" spans="1:7" s="384" customFormat="1" ht="15.75" customHeight="1">
      <c r="A7" s="388" t="str">
        <f>txtMunicipality</f>
        <v>DENDERLEEUW</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12626.68472785244</v>
      </c>
      <c r="D10" s="683">
        <f ca="1">tertiair!C16</f>
        <v>0</v>
      </c>
      <c r="E10" s="683">
        <f ca="1">tertiair!D16</f>
        <v>13110.503472536016</v>
      </c>
      <c r="F10" s="683">
        <f>tertiair!E16</f>
        <v>73.353614241930828</v>
      </c>
      <c r="G10" s="683">
        <f ca="1">tertiair!F16</f>
        <v>2775.3244101565037</v>
      </c>
      <c r="H10" s="683">
        <f>tertiair!G16</f>
        <v>0</v>
      </c>
      <c r="I10" s="683">
        <f>tertiair!H16</f>
        <v>0</v>
      </c>
      <c r="J10" s="683">
        <f>tertiair!I16</f>
        <v>0</v>
      </c>
      <c r="K10" s="683">
        <f>tertiair!J16</f>
        <v>2.0948968099977028E-2</v>
      </c>
      <c r="L10" s="683">
        <f>tertiair!K16</f>
        <v>0</v>
      </c>
      <c r="M10" s="683">
        <f ca="1">tertiair!L16</f>
        <v>0</v>
      </c>
      <c r="N10" s="683">
        <f>tertiair!M16</f>
        <v>0</v>
      </c>
      <c r="O10" s="683">
        <f ca="1">tertiair!N16</f>
        <v>803.18130135425531</v>
      </c>
      <c r="P10" s="683">
        <f>tertiair!O16</f>
        <v>14.691782297523464</v>
      </c>
      <c r="Q10" s="684">
        <f>tertiair!P16</f>
        <v>577.93052137144514</v>
      </c>
      <c r="R10" s="686">
        <f ca="1">SUM(C10:Q10)</f>
        <v>29981.690778778218</v>
      </c>
      <c r="S10" s="67"/>
    </row>
    <row r="11" spans="1:19" s="445" customFormat="1">
      <c r="A11" s="804" t="s">
        <v>220</v>
      </c>
      <c r="B11" s="809"/>
      <c r="C11" s="683">
        <f>huishoudens!B8</f>
        <v>32806.643856001974</v>
      </c>
      <c r="D11" s="683">
        <f>huishoudens!C8</f>
        <v>0</v>
      </c>
      <c r="E11" s="683">
        <f>huishoudens!D8</f>
        <v>77770.799789786935</v>
      </c>
      <c r="F11" s="683">
        <f>huishoudens!E8</f>
        <v>1677.983447632532</v>
      </c>
      <c r="G11" s="683">
        <f>huishoudens!F8</f>
        <v>36758.921046121824</v>
      </c>
      <c r="H11" s="683">
        <f>huishoudens!G8</f>
        <v>0</v>
      </c>
      <c r="I11" s="683">
        <f>huishoudens!H8</f>
        <v>0</v>
      </c>
      <c r="J11" s="683">
        <f>huishoudens!I8</f>
        <v>0</v>
      </c>
      <c r="K11" s="683">
        <f>huishoudens!J8</f>
        <v>209.49311150319218</v>
      </c>
      <c r="L11" s="683">
        <f>huishoudens!K8</f>
        <v>0</v>
      </c>
      <c r="M11" s="683">
        <f>huishoudens!L8</f>
        <v>0</v>
      </c>
      <c r="N11" s="683">
        <f>huishoudens!M8</f>
        <v>0</v>
      </c>
      <c r="O11" s="683">
        <f>huishoudens!N8</f>
        <v>10854.44702760954</v>
      </c>
      <c r="P11" s="683">
        <f>huishoudens!O8</f>
        <v>333.30498085702135</v>
      </c>
      <c r="Q11" s="684">
        <f>huishoudens!P8</f>
        <v>737.37715153795159</v>
      </c>
      <c r="R11" s="686">
        <f>SUM(C11:Q11)</f>
        <v>161148.97041105098</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9275.3776094641835</v>
      </c>
      <c r="D13" s="683">
        <f>industrie!C18</f>
        <v>0</v>
      </c>
      <c r="E13" s="683">
        <f>industrie!D18</f>
        <v>126066.79401170144</v>
      </c>
      <c r="F13" s="683">
        <f>industrie!E18</f>
        <v>22.517062332848102</v>
      </c>
      <c r="G13" s="683">
        <f>industrie!F18</f>
        <v>1166.6641416707282</v>
      </c>
      <c r="H13" s="683">
        <f>industrie!G18</f>
        <v>0</v>
      </c>
      <c r="I13" s="683">
        <f>industrie!H18</f>
        <v>0</v>
      </c>
      <c r="J13" s="683">
        <f>industrie!I18</f>
        <v>0</v>
      </c>
      <c r="K13" s="683">
        <f>industrie!J18</f>
        <v>3.576178776990512</v>
      </c>
      <c r="L13" s="683">
        <f>industrie!K18</f>
        <v>0</v>
      </c>
      <c r="M13" s="683">
        <f>industrie!L18</f>
        <v>0</v>
      </c>
      <c r="N13" s="683">
        <f>industrie!M18</f>
        <v>0</v>
      </c>
      <c r="O13" s="683">
        <f>industrie!N18</f>
        <v>415.03657252342538</v>
      </c>
      <c r="P13" s="683">
        <f>industrie!O18</f>
        <v>0</v>
      </c>
      <c r="Q13" s="684">
        <f>industrie!P18</f>
        <v>0</v>
      </c>
      <c r="R13" s="686">
        <f>SUM(C13:Q13)</f>
        <v>136949.96557646964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54708.706193318591</v>
      </c>
      <c r="D16" s="719">
        <f t="shared" ref="D16:R16" ca="1" si="0">SUM(D9:D15)</f>
        <v>0</v>
      </c>
      <c r="E16" s="719">
        <f t="shared" ca="1" si="0"/>
        <v>216948.09727402439</v>
      </c>
      <c r="F16" s="719">
        <f t="shared" si="0"/>
        <v>1773.8541242073111</v>
      </c>
      <c r="G16" s="719">
        <f t="shared" ca="1" si="0"/>
        <v>40700.909597949059</v>
      </c>
      <c r="H16" s="719">
        <f t="shared" si="0"/>
        <v>0</v>
      </c>
      <c r="I16" s="719">
        <f t="shared" si="0"/>
        <v>0</v>
      </c>
      <c r="J16" s="719">
        <f t="shared" si="0"/>
        <v>0</v>
      </c>
      <c r="K16" s="719">
        <f t="shared" si="0"/>
        <v>213.09023924828267</v>
      </c>
      <c r="L16" s="719">
        <f t="shared" si="0"/>
        <v>0</v>
      </c>
      <c r="M16" s="719">
        <f t="shared" ca="1" si="0"/>
        <v>0</v>
      </c>
      <c r="N16" s="719">
        <f t="shared" si="0"/>
        <v>0</v>
      </c>
      <c r="O16" s="719">
        <f t="shared" ca="1" si="0"/>
        <v>12072.664901487222</v>
      </c>
      <c r="P16" s="719">
        <f t="shared" si="0"/>
        <v>347.99676315454479</v>
      </c>
      <c r="Q16" s="719">
        <f t="shared" si="0"/>
        <v>1315.3076729093968</v>
      </c>
      <c r="R16" s="719">
        <f t="shared" ca="1" si="0"/>
        <v>328080.62676629884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11.821056752699318</v>
      </c>
      <c r="D19" s="683">
        <f>transport!C54</f>
        <v>0</v>
      </c>
      <c r="E19" s="683">
        <f>transport!D54</f>
        <v>0</v>
      </c>
      <c r="F19" s="683">
        <f>transport!E54</f>
        <v>0</v>
      </c>
      <c r="G19" s="683">
        <f>transport!F54</f>
        <v>0</v>
      </c>
      <c r="H19" s="683">
        <f>transport!G54</f>
        <v>740.0338902764679</v>
      </c>
      <c r="I19" s="683">
        <f>transport!H54</f>
        <v>0</v>
      </c>
      <c r="J19" s="683">
        <f>transport!I54</f>
        <v>0</v>
      </c>
      <c r="K19" s="683">
        <f>transport!J54</f>
        <v>0</v>
      </c>
      <c r="L19" s="683">
        <f>transport!K54</f>
        <v>0</v>
      </c>
      <c r="M19" s="683">
        <f>transport!L54</f>
        <v>0</v>
      </c>
      <c r="N19" s="683">
        <f>transport!M54</f>
        <v>42.491107372329715</v>
      </c>
      <c r="O19" s="683">
        <f>transport!N54</f>
        <v>0</v>
      </c>
      <c r="P19" s="683">
        <f>transport!O54</f>
        <v>0</v>
      </c>
      <c r="Q19" s="684">
        <f>transport!P54</f>
        <v>0</v>
      </c>
      <c r="R19" s="686">
        <f>SUM(C19:Q19)</f>
        <v>794.34605440149687</v>
      </c>
      <c r="S19" s="67"/>
    </row>
    <row r="20" spans="1:19" s="445" customFormat="1">
      <c r="A20" s="804" t="s">
        <v>302</v>
      </c>
      <c r="B20" s="809"/>
      <c r="C20" s="683">
        <f>transport!B14</f>
        <v>134.66540250146198</v>
      </c>
      <c r="D20" s="683">
        <f>transport!C14</f>
        <v>0</v>
      </c>
      <c r="E20" s="683">
        <f>transport!D14</f>
        <v>262.80539242402244</v>
      </c>
      <c r="F20" s="683">
        <f>transport!E14</f>
        <v>103.3526830197916</v>
      </c>
      <c r="G20" s="683">
        <f>transport!F14</f>
        <v>0</v>
      </c>
      <c r="H20" s="683">
        <f>transport!G14</f>
        <v>37263.242702579904</v>
      </c>
      <c r="I20" s="683">
        <f>transport!H14</f>
        <v>12867.388281825373</v>
      </c>
      <c r="J20" s="683">
        <f>transport!I14</f>
        <v>0</v>
      </c>
      <c r="K20" s="683">
        <f>transport!J14</f>
        <v>0</v>
      </c>
      <c r="L20" s="683">
        <f>transport!K14</f>
        <v>0</v>
      </c>
      <c r="M20" s="683">
        <f>transport!L14</f>
        <v>0</v>
      </c>
      <c r="N20" s="683">
        <f>transport!M14</f>
        <v>3051.7822506508264</v>
      </c>
      <c r="O20" s="683">
        <f>transport!N14</f>
        <v>0</v>
      </c>
      <c r="P20" s="683">
        <f>transport!O14</f>
        <v>0</v>
      </c>
      <c r="Q20" s="684">
        <f>transport!P14</f>
        <v>0</v>
      </c>
      <c r="R20" s="686">
        <f>SUM(C20:Q20)</f>
        <v>53683.236713001374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146.4864592541613</v>
      </c>
      <c r="D22" s="807">
        <f t="shared" ref="D22:R22" si="1">SUM(D18:D21)</f>
        <v>0</v>
      </c>
      <c r="E22" s="807">
        <f t="shared" si="1"/>
        <v>262.80539242402244</v>
      </c>
      <c r="F22" s="807">
        <f t="shared" si="1"/>
        <v>103.3526830197916</v>
      </c>
      <c r="G22" s="807">
        <f t="shared" si="1"/>
        <v>0</v>
      </c>
      <c r="H22" s="807">
        <f t="shared" si="1"/>
        <v>38003.276592856375</v>
      </c>
      <c r="I22" s="807">
        <f t="shared" si="1"/>
        <v>12867.388281825373</v>
      </c>
      <c r="J22" s="807">
        <f t="shared" si="1"/>
        <v>0</v>
      </c>
      <c r="K22" s="807">
        <f t="shared" si="1"/>
        <v>0</v>
      </c>
      <c r="L22" s="807">
        <f t="shared" si="1"/>
        <v>0</v>
      </c>
      <c r="M22" s="807">
        <f t="shared" si="1"/>
        <v>0</v>
      </c>
      <c r="N22" s="807">
        <f t="shared" si="1"/>
        <v>3094.2733580231561</v>
      </c>
      <c r="O22" s="807">
        <f t="shared" si="1"/>
        <v>0</v>
      </c>
      <c r="P22" s="807">
        <f t="shared" si="1"/>
        <v>0</v>
      </c>
      <c r="Q22" s="807">
        <f t="shared" si="1"/>
        <v>0</v>
      </c>
      <c r="R22" s="807">
        <f t="shared" si="1"/>
        <v>54477.58276740287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40.493225053829597</v>
      </c>
      <c r="D24" s="683">
        <f>+landbouw!C8</f>
        <v>0</v>
      </c>
      <c r="E24" s="683">
        <f>+landbouw!D8</f>
        <v>29.135675809914076</v>
      </c>
      <c r="F24" s="683">
        <f>+landbouw!E8</f>
        <v>1.159794492624372</v>
      </c>
      <c r="G24" s="683">
        <f>+landbouw!F8</f>
        <v>128.18063322608052</v>
      </c>
      <c r="H24" s="683">
        <f>+landbouw!G8</f>
        <v>0</v>
      </c>
      <c r="I24" s="683">
        <f>+landbouw!H8</f>
        <v>0</v>
      </c>
      <c r="J24" s="683">
        <f>+landbouw!I8</f>
        <v>0</v>
      </c>
      <c r="K24" s="683">
        <f>+landbouw!J8</f>
        <v>10.296155547062508</v>
      </c>
      <c r="L24" s="683">
        <f>+landbouw!K8</f>
        <v>0</v>
      </c>
      <c r="M24" s="683">
        <f>+landbouw!L8</f>
        <v>0</v>
      </c>
      <c r="N24" s="683">
        <f>+landbouw!M8</f>
        <v>0</v>
      </c>
      <c r="O24" s="683">
        <f>+landbouw!N8</f>
        <v>0</v>
      </c>
      <c r="P24" s="683">
        <f>+landbouw!O8</f>
        <v>0</v>
      </c>
      <c r="Q24" s="684">
        <f>+landbouw!P8</f>
        <v>0</v>
      </c>
      <c r="R24" s="686">
        <f>SUM(C24:Q24)</f>
        <v>209.26548412951107</v>
      </c>
      <c r="S24" s="67"/>
    </row>
    <row r="25" spans="1:19" s="445" customFormat="1" ht="15" thickBot="1">
      <c r="A25" s="826" t="s">
        <v>696</v>
      </c>
      <c r="B25" s="939"/>
      <c r="C25" s="940">
        <f>IF(Onbekend_ele_kWh="---",0,Onbekend_ele_kWh)/1000+IF(REST_rest_ele_kWh="---",0,REST_rest_ele_kWh)/1000</f>
        <v>611.96504484590002</v>
      </c>
      <c r="D25" s="940"/>
      <c r="E25" s="940">
        <f>IF(onbekend_gas_kWh="---",0,onbekend_gas_kWh)/1000+IF(REST_rest_gas_kWh="---",0,REST_rest_gas_kWh)/1000</f>
        <v>968.40218322658006</v>
      </c>
      <c r="F25" s="940"/>
      <c r="G25" s="940"/>
      <c r="H25" s="940"/>
      <c r="I25" s="940"/>
      <c r="J25" s="940"/>
      <c r="K25" s="940"/>
      <c r="L25" s="940"/>
      <c r="M25" s="940"/>
      <c r="N25" s="940"/>
      <c r="O25" s="940"/>
      <c r="P25" s="940"/>
      <c r="Q25" s="941"/>
      <c r="R25" s="686">
        <f>SUM(C25:Q25)</f>
        <v>1580.36722807248</v>
      </c>
      <c r="S25" s="67"/>
    </row>
    <row r="26" spans="1:19" s="445" customFormat="1" ht="15.75" thickBot="1">
      <c r="A26" s="691" t="s">
        <v>697</v>
      </c>
      <c r="B26" s="812"/>
      <c r="C26" s="807">
        <f>SUM(C24:C25)</f>
        <v>652.45826989972966</v>
      </c>
      <c r="D26" s="807">
        <f t="shared" ref="D26:R26" si="2">SUM(D24:D25)</f>
        <v>0</v>
      </c>
      <c r="E26" s="807">
        <f t="shared" si="2"/>
        <v>997.53785903649418</v>
      </c>
      <c r="F26" s="807">
        <f t="shared" si="2"/>
        <v>1.159794492624372</v>
      </c>
      <c r="G26" s="807">
        <f t="shared" si="2"/>
        <v>128.18063322608052</v>
      </c>
      <c r="H26" s="807">
        <f t="shared" si="2"/>
        <v>0</v>
      </c>
      <c r="I26" s="807">
        <f t="shared" si="2"/>
        <v>0</v>
      </c>
      <c r="J26" s="807">
        <f t="shared" si="2"/>
        <v>0</v>
      </c>
      <c r="K26" s="807">
        <f t="shared" si="2"/>
        <v>10.296155547062508</v>
      </c>
      <c r="L26" s="807">
        <f t="shared" si="2"/>
        <v>0</v>
      </c>
      <c r="M26" s="807">
        <f t="shared" si="2"/>
        <v>0</v>
      </c>
      <c r="N26" s="807">
        <f t="shared" si="2"/>
        <v>0</v>
      </c>
      <c r="O26" s="807">
        <f t="shared" si="2"/>
        <v>0</v>
      </c>
      <c r="P26" s="807">
        <f t="shared" si="2"/>
        <v>0</v>
      </c>
      <c r="Q26" s="807">
        <f t="shared" si="2"/>
        <v>0</v>
      </c>
      <c r="R26" s="807">
        <f t="shared" si="2"/>
        <v>1789.6327122019911</v>
      </c>
      <c r="S26" s="67"/>
    </row>
    <row r="27" spans="1:19" s="445" customFormat="1" ht="17.25" thickTop="1" thickBot="1">
      <c r="A27" s="692" t="s">
        <v>115</v>
      </c>
      <c r="B27" s="799"/>
      <c r="C27" s="693">
        <f ca="1">C22+C16+C26</f>
        <v>55507.650922472487</v>
      </c>
      <c r="D27" s="693">
        <f t="shared" ref="D27:R27" ca="1" si="3">D22+D16+D26</f>
        <v>0</v>
      </c>
      <c r="E27" s="693">
        <f t="shared" ca="1" si="3"/>
        <v>218208.44052548491</v>
      </c>
      <c r="F27" s="693">
        <f t="shared" si="3"/>
        <v>1878.366601719727</v>
      </c>
      <c r="G27" s="693">
        <f t="shared" ca="1" si="3"/>
        <v>40829.090231175142</v>
      </c>
      <c r="H27" s="693">
        <f t="shared" si="3"/>
        <v>38003.276592856375</v>
      </c>
      <c r="I27" s="693">
        <f t="shared" si="3"/>
        <v>12867.388281825373</v>
      </c>
      <c r="J27" s="693">
        <f t="shared" si="3"/>
        <v>0</v>
      </c>
      <c r="K27" s="693">
        <f t="shared" si="3"/>
        <v>223.38639479534518</v>
      </c>
      <c r="L27" s="693">
        <f t="shared" si="3"/>
        <v>0</v>
      </c>
      <c r="M27" s="693">
        <f t="shared" ca="1" si="3"/>
        <v>0</v>
      </c>
      <c r="N27" s="693">
        <f t="shared" si="3"/>
        <v>3094.2733580231561</v>
      </c>
      <c r="O27" s="693">
        <f t="shared" ca="1" si="3"/>
        <v>12072.664901487222</v>
      </c>
      <c r="P27" s="693">
        <f t="shared" si="3"/>
        <v>347.99676315454479</v>
      </c>
      <c r="Q27" s="693">
        <f t="shared" si="3"/>
        <v>1315.3076729093968</v>
      </c>
      <c r="R27" s="693">
        <f t="shared" ca="1" si="3"/>
        <v>384347.84224590368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2516.9018275496396</v>
      </c>
      <c r="D40" s="683">
        <f ca="1">tertiair!C20</f>
        <v>0</v>
      </c>
      <c r="E40" s="683">
        <f ca="1">tertiair!D20</f>
        <v>2648.3217014522756</v>
      </c>
      <c r="F40" s="683">
        <f>tertiair!E20</f>
        <v>16.651270432918299</v>
      </c>
      <c r="G40" s="683">
        <f ca="1">tertiair!F20</f>
        <v>741.01161751178654</v>
      </c>
      <c r="H40" s="683">
        <f>tertiair!G20</f>
        <v>0</v>
      </c>
      <c r="I40" s="683">
        <f>tertiair!H20</f>
        <v>0</v>
      </c>
      <c r="J40" s="683">
        <f>tertiair!I20</f>
        <v>0</v>
      </c>
      <c r="K40" s="683">
        <f>tertiair!J20</f>
        <v>7.4159347073918681E-3</v>
      </c>
      <c r="L40" s="683">
        <f>tertiair!K20</f>
        <v>0</v>
      </c>
      <c r="M40" s="683">
        <f ca="1">tertiair!L20</f>
        <v>0</v>
      </c>
      <c r="N40" s="683">
        <f>tertiair!M20</f>
        <v>0</v>
      </c>
      <c r="O40" s="683">
        <f ca="1">tertiair!N20</f>
        <v>0</v>
      </c>
      <c r="P40" s="683">
        <f>tertiair!O20</f>
        <v>0</v>
      </c>
      <c r="Q40" s="766">
        <f>tertiair!P20</f>
        <v>0</v>
      </c>
      <c r="R40" s="845">
        <f t="shared" ca="1" si="4"/>
        <v>5922.8938328813274</v>
      </c>
    </row>
    <row r="41" spans="1:18">
      <c r="A41" s="817" t="s">
        <v>220</v>
      </c>
      <c r="B41" s="824"/>
      <c r="C41" s="683">
        <f ca="1">huishoudens!B12</f>
        <v>6539.4126531727625</v>
      </c>
      <c r="D41" s="683">
        <f ca="1">huishoudens!C12</f>
        <v>0</v>
      </c>
      <c r="E41" s="683">
        <f>huishoudens!D12</f>
        <v>15709.701557536962</v>
      </c>
      <c r="F41" s="683">
        <f>huishoudens!E12</f>
        <v>380.90224261258476</v>
      </c>
      <c r="G41" s="683">
        <f>huishoudens!F12</f>
        <v>9814.6319193145282</v>
      </c>
      <c r="H41" s="683">
        <f>huishoudens!G12</f>
        <v>0</v>
      </c>
      <c r="I41" s="683">
        <f>huishoudens!H12</f>
        <v>0</v>
      </c>
      <c r="J41" s="683">
        <f>huishoudens!I12</f>
        <v>0</v>
      </c>
      <c r="K41" s="683">
        <f>huishoudens!J12</f>
        <v>74.160561472130027</v>
      </c>
      <c r="L41" s="683">
        <f>huishoudens!K12</f>
        <v>0</v>
      </c>
      <c r="M41" s="683">
        <f>huishoudens!L12</f>
        <v>0</v>
      </c>
      <c r="N41" s="683">
        <f>huishoudens!M12</f>
        <v>0</v>
      </c>
      <c r="O41" s="683">
        <f>huishoudens!N12</f>
        <v>0</v>
      </c>
      <c r="P41" s="683">
        <f>huishoudens!O12</f>
        <v>0</v>
      </c>
      <c r="Q41" s="766">
        <f>huishoudens!P12</f>
        <v>0</v>
      </c>
      <c r="R41" s="845">
        <f t="shared" ca="1" si="4"/>
        <v>32518.808934108969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1848.8792077763385</v>
      </c>
      <c r="D43" s="683">
        <f ca="1">industrie!C22</f>
        <v>0</v>
      </c>
      <c r="E43" s="683">
        <f>industrie!D22</f>
        <v>25465.492390363692</v>
      </c>
      <c r="F43" s="683">
        <f>industrie!E22</f>
        <v>5.1113731495565196</v>
      </c>
      <c r="G43" s="683">
        <f>industrie!F22</f>
        <v>311.49932582608443</v>
      </c>
      <c r="H43" s="683">
        <f>industrie!G22</f>
        <v>0</v>
      </c>
      <c r="I43" s="683">
        <f>industrie!H22</f>
        <v>0</v>
      </c>
      <c r="J43" s="683">
        <f>industrie!I22</f>
        <v>0</v>
      </c>
      <c r="K43" s="683">
        <f>industrie!J22</f>
        <v>1.2659672870546412</v>
      </c>
      <c r="L43" s="683">
        <f>industrie!K22</f>
        <v>0</v>
      </c>
      <c r="M43" s="683">
        <f>industrie!L22</f>
        <v>0</v>
      </c>
      <c r="N43" s="683">
        <f>industrie!M22</f>
        <v>0</v>
      </c>
      <c r="O43" s="683">
        <f>industrie!N22</f>
        <v>0</v>
      </c>
      <c r="P43" s="683">
        <f>industrie!O22</f>
        <v>0</v>
      </c>
      <c r="Q43" s="766">
        <f>industrie!P22</f>
        <v>0</v>
      </c>
      <c r="R43" s="844">
        <f t="shared" ca="1" si="4"/>
        <v>27632.248264402726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10905.193688498741</v>
      </c>
      <c r="D46" s="719">
        <f t="shared" ref="D46:Q46" ca="1" si="5">SUM(D39:D45)</f>
        <v>0</v>
      </c>
      <c r="E46" s="719">
        <f t="shared" ca="1" si="5"/>
        <v>43823.515649352928</v>
      </c>
      <c r="F46" s="719">
        <f t="shared" si="5"/>
        <v>402.66488619505958</v>
      </c>
      <c r="G46" s="719">
        <f t="shared" ca="1" si="5"/>
        <v>10867.142862652399</v>
      </c>
      <c r="H46" s="719">
        <f t="shared" si="5"/>
        <v>0</v>
      </c>
      <c r="I46" s="719">
        <f t="shared" si="5"/>
        <v>0</v>
      </c>
      <c r="J46" s="719">
        <f t="shared" si="5"/>
        <v>0</v>
      </c>
      <c r="K46" s="719">
        <f t="shared" si="5"/>
        <v>75.433944693892059</v>
      </c>
      <c r="L46" s="719">
        <f t="shared" si="5"/>
        <v>0</v>
      </c>
      <c r="M46" s="719">
        <f t="shared" ca="1" si="5"/>
        <v>0</v>
      </c>
      <c r="N46" s="719">
        <f t="shared" si="5"/>
        <v>0</v>
      </c>
      <c r="O46" s="719">
        <f t="shared" ca="1" si="5"/>
        <v>0</v>
      </c>
      <c r="P46" s="719">
        <f t="shared" si="5"/>
        <v>0</v>
      </c>
      <c r="Q46" s="719">
        <f t="shared" si="5"/>
        <v>0</v>
      </c>
      <c r="R46" s="719">
        <f ca="1">SUM(R39:R45)</f>
        <v>66073.951031393022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2.3563144234375168</v>
      </c>
      <c r="D49" s="683">
        <f ca="1">transport!C58</f>
        <v>0</v>
      </c>
      <c r="E49" s="683">
        <f>transport!D58</f>
        <v>0</v>
      </c>
      <c r="F49" s="683">
        <f>transport!E58</f>
        <v>0</v>
      </c>
      <c r="G49" s="683">
        <f>transport!F58</f>
        <v>0</v>
      </c>
      <c r="H49" s="683">
        <f>transport!G58</f>
        <v>197.58904870381693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199.94536312725444</v>
      </c>
    </row>
    <row r="50" spans="1:18">
      <c r="A50" s="820" t="s">
        <v>302</v>
      </c>
      <c r="B50" s="830"/>
      <c r="C50" s="689">
        <f ca="1">transport!B18</f>
        <v>26.84311875753032</v>
      </c>
      <c r="D50" s="689">
        <f>transport!C18</f>
        <v>0</v>
      </c>
      <c r="E50" s="689">
        <f>transport!D18</f>
        <v>53.086689269652538</v>
      </c>
      <c r="F50" s="689">
        <f>transport!E18</f>
        <v>23.461059045492693</v>
      </c>
      <c r="G50" s="689">
        <f>transport!F18</f>
        <v>0</v>
      </c>
      <c r="H50" s="689">
        <f>transport!G18</f>
        <v>9949.2858015888341</v>
      </c>
      <c r="I50" s="689">
        <f>transport!H18</f>
        <v>3203.9796821745181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13256.656350836029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29.199433180967837</v>
      </c>
      <c r="D52" s="719">
        <f t="shared" ref="D52:Q52" ca="1" si="6">SUM(D48:D51)</f>
        <v>0</v>
      </c>
      <c r="E52" s="719">
        <f t="shared" si="6"/>
        <v>53.086689269652538</v>
      </c>
      <c r="F52" s="719">
        <f t="shared" si="6"/>
        <v>23.461059045492693</v>
      </c>
      <c r="G52" s="719">
        <f t="shared" si="6"/>
        <v>0</v>
      </c>
      <c r="H52" s="719">
        <f t="shared" si="6"/>
        <v>10146.874850292652</v>
      </c>
      <c r="I52" s="719">
        <f t="shared" si="6"/>
        <v>3203.9796821745181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13456.601713963282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8.0715939566107142</v>
      </c>
      <c r="D54" s="689">
        <f ca="1">+landbouw!C12</f>
        <v>0</v>
      </c>
      <c r="E54" s="689">
        <f>+landbouw!D12</f>
        <v>5.8854065136026437</v>
      </c>
      <c r="F54" s="689">
        <f>+landbouw!E12</f>
        <v>0.26327334982573242</v>
      </c>
      <c r="G54" s="689">
        <f>+landbouw!F12</f>
        <v>34.224229071363503</v>
      </c>
      <c r="H54" s="689">
        <f>+landbouw!G12</f>
        <v>0</v>
      </c>
      <c r="I54" s="689">
        <f>+landbouw!H12</f>
        <v>0</v>
      </c>
      <c r="J54" s="689">
        <f>+landbouw!I12</f>
        <v>0</v>
      </c>
      <c r="K54" s="689">
        <f>+landbouw!J12</f>
        <v>3.6448390636601276</v>
      </c>
      <c r="L54" s="689">
        <f>+landbouw!K12</f>
        <v>0</v>
      </c>
      <c r="M54" s="689">
        <f>+landbouw!L12</f>
        <v>0</v>
      </c>
      <c r="N54" s="689">
        <f>+landbouw!M12</f>
        <v>0</v>
      </c>
      <c r="O54" s="689">
        <f>+landbouw!N12</f>
        <v>0</v>
      </c>
      <c r="P54" s="689">
        <f>+landbouw!O12</f>
        <v>0</v>
      </c>
      <c r="Q54" s="690">
        <f>+landbouw!P12</f>
        <v>0</v>
      </c>
      <c r="R54" s="718">
        <f ca="1">SUM(C54:Q54)</f>
        <v>52.089341955062721</v>
      </c>
    </row>
    <row r="55" spans="1:18" ht="15" thickBot="1">
      <c r="A55" s="820" t="s">
        <v>696</v>
      </c>
      <c r="B55" s="830"/>
      <c r="C55" s="689">
        <f ca="1">C25*'EF ele_warmte'!B12</f>
        <v>121.98419244376835</v>
      </c>
      <c r="D55" s="689"/>
      <c r="E55" s="689">
        <f>E25*EF_CO2_aardgas</f>
        <v>195.61724101176918</v>
      </c>
      <c r="F55" s="689"/>
      <c r="G55" s="689"/>
      <c r="H55" s="689"/>
      <c r="I55" s="689"/>
      <c r="J55" s="689"/>
      <c r="K55" s="689"/>
      <c r="L55" s="689"/>
      <c r="M55" s="689"/>
      <c r="N55" s="689"/>
      <c r="O55" s="689"/>
      <c r="P55" s="689"/>
      <c r="Q55" s="690"/>
      <c r="R55" s="718">
        <f ca="1">SUM(C55:Q55)</f>
        <v>317.60143345553752</v>
      </c>
    </row>
    <row r="56" spans="1:18" ht="15.75" thickBot="1">
      <c r="A56" s="818" t="s">
        <v>697</v>
      </c>
      <c r="B56" s="831"/>
      <c r="C56" s="719">
        <f ca="1">SUM(C54:C55)</f>
        <v>130.05578640037908</v>
      </c>
      <c r="D56" s="719">
        <f t="shared" ref="D56:Q56" ca="1" si="7">SUM(D54:D55)</f>
        <v>0</v>
      </c>
      <c r="E56" s="719">
        <f t="shared" si="7"/>
        <v>201.50264752537183</v>
      </c>
      <c r="F56" s="719">
        <f t="shared" si="7"/>
        <v>0.26327334982573242</v>
      </c>
      <c r="G56" s="719">
        <f t="shared" si="7"/>
        <v>34.224229071363503</v>
      </c>
      <c r="H56" s="719">
        <f t="shared" si="7"/>
        <v>0</v>
      </c>
      <c r="I56" s="719">
        <f t="shared" si="7"/>
        <v>0</v>
      </c>
      <c r="J56" s="719">
        <f t="shared" si="7"/>
        <v>0</v>
      </c>
      <c r="K56" s="719">
        <f t="shared" si="7"/>
        <v>3.6448390636601276</v>
      </c>
      <c r="L56" s="719">
        <f t="shared" si="7"/>
        <v>0</v>
      </c>
      <c r="M56" s="719">
        <f t="shared" si="7"/>
        <v>0</v>
      </c>
      <c r="N56" s="719">
        <f t="shared" si="7"/>
        <v>0</v>
      </c>
      <c r="O56" s="719">
        <f t="shared" si="7"/>
        <v>0</v>
      </c>
      <c r="P56" s="719">
        <f t="shared" si="7"/>
        <v>0</v>
      </c>
      <c r="Q56" s="720">
        <f t="shared" si="7"/>
        <v>0</v>
      </c>
      <c r="R56" s="721">
        <f ca="1">SUM(R54:R55)</f>
        <v>369.69077541060022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11064.448908080087</v>
      </c>
      <c r="D61" s="727">
        <f t="shared" ref="D61:Q61" ca="1" si="8">D46+D52+D56</f>
        <v>0</v>
      </c>
      <c r="E61" s="727">
        <f t="shared" ca="1" si="8"/>
        <v>44078.104986147948</v>
      </c>
      <c r="F61" s="727">
        <f t="shared" si="8"/>
        <v>426.38921859037799</v>
      </c>
      <c r="G61" s="727">
        <f t="shared" ca="1" si="8"/>
        <v>10901.367091723763</v>
      </c>
      <c r="H61" s="727">
        <f t="shared" si="8"/>
        <v>10146.874850292652</v>
      </c>
      <c r="I61" s="727">
        <f t="shared" si="8"/>
        <v>3203.9796821745181</v>
      </c>
      <c r="J61" s="727">
        <f t="shared" si="8"/>
        <v>0</v>
      </c>
      <c r="K61" s="727">
        <f t="shared" si="8"/>
        <v>79.078783757552188</v>
      </c>
      <c r="L61" s="727">
        <f t="shared" si="8"/>
        <v>0</v>
      </c>
      <c r="M61" s="727">
        <f t="shared" ca="1" si="8"/>
        <v>0</v>
      </c>
      <c r="N61" s="727">
        <f t="shared" si="8"/>
        <v>0</v>
      </c>
      <c r="O61" s="727">
        <f t="shared" ca="1" si="8"/>
        <v>0</v>
      </c>
      <c r="P61" s="727">
        <f t="shared" si="8"/>
        <v>0</v>
      </c>
      <c r="Q61" s="727">
        <f t="shared" si="8"/>
        <v>0</v>
      </c>
      <c r="R61" s="727">
        <f ca="1">R46+R52+R56</f>
        <v>79900.243520766919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0.19933196098559094</v>
      </c>
      <c r="D63" s="773">
        <f t="shared" ca="1" si="9"/>
        <v>0</v>
      </c>
      <c r="E63" s="965">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5442.2712479019583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5442.2712479019583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32806.643856001974</v>
      </c>
      <c r="C4" s="449">
        <f>huishoudens!C8</f>
        <v>0</v>
      </c>
      <c r="D4" s="449">
        <f>huishoudens!D8</f>
        <v>77770.799789786935</v>
      </c>
      <c r="E4" s="449">
        <f>huishoudens!E8</f>
        <v>1677.983447632532</v>
      </c>
      <c r="F4" s="449">
        <f>huishoudens!F8</f>
        <v>36758.921046121824</v>
      </c>
      <c r="G4" s="449">
        <f>huishoudens!G8</f>
        <v>0</v>
      </c>
      <c r="H4" s="449">
        <f>huishoudens!H8</f>
        <v>0</v>
      </c>
      <c r="I4" s="449">
        <f>huishoudens!I8</f>
        <v>0</v>
      </c>
      <c r="J4" s="449">
        <f>huishoudens!J8</f>
        <v>209.49311150319218</v>
      </c>
      <c r="K4" s="449">
        <f>huishoudens!K8</f>
        <v>0</v>
      </c>
      <c r="L4" s="449">
        <f>huishoudens!L8</f>
        <v>0</v>
      </c>
      <c r="M4" s="449">
        <f>huishoudens!M8</f>
        <v>0</v>
      </c>
      <c r="N4" s="449">
        <f>huishoudens!N8</f>
        <v>10854.44702760954</v>
      </c>
      <c r="O4" s="449">
        <f>huishoudens!O8</f>
        <v>333.30498085702135</v>
      </c>
      <c r="P4" s="450">
        <f>huishoudens!P8</f>
        <v>737.37715153795159</v>
      </c>
      <c r="Q4" s="451">
        <f>SUM(B4:P4)</f>
        <v>161148.97041105098</v>
      </c>
    </row>
    <row r="5" spans="1:17">
      <c r="A5" s="448" t="s">
        <v>155</v>
      </c>
      <c r="B5" s="449">
        <f ca="1">tertiair!B16</f>
        <v>11510.01572785244</v>
      </c>
      <c r="C5" s="449">
        <f ca="1">tertiair!C16</f>
        <v>0</v>
      </c>
      <c r="D5" s="449">
        <f ca="1">tertiair!D16</f>
        <v>13110.503472536016</v>
      </c>
      <c r="E5" s="449">
        <f>tertiair!E16</f>
        <v>73.353614241930828</v>
      </c>
      <c r="F5" s="449">
        <f ca="1">tertiair!F16</f>
        <v>2775.3244101565037</v>
      </c>
      <c r="G5" s="449">
        <f>tertiair!G16</f>
        <v>0</v>
      </c>
      <c r="H5" s="449">
        <f>tertiair!H16</f>
        <v>0</v>
      </c>
      <c r="I5" s="449">
        <f>tertiair!I16</f>
        <v>0</v>
      </c>
      <c r="J5" s="449">
        <f>tertiair!J16</f>
        <v>2.0948968099977028E-2</v>
      </c>
      <c r="K5" s="449">
        <f>tertiair!K16</f>
        <v>0</v>
      </c>
      <c r="L5" s="449">
        <f ca="1">tertiair!L16</f>
        <v>0</v>
      </c>
      <c r="M5" s="449">
        <f>tertiair!M16</f>
        <v>0</v>
      </c>
      <c r="N5" s="449">
        <f ca="1">tertiair!N16</f>
        <v>803.18130135425531</v>
      </c>
      <c r="O5" s="449">
        <f>tertiair!O16</f>
        <v>14.691782297523464</v>
      </c>
      <c r="P5" s="450">
        <f>tertiair!P16</f>
        <v>577.93052137144514</v>
      </c>
      <c r="Q5" s="448">
        <f t="shared" ref="Q5:Q14" ca="1" si="0">SUM(B5:P5)</f>
        <v>28865.021778778217</v>
      </c>
    </row>
    <row r="6" spans="1:17">
      <c r="A6" s="448" t="s">
        <v>193</v>
      </c>
      <c r="B6" s="449">
        <f>'openbare verlichting'!B8</f>
        <v>1116.6690000000001</v>
      </c>
      <c r="C6" s="449"/>
      <c r="D6" s="449"/>
      <c r="E6" s="449"/>
      <c r="F6" s="449"/>
      <c r="G6" s="449"/>
      <c r="H6" s="449"/>
      <c r="I6" s="449"/>
      <c r="J6" s="449"/>
      <c r="K6" s="449"/>
      <c r="L6" s="449"/>
      <c r="M6" s="449"/>
      <c r="N6" s="449"/>
      <c r="O6" s="449"/>
      <c r="P6" s="450"/>
      <c r="Q6" s="448">
        <f t="shared" si="0"/>
        <v>1116.6690000000001</v>
      </c>
    </row>
    <row r="7" spans="1:17">
      <c r="A7" s="448" t="s">
        <v>111</v>
      </c>
      <c r="B7" s="449">
        <f>landbouw!B8</f>
        <v>40.493225053829597</v>
      </c>
      <c r="C7" s="449">
        <f>landbouw!C8</f>
        <v>0</v>
      </c>
      <c r="D7" s="449">
        <f>landbouw!D8</f>
        <v>29.135675809914076</v>
      </c>
      <c r="E7" s="449">
        <f>landbouw!E8</f>
        <v>1.159794492624372</v>
      </c>
      <c r="F7" s="449">
        <f>landbouw!F8</f>
        <v>128.18063322608052</v>
      </c>
      <c r="G7" s="449">
        <f>landbouw!G8</f>
        <v>0</v>
      </c>
      <c r="H7" s="449">
        <f>landbouw!H8</f>
        <v>0</v>
      </c>
      <c r="I7" s="449">
        <f>landbouw!I8</f>
        <v>0</v>
      </c>
      <c r="J7" s="449">
        <f>landbouw!J8</f>
        <v>10.296155547062508</v>
      </c>
      <c r="K7" s="449">
        <f>landbouw!K8</f>
        <v>0</v>
      </c>
      <c r="L7" s="449">
        <f>landbouw!L8</f>
        <v>0</v>
      </c>
      <c r="M7" s="449">
        <f>landbouw!M8</f>
        <v>0</v>
      </c>
      <c r="N7" s="449">
        <f>landbouw!N8</f>
        <v>0</v>
      </c>
      <c r="O7" s="449">
        <f>landbouw!O8</f>
        <v>0</v>
      </c>
      <c r="P7" s="450">
        <f>landbouw!P8</f>
        <v>0</v>
      </c>
      <c r="Q7" s="448">
        <f t="shared" si="0"/>
        <v>209.26548412951107</v>
      </c>
    </row>
    <row r="8" spans="1:17">
      <c r="A8" s="448" t="s">
        <v>617</v>
      </c>
      <c r="B8" s="449">
        <f>industrie!B18</f>
        <v>9275.3776094641835</v>
      </c>
      <c r="C8" s="449">
        <f>industrie!C18</f>
        <v>0</v>
      </c>
      <c r="D8" s="449">
        <f>industrie!D18</f>
        <v>126066.79401170144</v>
      </c>
      <c r="E8" s="449">
        <f>industrie!E18</f>
        <v>22.517062332848102</v>
      </c>
      <c r="F8" s="449">
        <f>industrie!F18</f>
        <v>1166.6641416707282</v>
      </c>
      <c r="G8" s="449">
        <f>industrie!G18</f>
        <v>0</v>
      </c>
      <c r="H8" s="449">
        <f>industrie!H18</f>
        <v>0</v>
      </c>
      <c r="I8" s="449">
        <f>industrie!I18</f>
        <v>0</v>
      </c>
      <c r="J8" s="449">
        <f>industrie!J18</f>
        <v>3.576178776990512</v>
      </c>
      <c r="K8" s="449">
        <f>industrie!K18</f>
        <v>0</v>
      </c>
      <c r="L8" s="449">
        <f>industrie!L18</f>
        <v>0</v>
      </c>
      <c r="M8" s="449">
        <f>industrie!M18</f>
        <v>0</v>
      </c>
      <c r="N8" s="449">
        <f>industrie!N18</f>
        <v>415.03657252342538</v>
      </c>
      <c r="O8" s="449">
        <f>industrie!O18</f>
        <v>0</v>
      </c>
      <c r="P8" s="450">
        <f>industrie!P18</f>
        <v>0</v>
      </c>
      <c r="Q8" s="448">
        <f t="shared" si="0"/>
        <v>136949.96557646964</v>
      </c>
    </row>
    <row r="9" spans="1:17" s="454" customFormat="1">
      <c r="A9" s="452" t="s">
        <v>543</v>
      </c>
      <c r="B9" s="453">
        <f>transport!B14</f>
        <v>134.66540250146198</v>
      </c>
      <c r="C9" s="453">
        <f>transport!C14</f>
        <v>0</v>
      </c>
      <c r="D9" s="453">
        <f>transport!D14</f>
        <v>262.80539242402244</v>
      </c>
      <c r="E9" s="453">
        <f>transport!E14</f>
        <v>103.3526830197916</v>
      </c>
      <c r="F9" s="453">
        <f>transport!F14</f>
        <v>0</v>
      </c>
      <c r="G9" s="453">
        <f>transport!G14</f>
        <v>37263.242702579904</v>
      </c>
      <c r="H9" s="453">
        <f>transport!H14</f>
        <v>12867.388281825373</v>
      </c>
      <c r="I9" s="453">
        <f>transport!I14</f>
        <v>0</v>
      </c>
      <c r="J9" s="453">
        <f>transport!J14</f>
        <v>0</v>
      </c>
      <c r="K9" s="453">
        <f>transport!K14</f>
        <v>0</v>
      </c>
      <c r="L9" s="453">
        <f>transport!L14</f>
        <v>0</v>
      </c>
      <c r="M9" s="453">
        <f>transport!M14</f>
        <v>3051.7822506508264</v>
      </c>
      <c r="N9" s="453">
        <f>transport!N14</f>
        <v>0</v>
      </c>
      <c r="O9" s="453">
        <f>transport!O14</f>
        <v>0</v>
      </c>
      <c r="P9" s="453">
        <f>transport!P14</f>
        <v>0</v>
      </c>
      <c r="Q9" s="452">
        <f>SUM(B9:P9)</f>
        <v>53683.236713001374</v>
      </c>
    </row>
    <row r="10" spans="1:17">
      <c r="A10" s="448" t="s">
        <v>533</v>
      </c>
      <c r="B10" s="449">
        <f>transport!B54</f>
        <v>11.821056752699318</v>
      </c>
      <c r="C10" s="449">
        <f>transport!C54</f>
        <v>0</v>
      </c>
      <c r="D10" s="449">
        <f>transport!D54</f>
        <v>0</v>
      </c>
      <c r="E10" s="449">
        <f>transport!E54</f>
        <v>0</v>
      </c>
      <c r="F10" s="449">
        <f>transport!F54</f>
        <v>0</v>
      </c>
      <c r="G10" s="449">
        <f>transport!G54</f>
        <v>740.0338902764679</v>
      </c>
      <c r="H10" s="449">
        <f>transport!H54</f>
        <v>0</v>
      </c>
      <c r="I10" s="449">
        <f>transport!I54</f>
        <v>0</v>
      </c>
      <c r="J10" s="449">
        <f>transport!J54</f>
        <v>0</v>
      </c>
      <c r="K10" s="449">
        <f>transport!K54</f>
        <v>0</v>
      </c>
      <c r="L10" s="449">
        <f>transport!L54</f>
        <v>0</v>
      </c>
      <c r="M10" s="449">
        <f>transport!M54</f>
        <v>42.491107372329715</v>
      </c>
      <c r="N10" s="449">
        <f>transport!N54</f>
        <v>0</v>
      </c>
      <c r="O10" s="449">
        <f>transport!O54</f>
        <v>0</v>
      </c>
      <c r="P10" s="450">
        <f>transport!P54</f>
        <v>0</v>
      </c>
      <c r="Q10" s="448">
        <f t="shared" si="0"/>
        <v>794.34605440149687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611.96504484590002</v>
      </c>
      <c r="C14" s="456"/>
      <c r="D14" s="456">
        <f>'SEAP template'!E25</f>
        <v>968.40218322658006</v>
      </c>
      <c r="E14" s="456"/>
      <c r="F14" s="456"/>
      <c r="G14" s="456"/>
      <c r="H14" s="456"/>
      <c r="I14" s="456"/>
      <c r="J14" s="456"/>
      <c r="K14" s="456"/>
      <c r="L14" s="456"/>
      <c r="M14" s="456"/>
      <c r="N14" s="456"/>
      <c r="O14" s="456"/>
      <c r="P14" s="457"/>
      <c r="Q14" s="448">
        <f t="shared" si="0"/>
        <v>1580.36722807248</v>
      </c>
    </row>
    <row r="15" spans="1:17" s="460" customFormat="1">
      <c r="A15" s="458" t="s">
        <v>537</v>
      </c>
      <c r="B15" s="459">
        <f ca="1">SUM(B4:B14)</f>
        <v>55507.650922472494</v>
      </c>
      <c r="C15" s="459">
        <f t="shared" ref="C15:Q15" ca="1" si="1">SUM(C4:C14)</f>
        <v>0</v>
      </c>
      <c r="D15" s="459">
        <f t="shared" ca="1" si="1"/>
        <v>218208.44052548491</v>
      </c>
      <c r="E15" s="459">
        <f t="shared" si="1"/>
        <v>1878.366601719727</v>
      </c>
      <c r="F15" s="459">
        <f t="shared" ca="1" si="1"/>
        <v>40829.090231175142</v>
      </c>
      <c r="G15" s="459">
        <f t="shared" si="1"/>
        <v>38003.276592856375</v>
      </c>
      <c r="H15" s="459">
        <f t="shared" si="1"/>
        <v>12867.388281825373</v>
      </c>
      <c r="I15" s="459">
        <f t="shared" si="1"/>
        <v>0</v>
      </c>
      <c r="J15" s="459">
        <f t="shared" si="1"/>
        <v>223.38639479534518</v>
      </c>
      <c r="K15" s="459">
        <f t="shared" si="1"/>
        <v>0</v>
      </c>
      <c r="L15" s="459">
        <f t="shared" ca="1" si="1"/>
        <v>0</v>
      </c>
      <c r="M15" s="459">
        <f t="shared" si="1"/>
        <v>3094.2733580231561</v>
      </c>
      <c r="N15" s="459">
        <f t="shared" ca="1" si="1"/>
        <v>12072.664901487222</v>
      </c>
      <c r="O15" s="459">
        <f t="shared" si="1"/>
        <v>347.99676315454479</v>
      </c>
      <c r="P15" s="459">
        <f t="shared" si="1"/>
        <v>1315.3076729093968</v>
      </c>
      <c r="Q15" s="459">
        <f t="shared" ca="1" si="1"/>
        <v>384347.84224590368</v>
      </c>
    </row>
    <row r="17" spans="1:17">
      <c r="A17" s="461" t="s">
        <v>538</v>
      </c>
      <c r="B17" s="778">
        <f ca="1">huishoudens!B10</f>
        <v>0.19933196098559094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6539.4126531727625</v>
      </c>
      <c r="C22" s="449">
        <f t="shared" ref="C22:C32" ca="1" si="3">C4*$C$17</f>
        <v>0</v>
      </c>
      <c r="D22" s="449">
        <f t="shared" ref="D22:D32" si="4">D4*$D$17</f>
        <v>15709.701557536962</v>
      </c>
      <c r="E22" s="449">
        <f t="shared" ref="E22:E32" si="5">E4*$E$17</f>
        <v>380.90224261258476</v>
      </c>
      <c r="F22" s="449">
        <f t="shared" ref="F22:F32" si="6">F4*$F$17</f>
        <v>9814.6319193145282</v>
      </c>
      <c r="G22" s="449">
        <f t="shared" ref="G22:G32" si="7">G4*$G$17</f>
        <v>0</v>
      </c>
      <c r="H22" s="449">
        <f t="shared" ref="H22:H32" si="8">H4*$H$17</f>
        <v>0</v>
      </c>
      <c r="I22" s="449">
        <f t="shared" ref="I22:I32" si="9">I4*$I$17</f>
        <v>0</v>
      </c>
      <c r="J22" s="449">
        <f t="shared" ref="J22:J32" si="10">J4*$J$17</f>
        <v>74.160561472130027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32518.808934108969</v>
      </c>
    </row>
    <row r="23" spans="1:17">
      <c r="A23" s="448" t="s">
        <v>155</v>
      </c>
      <c r="B23" s="449">
        <f t="shared" ca="1" si="2"/>
        <v>2294.3140060078208</v>
      </c>
      <c r="C23" s="449">
        <f t="shared" ca="1" si="3"/>
        <v>0</v>
      </c>
      <c r="D23" s="449">
        <f t="shared" ca="1" si="4"/>
        <v>2648.3217014522756</v>
      </c>
      <c r="E23" s="449">
        <f t="shared" si="5"/>
        <v>16.651270432918299</v>
      </c>
      <c r="F23" s="449">
        <f t="shared" ca="1" si="6"/>
        <v>741.01161751178654</v>
      </c>
      <c r="G23" s="449">
        <f t="shared" si="7"/>
        <v>0</v>
      </c>
      <c r="H23" s="449">
        <f t="shared" si="8"/>
        <v>0</v>
      </c>
      <c r="I23" s="449">
        <f t="shared" si="9"/>
        <v>0</v>
      </c>
      <c r="J23" s="449">
        <f t="shared" si="10"/>
        <v>7.4159347073918681E-3</v>
      </c>
      <c r="K23" s="449">
        <f t="shared" si="11"/>
        <v>0</v>
      </c>
      <c r="L23" s="449">
        <f t="shared" ca="1" si="12"/>
        <v>0</v>
      </c>
      <c r="M23" s="449">
        <f t="shared" si="13"/>
        <v>0</v>
      </c>
      <c r="N23" s="449">
        <f t="shared" ca="1" si="14"/>
        <v>0</v>
      </c>
      <c r="O23" s="449">
        <f t="shared" si="15"/>
        <v>0</v>
      </c>
      <c r="P23" s="450">
        <f t="shared" si="16"/>
        <v>0</v>
      </c>
      <c r="Q23" s="448">
        <f t="shared" ref="Q23:Q31" ca="1" si="17">SUM(B23:P23)</f>
        <v>5700.3060113395086</v>
      </c>
    </row>
    <row r="24" spans="1:17">
      <c r="A24" s="448" t="s">
        <v>193</v>
      </c>
      <c r="B24" s="449">
        <f t="shared" ca="1" si="2"/>
        <v>222.58782154181887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222.58782154181887</v>
      </c>
    </row>
    <row r="25" spans="1:17">
      <c r="A25" s="448" t="s">
        <v>111</v>
      </c>
      <c r="B25" s="449">
        <f t="shared" ca="1" si="2"/>
        <v>8.0715939566107142</v>
      </c>
      <c r="C25" s="449">
        <f t="shared" ca="1" si="3"/>
        <v>0</v>
      </c>
      <c r="D25" s="449">
        <f t="shared" si="4"/>
        <v>5.8854065136026437</v>
      </c>
      <c r="E25" s="449">
        <f t="shared" si="5"/>
        <v>0.26327334982573242</v>
      </c>
      <c r="F25" s="449">
        <f t="shared" si="6"/>
        <v>34.224229071363503</v>
      </c>
      <c r="G25" s="449">
        <f t="shared" si="7"/>
        <v>0</v>
      </c>
      <c r="H25" s="449">
        <f t="shared" si="8"/>
        <v>0</v>
      </c>
      <c r="I25" s="449">
        <f t="shared" si="9"/>
        <v>0</v>
      </c>
      <c r="J25" s="449">
        <f t="shared" si="10"/>
        <v>3.6448390636601276</v>
      </c>
      <c r="K25" s="449">
        <f t="shared" si="11"/>
        <v>0</v>
      </c>
      <c r="L25" s="449">
        <f t="shared" si="12"/>
        <v>0</v>
      </c>
      <c r="M25" s="449">
        <f t="shared" si="13"/>
        <v>0</v>
      </c>
      <c r="N25" s="449">
        <f t="shared" si="14"/>
        <v>0</v>
      </c>
      <c r="O25" s="449">
        <f t="shared" si="15"/>
        <v>0</v>
      </c>
      <c r="P25" s="450">
        <f t="shared" si="16"/>
        <v>0</v>
      </c>
      <c r="Q25" s="448">
        <f t="shared" ca="1" si="17"/>
        <v>52.089341955062721</v>
      </c>
    </row>
    <row r="26" spans="1:17">
      <c r="A26" s="448" t="s">
        <v>617</v>
      </c>
      <c r="B26" s="449">
        <f t="shared" ca="1" si="2"/>
        <v>1848.8792077763385</v>
      </c>
      <c r="C26" s="449">
        <f t="shared" ca="1" si="3"/>
        <v>0</v>
      </c>
      <c r="D26" s="449">
        <f t="shared" si="4"/>
        <v>25465.492390363692</v>
      </c>
      <c r="E26" s="449">
        <f t="shared" si="5"/>
        <v>5.1113731495565196</v>
      </c>
      <c r="F26" s="449">
        <f t="shared" si="6"/>
        <v>311.49932582608443</v>
      </c>
      <c r="G26" s="449">
        <f t="shared" si="7"/>
        <v>0</v>
      </c>
      <c r="H26" s="449">
        <f t="shared" si="8"/>
        <v>0</v>
      </c>
      <c r="I26" s="449">
        <f t="shared" si="9"/>
        <v>0</v>
      </c>
      <c r="J26" s="449">
        <f t="shared" si="10"/>
        <v>1.2659672870546412</v>
      </c>
      <c r="K26" s="449">
        <f t="shared" si="11"/>
        <v>0</v>
      </c>
      <c r="L26" s="449">
        <f t="shared" si="12"/>
        <v>0</v>
      </c>
      <c r="M26" s="449">
        <f t="shared" si="13"/>
        <v>0</v>
      </c>
      <c r="N26" s="449">
        <f t="shared" si="14"/>
        <v>0</v>
      </c>
      <c r="O26" s="449">
        <f t="shared" si="15"/>
        <v>0</v>
      </c>
      <c r="P26" s="450">
        <f t="shared" si="16"/>
        <v>0</v>
      </c>
      <c r="Q26" s="448">
        <f t="shared" ca="1" si="17"/>
        <v>27632.248264402726</v>
      </c>
    </row>
    <row r="27" spans="1:17" s="454" customFormat="1">
      <c r="A27" s="452" t="s">
        <v>543</v>
      </c>
      <c r="B27" s="772">
        <f t="shared" ca="1" si="2"/>
        <v>26.84311875753032</v>
      </c>
      <c r="C27" s="453">
        <f t="shared" ca="1" si="3"/>
        <v>0</v>
      </c>
      <c r="D27" s="453">
        <f t="shared" si="4"/>
        <v>53.086689269652538</v>
      </c>
      <c r="E27" s="453">
        <f t="shared" si="5"/>
        <v>23.461059045492693</v>
      </c>
      <c r="F27" s="453">
        <f t="shared" si="6"/>
        <v>0</v>
      </c>
      <c r="G27" s="453">
        <f t="shared" si="7"/>
        <v>9949.2858015888341</v>
      </c>
      <c r="H27" s="453">
        <f t="shared" si="8"/>
        <v>3203.9796821745181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13256.656350836029</v>
      </c>
    </row>
    <row r="28" spans="1:17" ht="16.5" customHeight="1">
      <c r="A28" s="448" t="s">
        <v>533</v>
      </c>
      <c r="B28" s="449">
        <f t="shared" ca="1" si="2"/>
        <v>2.3563144234375168</v>
      </c>
      <c r="C28" s="449">
        <f t="shared" ca="1" si="3"/>
        <v>0</v>
      </c>
      <c r="D28" s="449">
        <f t="shared" si="4"/>
        <v>0</v>
      </c>
      <c r="E28" s="449">
        <f t="shared" si="5"/>
        <v>0</v>
      </c>
      <c r="F28" s="449">
        <f t="shared" si="6"/>
        <v>0</v>
      </c>
      <c r="G28" s="449">
        <f t="shared" si="7"/>
        <v>197.58904870381693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199.94536312725444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121.98419244376835</v>
      </c>
      <c r="C32" s="449">
        <f t="shared" ca="1" si="3"/>
        <v>0</v>
      </c>
      <c r="D32" s="449">
        <f t="shared" si="4"/>
        <v>195.61724101176918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317.60143345553752</v>
      </c>
    </row>
    <row r="33" spans="1:17" s="460" customFormat="1">
      <c r="A33" s="458" t="s">
        <v>537</v>
      </c>
      <c r="B33" s="459">
        <f ca="1">SUM(B22:B32)</f>
        <v>11064.448908080089</v>
      </c>
      <c r="C33" s="459">
        <f t="shared" ref="C33:Q33" ca="1" si="19">SUM(C22:C32)</f>
        <v>0</v>
      </c>
      <c r="D33" s="459">
        <f t="shared" ca="1" si="19"/>
        <v>44078.104986147955</v>
      </c>
      <c r="E33" s="459">
        <f t="shared" si="19"/>
        <v>426.38921859037799</v>
      </c>
      <c r="F33" s="459">
        <f t="shared" ca="1" si="19"/>
        <v>10901.367091723763</v>
      </c>
      <c r="G33" s="459">
        <f t="shared" si="19"/>
        <v>10146.874850292652</v>
      </c>
      <c r="H33" s="459">
        <f t="shared" si="19"/>
        <v>3203.9796821745181</v>
      </c>
      <c r="I33" s="459">
        <f t="shared" si="19"/>
        <v>0</v>
      </c>
      <c r="J33" s="459">
        <f t="shared" si="19"/>
        <v>79.078783757552188</v>
      </c>
      <c r="K33" s="459">
        <f t="shared" si="19"/>
        <v>0</v>
      </c>
      <c r="L33" s="459">
        <f t="shared" ca="1" si="19"/>
        <v>0</v>
      </c>
      <c r="M33" s="459">
        <f t="shared" si="19"/>
        <v>0</v>
      </c>
      <c r="N33" s="459">
        <f t="shared" ca="1" si="19"/>
        <v>0</v>
      </c>
      <c r="O33" s="459">
        <f t="shared" si="19"/>
        <v>0</v>
      </c>
      <c r="P33" s="459">
        <f t="shared" si="19"/>
        <v>0</v>
      </c>
      <c r="Q33" s="459">
        <f t="shared" ca="1" si="19"/>
        <v>79900.24352076689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5442.2712479019583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5442.2712479019583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0.19933196098559094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0.19933196098559094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0.19933196098559094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0.19933196098559094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8384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393.47</v>
      </c>
      <c r="C14" s="326"/>
      <c r="D14" s="326"/>
      <c r="E14" s="326"/>
      <c r="F14" s="326"/>
    </row>
    <row r="15" spans="1:6">
      <c r="A15" s="1312" t="s">
        <v>183</v>
      </c>
      <c r="B15" s="1313">
        <v>2</v>
      </c>
      <c r="C15" s="326"/>
      <c r="D15" s="326"/>
      <c r="E15" s="326"/>
      <c r="F15" s="326"/>
    </row>
    <row r="16" spans="1:6">
      <c r="A16" s="1312" t="s">
        <v>6</v>
      </c>
      <c r="B16" s="1313">
        <v>79</v>
      </c>
      <c r="C16" s="326"/>
      <c r="D16" s="326"/>
      <c r="E16" s="326"/>
      <c r="F16" s="326"/>
    </row>
    <row r="17" spans="1:6">
      <c r="A17" s="1312" t="s">
        <v>7</v>
      </c>
      <c r="B17" s="1313">
        <v>69</v>
      </c>
      <c r="C17" s="326"/>
      <c r="D17" s="326"/>
      <c r="E17" s="326"/>
      <c r="F17" s="326"/>
    </row>
    <row r="18" spans="1:6">
      <c r="A18" s="1312" t="s">
        <v>8</v>
      </c>
      <c r="B18" s="1313">
        <v>107</v>
      </c>
      <c r="C18" s="326"/>
      <c r="D18" s="326"/>
      <c r="E18" s="326"/>
      <c r="F18" s="326"/>
    </row>
    <row r="19" spans="1:6">
      <c r="A19" s="1312" t="s">
        <v>9</v>
      </c>
      <c r="B19" s="1313">
        <v>81</v>
      </c>
      <c r="C19" s="326"/>
      <c r="D19" s="326"/>
      <c r="E19" s="326"/>
      <c r="F19" s="326"/>
    </row>
    <row r="20" spans="1:6">
      <c r="A20" s="1312" t="s">
        <v>10</v>
      </c>
      <c r="B20" s="1313">
        <v>52</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7</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375964.374838055</v>
      </c>
      <c r="E38" s="1313">
        <v>3</v>
      </c>
      <c r="F38" s="1313">
        <v>128757.75355297241</v>
      </c>
    </row>
    <row r="39" spans="1:6">
      <c r="A39" s="1312" t="s">
        <v>29</v>
      </c>
      <c r="B39" s="1312" t="s">
        <v>30</v>
      </c>
      <c r="C39" s="1313">
        <v>5969</v>
      </c>
      <c r="D39" s="1313">
        <v>86124916.710727498</v>
      </c>
      <c r="E39" s="1313">
        <v>8576</v>
      </c>
      <c r="F39" s="1313">
        <v>28334751.951462802</v>
      </c>
    </row>
    <row r="40" spans="1:6">
      <c r="A40" s="1312" t="s">
        <v>29</v>
      </c>
      <c r="B40" s="1312" t="s">
        <v>28</v>
      </c>
      <c r="C40" s="1313">
        <v>0</v>
      </c>
      <c r="D40" s="1313">
        <v>0</v>
      </c>
      <c r="E40" s="1313">
        <v>0</v>
      </c>
      <c r="F40" s="1313">
        <v>0</v>
      </c>
    </row>
    <row r="41" spans="1:6">
      <c r="A41" s="1312" t="s">
        <v>31</v>
      </c>
      <c r="B41" s="1312" t="s">
        <v>32</v>
      </c>
      <c r="C41" s="1313">
        <v>67</v>
      </c>
      <c r="D41" s="1313">
        <v>1525683.4248930099</v>
      </c>
      <c r="E41" s="1313">
        <v>127</v>
      </c>
      <c r="F41" s="1313">
        <v>1550412.6980878899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5</v>
      </c>
      <c r="F44" s="1313">
        <v>27328.433044708701</v>
      </c>
    </row>
    <row r="45" spans="1:6">
      <c r="A45" s="1312" t="s">
        <v>31</v>
      </c>
      <c r="B45" s="1312" t="s">
        <v>36</v>
      </c>
      <c r="C45" s="1313">
        <v>0</v>
      </c>
      <c r="D45" s="1313">
        <v>0</v>
      </c>
      <c r="E45" s="1313">
        <v>4</v>
      </c>
      <c r="F45" s="1313">
        <v>99053.938223621895</v>
      </c>
    </row>
    <row r="46" spans="1:6">
      <c r="A46" s="1312" t="s">
        <v>31</v>
      </c>
      <c r="B46" s="1312" t="s">
        <v>37</v>
      </c>
      <c r="C46" s="1313">
        <v>0</v>
      </c>
      <c r="D46" s="1313">
        <v>0</v>
      </c>
      <c r="E46" s="1313">
        <v>0</v>
      </c>
      <c r="F46" s="1313">
        <v>0</v>
      </c>
    </row>
    <row r="47" spans="1:6">
      <c r="A47" s="1312" t="s">
        <v>31</v>
      </c>
      <c r="B47" s="1312" t="s">
        <v>38</v>
      </c>
      <c r="C47" s="1313">
        <v>3</v>
      </c>
      <c r="D47" s="1313">
        <v>97261.142445547201</v>
      </c>
      <c r="E47" s="1313">
        <v>5</v>
      </c>
      <c r="F47" s="1313">
        <v>45464.6490384836</v>
      </c>
    </row>
    <row r="48" spans="1:6">
      <c r="A48" s="1312" t="s">
        <v>31</v>
      </c>
      <c r="B48" s="1312" t="s">
        <v>28</v>
      </c>
      <c r="C48" s="1313">
        <v>4</v>
      </c>
      <c r="D48" s="1313">
        <v>231957.2374237054</v>
      </c>
      <c r="E48" s="1313">
        <v>0</v>
      </c>
      <c r="F48" s="1313">
        <v>0</v>
      </c>
    </row>
    <row r="49" spans="1:6">
      <c r="A49" s="1312" t="s">
        <v>31</v>
      </c>
      <c r="B49" s="1312" t="s">
        <v>39</v>
      </c>
      <c r="C49" s="1313">
        <v>4</v>
      </c>
      <c r="D49" s="1313">
        <v>389418.14674142801</v>
      </c>
      <c r="E49" s="1313">
        <v>4</v>
      </c>
      <c r="F49" s="1313">
        <v>73659.641106308802</v>
      </c>
    </row>
    <row r="50" spans="1:6">
      <c r="A50" s="1312" t="s">
        <v>31</v>
      </c>
      <c r="B50" s="1312" t="s">
        <v>40</v>
      </c>
      <c r="C50" s="1313">
        <v>8</v>
      </c>
      <c r="D50" s="1313">
        <v>137364532.77463299</v>
      </c>
      <c r="E50" s="1313">
        <v>14</v>
      </c>
      <c r="F50" s="1313">
        <v>7479458.2499631699</v>
      </c>
    </row>
    <row r="51" spans="1:6">
      <c r="A51" s="1312" t="s">
        <v>41</v>
      </c>
      <c r="B51" s="1312" t="s">
        <v>42</v>
      </c>
      <c r="C51" s="1313">
        <v>3</v>
      </c>
      <c r="D51" s="1313">
        <v>32265.421716405399</v>
      </c>
      <c r="E51" s="1313">
        <v>10</v>
      </c>
      <c r="F51" s="1313">
        <v>40493.225053829599</v>
      </c>
    </row>
    <row r="52" spans="1:6">
      <c r="A52" s="1312" t="s">
        <v>41</v>
      </c>
      <c r="B52" s="1312" t="s">
        <v>28</v>
      </c>
      <c r="C52" s="1313">
        <v>0</v>
      </c>
      <c r="D52" s="1313">
        <v>0</v>
      </c>
      <c r="E52" s="1313">
        <v>0</v>
      </c>
      <c r="F52" s="1313">
        <v>0</v>
      </c>
    </row>
    <row r="53" spans="1:6">
      <c r="A53" s="1312" t="s">
        <v>43</v>
      </c>
      <c r="B53" s="1312" t="s">
        <v>44</v>
      </c>
      <c r="C53" s="1313">
        <v>78</v>
      </c>
      <c r="D53" s="1313">
        <v>968402.18322658003</v>
      </c>
      <c r="E53" s="1313">
        <v>223</v>
      </c>
      <c r="F53" s="1313">
        <v>611965.04484590003</v>
      </c>
    </row>
    <row r="54" spans="1:6">
      <c r="A54" s="1312" t="s">
        <v>45</v>
      </c>
      <c r="B54" s="1312" t="s">
        <v>46</v>
      </c>
      <c r="C54" s="1313">
        <v>0</v>
      </c>
      <c r="D54" s="1313">
        <v>0</v>
      </c>
      <c r="E54" s="1313">
        <v>1</v>
      </c>
      <c r="F54" s="1313">
        <v>1116669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69</v>
      </c>
      <c r="D57" s="1313">
        <v>3188321.3225207399</v>
      </c>
      <c r="E57" s="1313">
        <v>147</v>
      </c>
      <c r="F57" s="1313">
        <v>2071248.9224350001</v>
      </c>
    </row>
    <row r="58" spans="1:6">
      <c r="A58" s="1312" t="s">
        <v>48</v>
      </c>
      <c r="B58" s="1312" t="s">
        <v>50</v>
      </c>
      <c r="C58" s="1313">
        <v>23</v>
      </c>
      <c r="D58" s="1313">
        <v>1194002.0004926799</v>
      </c>
      <c r="E58" s="1313">
        <v>34</v>
      </c>
      <c r="F58" s="1313">
        <v>745660.50780130003</v>
      </c>
    </row>
    <row r="59" spans="1:6">
      <c r="A59" s="1312" t="s">
        <v>48</v>
      </c>
      <c r="B59" s="1312" t="s">
        <v>51</v>
      </c>
      <c r="C59" s="1313">
        <v>82</v>
      </c>
      <c r="D59" s="1313">
        <v>2606076.5750532602</v>
      </c>
      <c r="E59" s="1313">
        <v>174</v>
      </c>
      <c r="F59" s="1313">
        <v>5767421.3386151697</v>
      </c>
    </row>
    <row r="60" spans="1:6">
      <c r="A60" s="1312" t="s">
        <v>48</v>
      </c>
      <c r="B60" s="1312" t="s">
        <v>52</v>
      </c>
      <c r="C60" s="1313">
        <v>54</v>
      </c>
      <c r="D60" s="1313">
        <v>3568661.0286404202</v>
      </c>
      <c r="E60" s="1313">
        <v>62</v>
      </c>
      <c r="F60" s="1313">
        <v>955488.274414944</v>
      </c>
    </row>
    <row r="61" spans="1:6">
      <c r="A61" s="1312" t="s">
        <v>48</v>
      </c>
      <c r="B61" s="1312" t="s">
        <v>53</v>
      </c>
      <c r="C61" s="1313">
        <v>111</v>
      </c>
      <c r="D61" s="1313">
        <v>3253065.11823925</v>
      </c>
      <c r="E61" s="1313">
        <v>281</v>
      </c>
      <c r="F61" s="1313">
        <v>1671854.2713250399</v>
      </c>
    </row>
    <row r="62" spans="1:6">
      <c r="A62" s="1312" t="s">
        <v>48</v>
      </c>
      <c r="B62" s="1312" t="s">
        <v>54</v>
      </c>
      <c r="C62" s="1313">
        <v>10</v>
      </c>
      <c r="D62" s="1313">
        <v>708703.93571368896</v>
      </c>
      <c r="E62" s="1313">
        <v>11</v>
      </c>
      <c r="F62" s="1313">
        <v>298342.41326098598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41855.688629422999</v>
      </c>
      <c r="E65" s="1313">
        <v>1</v>
      </c>
      <c r="F65" s="1313">
        <v>5053.9034918399002</v>
      </c>
    </row>
    <row r="66" spans="1:6">
      <c r="A66" s="1312" t="s">
        <v>55</v>
      </c>
      <c r="B66" s="1312" t="s">
        <v>57</v>
      </c>
      <c r="C66" s="1313">
        <v>0</v>
      </c>
      <c r="D66" s="1313">
        <v>0</v>
      </c>
      <c r="E66" s="1313">
        <v>6</v>
      </c>
      <c r="F66" s="1313">
        <v>133605</v>
      </c>
    </row>
    <row r="67" spans="1:6">
      <c r="A67" s="1314" t="s">
        <v>55</v>
      </c>
      <c r="B67" s="1314" t="s">
        <v>58</v>
      </c>
      <c r="C67" s="1313">
        <v>0</v>
      </c>
      <c r="D67" s="1313">
        <v>0</v>
      </c>
      <c r="E67" s="1313">
        <v>0</v>
      </c>
      <c r="F67" s="1313">
        <v>0</v>
      </c>
    </row>
    <row r="68" spans="1:6">
      <c r="A68" s="1307" t="s">
        <v>55</v>
      </c>
      <c r="B68" s="1307" t="s">
        <v>59</v>
      </c>
      <c r="C68" s="1316">
        <v>11</v>
      </c>
      <c r="D68" s="1316">
        <v>183888.74790836399</v>
      </c>
      <c r="E68" s="1316">
        <v>14</v>
      </c>
      <c r="F68" s="1316">
        <v>36678.816392825203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26348025</v>
      </c>
      <c r="E73" s="447"/>
      <c r="F73" s="326"/>
    </row>
    <row r="74" spans="1:6">
      <c r="A74" s="1312" t="s">
        <v>63</v>
      </c>
      <c r="B74" s="1312" t="s">
        <v>638</v>
      </c>
      <c r="C74" s="1326" t="s">
        <v>640</v>
      </c>
      <c r="D74" s="1327">
        <v>1521567.7722292056</v>
      </c>
      <c r="E74" s="447"/>
      <c r="F74" s="326"/>
    </row>
    <row r="75" spans="1:6">
      <c r="A75" s="1312" t="s">
        <v>64</v>
      </c>
      <c r="B75" s="1312" t="s">
        <v>637</v>
      </c>
      <c r="C75" s="1326" t="s">
        <v>641</v>
      </c>
      <c r="D75" s="1327">
        <v>28207650</v>
      </c>
      <c r="E75" s="447"/>
      <c r="F75" s="326"/>
    </row>
    <row r="76" spans="1:6">
      <c r="A76" s="1312" t="s">
        <v>64</v>
      </c>
      <c r="B76" s="1312" t="s">
        <v>638</v>
      </c>
      <c r="C76" s="1326" t="s">
        <v>642</v>
      </c>
      <c r="D76" s="1327">
        <v>584005.77222920547</v>
      </c>
      <c r="E76" s="447"/>
      <c r="F76" s="326"/>
    </row>
    <row r="77" spans="1:6">
      <c r="A77" s="1312" t="s">
        <v>65</v>
      </c>
      <c r="B77" s="1312" t="s">
        <v>637</v>
      </c>
      <c r="C77" s="1326" t="s">
        <v>643</v>
      </c>
      <c r="D77" s="1327">
        <v>6338955</v>
      </c>
      <c r="E77" s="447"/>
      <c r="F77" s="326"/>
    </row>
    <row r="78" spans="1:6">
      <c r="A78" s="1307" t="s">
        <v>65</v>
      </c>
      <c r="B78" s="1307" t="s">
        <v>638</v>
      </c>
      <c r="C78" s="1307" t="s">
        <v>644</v>
      </c>
      <c r="D78" s="1328">
        <v>750092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220488.45554158901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4471.8919045391722</v>
      </c>
      <c r="C91" s="326"/>
      <c r="D91" s="326"/>
      <c r="E91" s="326"/>
      <c r="F91" s="326"/>
    </row>
    <row r="92" spans="1:6">
      <c r="A92" s="1307" t="s">
        <v>68</v>
      </c>
      <c r="B92" s="1308">
        <v>970.37934336278579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2673</v>
      </c>
      <c r="C97" s="326"/>
      <c r="D97" s="326"/>
      <c r="E97" s="326"/>
      <c r="F97" s="326"/>
    </row>
    <row r="98" spans="1:6">
      <c r="A98" s="1312" t="s">
        <v>71</v>
      </c>
      <c r="B98" s="1313">
        <v>0</v>
      </c>
      <c r="C98" s="326"/>
      <c r="D98" s="326"/>
      <c r="E98" s="326"/>
      <c r="F98" s="326"/>
    </row>
    <row r="99" spans="1:6">
      <c r="A99" s="1312" t="s">
        <v>72</v>
      </c>
      <c r="B99" s="1313">
        <v>112</v>
      </c>
      <c r="C99" s="326"/>
      <c r="D99" s="326"/>
      <c r="E99" s="326"/>
      <c r="F99" s="326"/>
    </row>
    <row r="100" spans="1:6">
      <c r="A100" s="1312" t="s">
        <v>73</v>
      </c>
      <c r="B100" s="1313">
        <v>655</v>
      </c>
      <c r="C100" s="326"/>
      <c r="D100" s="326"/>
      <c r="E100" s="326"/>
      <c r="F100" s="326"/>
    </row>
    <row r="101" spans="1:6">
      <c r="A101" s="1312" t="s">
        <v>74</v>
      </c>
      <c r="B101" s="1313">
        <v>40</v>
      </c>
      <c r="C101" s="326"/>
      <c r="D101" s="326"/>
      <c r="E101" s="326"/>
      <c r="F101" s="326"/>
    </row>
    <row r="102" spans="1:6">
      <c r="A102" s="1312" t="s">
        <v>75</v>
      </c>
      <c r="B102" s="1313">
        <v>98</v>
      </c>
      <c r="C102" s="326"/>
      <c r="D102" s="326"/>
      <c r="E102" s="326"/>
      <c r="F102" s="326"/>
    </row>
    <row r="103" spans="1:6">
      <c r="A103" s="1312" t="s">
        <v>76</v>
      </c>
      <c r="B103" s="1313">
        <v>226</v>
      </c>
      <c r="C103" s="326"/>
      <c r="D103" s="326"/>
      <c r="E103" s="326"/>
      <c r="F103" s="326"/>
    </row>
    <row r="104" spans="1:6">
      <c r="A104" s="1312" t="s">
        <v>77</v>
      </c>
      <c r="B104" s="1313">
        <v>2985</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1</v>
      </c>
      <c r="C122" s="1313">
        <v>0</v>
      </c>
      <c r="D122" s="326"/>
      <c r="E122" s="326"/>
      <c r="F122" s="326"/>
    </row>
    <row r="123" spans="1:6">
      <c r="A123" s="1312" t="s">
        <v>87</v>
      </c>
      <c r="B123" s="1313">
        <v>49</v>
      </c>
      <c r="C123" s="1313">
        <v>35</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133</v>
      </c>
      <c r="C129" s="326"/>
      <c r="D129" s="326"/>
      <c r="E129" s="326"/>
      <c r="F129" s="326"/>
    </row>
    <row r="130" spans="1:6">
      <c r="A130" s="1312" t="s">
        <v>290</v>
      </c>
      <c r="B130" s="1313">
        <v>3</v>
      </c>
      <c r="C130" s="326"/>
      <c r="D130" s="326"/>
      <c r="E130" s="326"/>
      <c r="F130" s="326"/>
    </row>
    <row r="131" spans="1:6">
      <c r="A131" s="1312" t="s">
        <v>291</v>
      </c>
      <c r="B131" s="1313">
        <v>10</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55507.650922472487</v>
      </c>
      <c r="C3" s="43" t="s">
        <v>169</v>
      </c>
      <c r="D3" s="43"/>
      <c r="E3" s="154"/>
      <c r="F3" s="43"/>
      <c r="G3" s="43"/>
      <c r="H3" s="43"/>
      <c r="I3" s="43"/>
      <c r="J3" s="43"/>
      <c r="K3" s="96"/>
    </row>
    <row r="4" spans="1:11">
      <c r="A4" s="354" t="s">
        <v>170</v>
      </c>
      <c r="B4" s="49">
        <f>IF(ISERROR('SEAP template'!B78+'SEAP template'!C78),0,'SEAP template'!B78+'SEAP template'!C78)</f>
        <v>5442.2712479019583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0.19933196098559094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1116.6690000000001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1116.6690000000001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0.19933196098559094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222.58782154181887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28334.7519514628</v>
      </c>
      <c r="C5" s="17">
        <f>IF(ISERROR('Eigen informatie GS &amp; warmtenet'!B59),0,'Eigen informatie GS &amp; warmtenet'!B59)</f>
        <v>0</v>
      </c>
      <c r="D5" s="30">
        <f>(SUM(HH_hh_gas_kWh,HH_rest_gas_kWh)/1000)*0.903</f>
        <v>77770.799789786935</v>
      </c>
      <c r="E5" s="17">
        <f>B32*B41</f>
        <v>1677.983447632532</v>
      </c>
      <c r="F5" s="17">
        <f>B36*B45</f>
        <v>36758.921046121824</v>
      </c>
      <c r="G5" s="18"/>
      <c r="H5" s="17"/>
      <c r="I5" s="17"/>
      <c r="J5" s="17">
        <f>B35*B44+C35*C44</f>
        <v>209.49311150319218</v>
      </c>
      <c r="K5" s="17"/>
      <c r="L5" s="17"/>
      <c r="M5" s="17"/>
      <c r="N5" s="17">
        <f>B34*B43+C34*C43</f>
        <v>10854.44702760954</v>
      </c>
      <c r="O5" s="17">
        <f>B52*B53*B54</f>
        <v>333.30498085702135</v>
      </c>
      <c r="P5" s="17">
        <f>B60*B61*B62/1000-B60*B61*B62/1000/B63</f>
        <v>737.37715153795159</v>
      </c>
    </row>
    <row r="6" spans="1:16">
      <c r="A6" s="16" t="s">
        <v>603</v>
      </c>
      <c r="B6" s="780">
        <f>kWh_PV_kleiner_dan_10kW</f>
        <v>4471.8919045391722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32806.643856001974</v>
      </c>
      <c r="C8" s="21">
        <f>C5</f>
        <v>0</v>
      </c>
      <c r="D8" s="21">
        <f>D5</f>
        <v>77770.799789786935</v>
      </c>
      <c r="E8" s="21">
        <f>E5</f>
        <v>1677.983447632532</v>
      </c>
      <c r="F8" s="21">
        <f>F5</f>
        <v>36758.921046121824</v>
      </c>
      <c r="G8" s="21"/>
      <c r="H8" s="21"/>
      <c r="I8" s="21"/>
      <c r="J8" s="21">
        <f>J5</f>
        <v>209.49311150319218</v>
      </c>
      <c r="K8" s="21"/>
      <c r="L8" s="21">
        <f>L5</f>
        <v>0</v>
      </c>
      <c r="M8" s="21">
        <f>M5</f>
        <v>0</v>
      </c>
      <c r="N8" s="21">
        <f>N5</f>
        <v>10854.44702760954</v>
      </c>
      <c r="O8" s="21">
        <f>O5</f>
        <v>333.30498085702135</v>
      </c>
      <c r="P8" s="21">
        <f>P5</f>
        <v>737.37715153795159</v>
      </c>
    </row>
    <row r="9" spans="1:16">
      <c r="B9" s="19"/>
      <c r="C9" s="19"/>
      <c r="D9" s="254"/>
      <c r="E9" s="19"/>
      <c r="F9" s="19"/>
      <c r="G9" s="19"/>
      <c r="H9" s="19"/>
      <c r="I9" s="19"/>
      <c r="J9" s="19"/>
      <c r="K9" s="19"/>
      <c r="L9" s="19"/>
      <c r="M9" s="19"/>
      <c r="N9" s="19"/>
      <c r="O9" s="19"/>
      <c r="P9" s="19"/>
    </row>
    <row r="10" spans="1:16">
      <c r="A10" s="24" t="s">
        <v>213</v>
      </c>
      <c r="B10" s="25">
        <f ca="1">'EF ele_warmte'!B12</f>
        <v>0.19933196098559094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6539.4126531727625</v>
      </c>
      <c r="C12" s="23">
        <f ca="1">C10*C8</f>
        <v>0</v>
      </c>
      <c r="D12" s="23">
        <f>D8*D10</f>
        <v>15709.701557536962</v>
      </c>
      <c r="E12" s="23">
        <f>E10*E8</f>
        <v>380.90224261258476</v>
      </c>
      <c r="F12" s="23">
        <f>F10*F8</f>
        <v>9814.6319193145282</v>
      </c>
      <c r="G12" s="23"/>
      <c r="H12" s="23"/>
      <c r="I12" s="23"/>
      <c r="J12" s="23">
        <f>J10*J8</f>
        <v>74.160561472130027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8384</v>
      </c>
      <c r="C26" s="36"/>
      <c r="D26" s="225"/>
    </row>
    <row r="27" spans="1:5" s="15" customFormat="1">
      <c r="A27" s="227" t="s">
        <v>866</v>
      </c>
      <c r="B27" s="37">
        <f>SUM(HH_hh_gas_aantal,HH_rest_gas_aantal)</f>
        <v>5969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5670.55</v>
      </c>
      <c r="C31" s="34" t="s">
        <v>110</v>
      </c>
      <c r="D31" s="171"/>
    </row>
    <row r="32" spans="1:5">
      <c r="A32" s="168" t="s">
        <v>72</v>
      </c>
      <c r="B32" s="33">
        <f>IF((B21*($B$26-($B$27-0.05*$B$27)-$B$60))&lt;0,0,(B21*($B$26-($B$27-0.05*$B$27)-$B$60)))</f>
        <v>41.965293987481672</v>
      </c>
      <c r="C32" s="34" t="s">
        <v>110</v>
      </c>
      <c r="D32" s="171"/>
    </row>
    <row r="33" spans="1:6">
      <c r="A33" s="168" t="s">
        <v>73</v>
      </c>
      <c r="B33" s="33">
        <f>IF((B22*($B$26-($B$27-0.05*$B$27)-$B$60))&lt;0,0,B22*($B$26-($B$27-0.05*$B$27)-$B$60))</f>
        <v>681.43326117971924</v>
      </c>
      <c r="C33" s="34" t="s">
        <v>110</v>
      </c>
      <c r="D33" s="171"/>
    </row>
    <row r="34" spans="1:6">
      <c r="A34" s="168" t="s">
        <v>74</v>
      </c>
      <c r="B34" s="33">
        <f>IF((B24*($B$26-($B$27-0.05*$B$27)-$B$60))&lt;0,0,B24*($B$26-($B$27-0.05*$B$27)-$B$60))</f>
        <v>130.63987542430368</v>
      </c>
      <c r="C34" s="33">
        <f>B26*C24</f>
        <v>1717.9313993380663</v>
      </c>
      <c r="D34" s="230"/>
    </row>
    <row r="35" spans="1:6">
      <c r="A35" s="168" t="s">
        <v>76</v>
      </c>
      <c r="B35" s="33">
        <f>IF((B19*($B$26-($B$27-0.05*$B$27)-$B$60))&lt;0,0,B19*($B$26-($B$27-0.05*$B$27)-$B$60))</f>
        <v>18.242213248358965</v>
      </c>
      <c r="C35" s="33">
        <f>B35/2</f>
        <v>9.1211066241794825</v>
      </c>
      <c r="D35" s="230"/>
    </row>
    <row r="36" spans="1:6">
      <c r="A36" s="168" t="s">
        <v>77</v>
      </c>
      <c r="B36" s="33">
        <f>IF((B18*($B$26-($B$27-0.05*$B$27)-$B$60))&lt;0,0,B18*($B$26-($B$27-0.05*$B$27)-$B$60))</f>
        <v>1771.1693561601357</v>
      </c>
      <c r="C36" s="34" t="s">
        <v>110</v>
      </c>
      <c r="D36" s="171"/>
    </row>
    <row r="37" spans="1:6">
      <c r="A37" s="168" t="s">
        <v>78</v>
      </c>
      <c r="B37" s="33">
        <f>B60</f>
        <v>70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168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11510.01572785244</v>
      </c>
      <c r="C5" s="17">
        <f>IF(ISERROR('Eigen informatie GS &amp; warmtenet'!B60),0,'Eigen informatie GS &amp; warmtenet'!B60)</f>
        <v>0</v>
      </c>
      <c r="D5" s="30">
        <f>SUM(D6:D12)</f>
        <v>13110.503472536016</v>
      </c>
      <c r="E5" s="17">
        <f>SUM(E6:E12)</f>
        <v>73.353614241930828</v>
      </c>
      <c r="F5" s="17">
        <f>SUM(F6:F12)</f>
        <v>2775.3244101565037</v>
      </c>
      <c r="G5" s="18"/>
      <c r="H5" s="17"/>
      <c r="I5" s="17"/>
      <c r="J5" s="17">
        <f>SUM(J6:J12)</f>
        <v>2.0948968099977028E-2</v>
      </c>
      <c r="K5" s="17"/>
      <c r="L5" s="17"/>
      <c r="M5" s="17"/>
      <c r="N5" s="17">
        <f>SUM(N6:N12)</f>
        <v>803.18130135425531</v>
      </c>
      <c r="O5" s="17">
        <f>B38*B39*B40</f>
        <v>14.691782297523464</v>
      </c>
      <c r="P5" s="17">
        <f>B46*B47*B48/1000-B46*B47*B48/1000/B49</f>
        <v>577.93052137144514</v>
      </c>
      <c r="R5" s="32"/>
    </row>
    <row r="6" spans="1:18">
      <c r="A6" s="32" t="s">
        <v>53</v>
      </c>
      <c r="B6" s="37">
        <f>B26</f>
        <v>1671.8542713250399</v>
      </c>
      <c r="C6" s="33"/>
      <c r="D6" s="37">
        <f>IF(ISERROR(TER_kantoor_gas_kWh/1000),0,TER_kantoor_gas_kWh/1000)*0.903</f>
        <v>2937.5178017700428</v>
      </c>
      <c r="E6" s="33">
        <f>$C$26*'E Balans VL '!I12/100/3.6*1000000</f>
        <v>0.39835359549092186</v>
      </c>
      <c r="F6" s="33">
        <f>$C$26*('E Balans VL '!L12+'E Balans VL '!N12)/100/3.6*1000000</f>
        <v>145.21692119804359</v>
      </c>
      <c r="G6" s="34"/>
      <c r="H6" s="33"/>
      <c r="I6" s="33"/>
      <c r="J6" s="33">
        <f>$C$26*('E Balans VL '!D12+'E Balans VL '!E12)/100/3.6*1000000</f>
        <v>0</v>
      </c>
      <c r="K6" s="33"/>
      <c r="L6" s="33"/>
      <c r="M6" s="33"/>
      <c r="N6" s="33">
        <f>$C$26*'E Balans VL '!Y12/100/3.6*1000000</f>
        <v>2.2346671263712587</v>
      </c>
      <c r="O6" s="33"/>
      <c r="P6" s="33"/>
      <c r="R6" s="32"/>
    </row>
    <row r="7" spans="1:18">
      <c r="A7" s="32" t="s">
        <v>52</v>
      </c>
      <c r="B7" s="37">
        <f t="shared" ref="B7:B12" si="0">B27</f>
        <v>955.48827441494404</v>
      </c>
      <c r="C7" s="33"/>
      <c r="D7" s="37">
        <f>IF(ISERROR(TER_horeca_gas_kWh/1000),0,TER_horeca_gas_kWh/1000)*0.903</f>
        <v>3222.5009088622996</v>
      </c>
      <c r="E7" s="33">
        <f>$C$27*'E Balans VL '!I9/100/3.6*1000000</f>
        <v>0</v>
      </c>
      <c r="F7" s="33">
        <f>$C$27*('E Balans VL '!L9+'E Balans VL '!N9)/100/3.6*1000000</f>
        <v>77.855002497138244</v>
      </c>
      <c r="G7" s="34"/>
      <c r="H7" s="33"/>
      <c r="I7" s="33"/>
      <c r="J7" s="33">
        <f>$C$27*('E Balans VL '!D9+'E Balans VL '!E9)/100/3.6*1000000</f>
        <v>0</v>
      </c>
      <c r="K7" s="33"/>
      <c r="L7" s="33"/>
      <c r="M7" s="33"/>
      <c r="N7" s="33">
        <f>$C$27*'E Balans VL '!Y9/100/3.6*1000000</f>
        <v>0.26465246335257553</v>
      </c>
      <c r="O7" s="33"/>
      <c r="P7" s="33"/>
      <c r="R7" s="32"/>
    </row>
    <row r="8" spans="1:18">
      <c r="A8" s="6" t="s">
        <v>51</v>
      </c>
      <c r="B8" s="37">
        <f t="shared" si="0"/>
        <v>5767.4213386151696</v>
      </c>
      <c r="C8" s="33"/>
      <c r="D8" s="37">
        <f>IF(ISERROR(TER_handel_gas_kWh/1000),0,TER_handel_gas_kWh/1000)*0.903</f>
        <v>2353.287147273094</v>
      </c>
      <c r="E8" s="33">
        <f>$C$28*'E Balans VL '!I13/100/3.6*1000000</f>
        <v>46.102543408743919</v>
      </c>
      <c r="F8" s="33">
        <f>$C$28*('E Balans VL '!L13+'E Balans VL '!N13)/100/3.6*1000000</f>
        <v>572.95745760857562</v>
      </c>
      <c r="G8" s="34"/>
      <c r="H8" s="33"/>
      <c r="I8" s="33"/>
      <c r="J8" s="33">
        <f>$C$28*('E Balans VL '!D13+'E Balans VL '!E13)/100/3.6*1000000</f>
        <v>0</v>
      </c>
      <c r="K8" s="33"/>
      <c r="L8" s="33"/>
      <c r="M8" s="33"/>
      <c r="N8" s="33">
        <f>$C$28*'E Balans VL '!Y13/100/3.6*1000000</f>
        <v>2.1544751697420734</v>
      </c>
      <c r="O8" s="33"/>
      <c r="P8" s="33"/>
      <c r="R8" s="32"/>
    </row>
    <row r="9" spans="1:18">
      <c r="A9" s="32" t="s">
        <v>50</v>
      </c>
      <c r="B9" s="37">
        <f t="shared" si="0"/>
        <v>745.66050780130001</v>
      </c>
      <c r="C9" s="33"/>
      <c r="D9" s="37">
        <f>IF(ISERROR(TER_gezond_gas_kWh/1000),0,TER_gezond_gas_kWh/1000)*0.903</f>
        <v>1078.18380644489</v>
      </c>
      <c r="E9" s="33">
        <f>$C$29*'E Balans VL '!I10/100/3.6*1000000</f>
        <v>0</v>
      </c>
      <c r="F9" s="33">
        <f>$C$29*('E Balans VL '!L10+'E Balans VL '!N10)/100/3.6*1000000</f>
        <v>67.979106343530233</v>
      </c>
      <c r="G9" s="34"/>
      <c r="H9" s="33"/>
      <c r="I9" s="33"/>
      <c r="J9" s="33">
        <f>$C$29*('E Balans VL '!D10+'E Balans VL '!E10)/100/3.6*1000000</f>
        <v>0</v>
      </c>
      <c r="K9" s="33"/>
      <c r="L9" s="33"/>
      <c r="M9" s="33"/>
      <c r="N9" s="33">
        <f>$C$29*'E Balans VL '!Y10/100/3.6*1000000</f>
        <v>5.4501100808742171</v>
      </c>
      <c r="O9" s="33"/>
      <c r="P9" s="33"/>
      <c r="R9" s="32"/>
    </row>
    <row r="10" spans="1:18">
      <c r="A10" s="32" t="s">
        <v>49</v>
      </c>
      <c r="B10" s="37">
        <f t="shared" si="0"/>
        <v>2071.2489224350002</v>
      </c>
      <c r="C10" s="33"/>
      <c r="D10" s="37">
        <f>IF(ISERROR(TER_ander_gas_kWh/1000),0,TER_ander_gas_kWh/1000)*0.903</f>
        <v>2879.0541542362284</v>
      </c>
      <c r="E10" s="33">
        <f>$C$30*'E Balans VL '!I14/100/3.6*1000000</f>
        <v>26.852717237695988</v>
      </c>
      <c r="F10" s="33">
        <f>$C$30*('E Balans VL '!L14+'E Balans VL '!N14)/100/3.6*1000000</f>
        <v>1899.6260707432534</v>
      </c>
      <c r="G10" s="34"/>
      <c r="H10" s="33"/>
      <c r="I10" s="33"/>
      <c r="J10" s="33">
        <f>$C$30*('E Balans VL '!D14+'E Balans VL '!E14)/100/3.6*1000000</f>
        <v>2.0948968099977028E-2</v>
      </c>
      <c r="K10" s="33"/>
      <c r="L10" s="33"/>
      <c r="M10" s="33"/>
      <c r="N10" s="33">
        <f>$C$30*'E Balans VL '!Y14/100/3.6*1000000</f>
        <v>792.13784254225311</v>
      </c>
      <c r="O10" s="33"/>
      <c r="P10" s="33"/>
      <c r="R10" s="32"/>
    </row>
    <row r="11" spans="1:18">
      <c r="A11" s="32" t="s">
        <v>54</v>
      </c>
      <c r="B11" s="37">
        <f t="shared" si="0"/>
        <v>298.34241326098601</v>
      </c>
      <c r="C11" s="33"/>
      <c r="D11" s="37">
        <f>IF(ISERROR(TER_onderwijs_gas_kWh/1000),0,TER_onderwijs_gas_kWh/1000)*0.903</f>
        <v>639.95965394946109</v>
      </c>
      <c r="E11" s="33">
        <f>$C$31*'E Balans VL '!I11/100/3.6*1000000</f>
        <v>0</v>
      </c>
      <c r="F11" s="33">
        <f>$C$31*('E Balans VL '!L11+'E Balans VL '!N11)/100/3.6*1000000</f>
        <v>11.689851765962301</v>
      </c>
      <c r="G11" s="34"/>
      <c r="H11" s="33"/>
      <c r="I11" s="33"/>
      <c r="J11" s="33">
        <f>$C$31*('E Balans VL '!D11+'E Balans VL '!E11)/100/3.6*1000000</f>
        <v>0</v>
      </c>
      <c r="K11" s="33"/>
      <c r="L11" s="33"/>
      <c r="M11" s="33"/>
      <c r="N11" s="33">
        <f>$C$31*'E Balans VL '!Y11/100/3.6*1000000</f>
        <v>0.93955397166212307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11510.01572785244</v>
      </c>
      <c r="C16" s="21">
        <f t="shared" ca="1" si="1"/>
        <v>0</v>
      </c>
      <c r="D16" s="21">
        <f t="shared" ca="1" si="1"/>
        <v>13110.503472536016</v>
      </c>
      <c r="E16" s="21">
        <f t="shared" si="1"/>
        <v>73.353614241930828</v>
      </c>
      <c r="F16" s="21">
        <f t="shared" ca="1" si="1"/>
        <v>2775.3244101565037</v>
      </c>
      <c r="G16" s="21">
        <f t="shared" si="1"/>
        <v>0</v>
      </c>
      <c r="H16" s="21">
        <f t="shared" si="1"/>
        <v>0</v>
      </c>
      <c r="I16" s="21">
        <f t="shared" si="1"/>
        <v>0</v>
      </c>
      <c r="J16" s="21">
        <f t="shared" si="1"/>
        <v>2.0948968099977028E-2</v>
      </c>
      <c r="K16" s="21">
        <f t="shared" si="1"/>
        <v>0</v>
      </c>
      <c r="L16" s="21">
        <f t="shared" ca="1" si="1"/>
        <v>0</v>
      </c>
      <c r="M16" s="21">
        <f t="shared" si="1"/>
        <v>0</v>
      </c>
      <c r="N16" s="21">
        <f t="shared" ca="1" si="1"/>
        <v>803.18130135425531</v>
      </c>
      <c r="O16" s="21">
        <f>O5</f>
        <v>14.691782297523464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0.19933196098559094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2294.3140060078208</v>
      </c>
      <c r="C20" s="23">
        <f t="shared" ref="C20:P20" ca="1" si="2">C16*C18</f>
        <v>0</v>
      </c>
      <c r="D20" s="23">
        <f t="shared" ca="1" si="2"/>
        <v>2648.3217014522756</v>
      </c>
      <c r="E20" s="23">
        <f t="shared" si="2"/>
        <v>16.651270432918299</v>
      </c>
      <c r="F20" s="23">
        <f t="shared" ca="1" si="2"/>
        <v>741.01161751178654</v>
      </c>
      <c r="G20" s="23">
        <f t="shared" si="2"/>
        <v>0</v>
      </c>
      <c r="H20" s="23">
        <f t="shared" si="2"/>
        <v>0</v>
      </c>
      <c r="I20" s="23">
        <f t="shared" si="2"/>
        <v>0</v>
      </c>
      <c r="J20" s="23">
        <f t="shared" si="2"/>
        <v>7.4159347073918681E-3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1671.8542713250399</v>
      </c>
      <c r="C26" s="39">
        <f>IF(ISERROR(B26*3.6/1000000/'E Balans VL '!Z12*100),0,B26*3.6/1000000/'E Balans VL '!Z12*100)</f>
        <v>4.7965341714291405E-2</v>
      </c>
      <c r="D26" s="233" t="s">
        <v>841</v>
      </c>
      <c r="F26" s="6"/>
    </row>
    <row r="27" spans="1:18" ht="30">
      <c r="A27" s="228" t="s">
        <v>52</v>
      </c>
      <c r="B27" s="33">
        <f>IF(ISERROR(TER_horeca_ele_kWh/1000),0,TER_horeca_ele_kWh/1000)</f>
        <v>955.48827441494404</v>
      </c>
      <c r="C27" s="39">
        <f>IF(ISERROR(B27*3.6/1000000/'E Balans VL '!Z9*100),0,B27*3.6/1000000/'E Balans VL '!Z9*100)</f>
        <v>6.9999409260465148E-2</v>
      </c>
      <c r="D27" s="233" t="s">
        <v>841</v>
      </c>
      <c r="F27" s="6"/>
    </row>
    <row r="28" spans="1:18" ht="30">
      <c r="A28" s="168" t="s">
        <v>51</v>
      </c>
      <c r="B28" s="33">
        <f>IF(ISERROR(TER_handel_ele_kWh/1000),0,TER_handel_ele_kWh/1000)</f>
        <v>5767.4213386151696</v>
      </c>
      <c r="C28" s="39">
        <f>IF(ISERROR(B28*3.6/1000000/'E Balans VL '!Z13*100),0,B28*3.6/1000000/'E Balans VL '!Z13*100)</f>
        <v>0.17821818390244609</v>
      </c>
      <c r="D28" s="233" t="s">
        <v>841</v>
      </c>
      <c r="F28" s="6"/>
    </row>
    <row r="29" spans="1:18" ht="30">
      <c r="A29" s="228" t="s">
        <v>50</v>
      </c>
      <c r="B29" s="33">
        <f>IF(ISERROR(TER_gezond_ele_kWh/1000),0,TER_gezond_ele_kWh/1000)</f>
        <v>745.66050780130001</v>
      </c>
      <c r="C29" s="39">
        <f>IF(ISERROR(B29*3.6/1000000/'E Balans VL '!Z10*100),0,B29*3.6/1000000/'E Balans VL '!Z10*100)</f>
        <v>7.3079314797434222E-2</v>
      </c>
      <c r="D29" s="233" t="s">
        <v>841</v>
      </c>
      <c r="F29" s="6"/>
    </row>
    <row r="30" spans="1:18" ht="30">
      <c r="A30" s="228" t="s">
        <v>49</v>
      </c>
      <c r="B30" s="33">
        <f>IF(ISERROR(TER_ander_ele_kWh/1000),0,TER_ander_ele_kWh/1000)</f>
        <v>2071.2489224350002</v>
      </c>
      <c r="C30" s="39">
        <f>IF(ISERROR(B30*3.6/1000000/'E Balans VL '!Z14*100),0,B30*3.6/1000000/'E Balans VL '!Z14*100)</f>
        <v>8.5797821569871785E-2</v>
      </c>
      <c r="D30" s="233" t="s">
        <v>841</v>
      </c>
      <c r="F30" s="6"/>
    </row>
    <row r="31" spans="1:18" ht="30">
      <c r="A31" s="228" t="s">
        <v>54</v>
      </c>
      <c r="B31" s="33">
        <f>IF(ISERROR(TER_onderwijs_ele_kWh/1000),0,TER_onderwijs_ele_kWh/1000)</f>
        <v>298.34241326098601</v>
      </c>
      <c r="C31" s="39">
        <f>IF(ISERROR(B31*3.6/1000000/'E Balans VL '!Z11*100),0,B31*3.6/1000000/'E Balans VL '!Z11*100)</f>
        <v>9.1671553204055276E-2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9275.3776094641835</v>
      </c>
      <c r="C5" s="17">
        <f>IF(ISERROR('Eigen informatie GS &amp; warmtenet'!B61),0,'Eigen informatie GS &amp; warmtenet'!B61)</f>
        <v>0</v>
      </c>
      <c r="D5" s="30">
        <f>SUM(D6:D15)</f>
        <v>126066.79401170144</v>
      </c>
      <c r="E5" s="17">
        <f>SUM(E6:E15)</f>
        <v>22.517062332848102</v>
      </c>
      <c r="F5" s="17">
        <f>SUM(F6:F15)</f>
        <v>1166.6641416707282</v>
      </c>
      <c r="G5" s="18"/>
      <c r="H5" s="17"/>
      <c r="I5" s="17"/>
      <c r="J5" s="17">
        <f>SUM(J6:J15)</f>
        <v>3.576178776990512</v>
      </c>
      <c r="K5" s="17"/>
      <c r="L5" s="17"/>
      <c r="M5" s="17"/>
      <c r="N5" s="17">
        <f>SUM(N6:N15)</f>
        <v>415.03657252342538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27.328433044708703</v>
      </c>
      <c r="C8" s="33"/>
      <c r="D8" s="37">
        <f>IF( ISERROR(IND_metaal_Gas_kWH/1000),0,IND_metaal_Gas_kWH/1000)*0.903</f>
        <v>0</v>
      </c>
      <c r="E8" s="33">
        <f>C30*'E Balans VL '!I18/100/3.6*1000000</f>
        <v>0.14897155060003908</v>
      </c>
      <c r="F8" s="33">
        <f>C30*'E Balans VL '!L18/100/3.6*1000000+C30*'E Balans VL '!N18/100/3.6*1000000</f>
        <v>1.7599531754987852</v>
      </c>
      <c r="G8" s="34"/>
      <c r="H8" s="33"/>
      <c r="I8" s="33"/>
      <c r="J8" s="40">
        <f>C30*'E Balans VL '!D18/100/3.6*1000000+C30*'E Balans VL '!E18/100/3.6*1000000</f>
        <v>2.238532014237269E-2</v>
      </c>
      <c r="K8" s="33"/>
      <c r="L8" s="33"/>
      <c r="M8" s="33"/>
      <c r="N8" s="33">
        <f>C30*'E Balans VL '!Y18/100/3.6*1000000</f>
        <v>0.59041273738716271</v>
      </c>
      <c r="O8" s="33"/>
      <c r="P8" s="33"/>
      <c r="R8" s="32"/>
    </row>
    <row r="9" spans="1:18">
      <c r="A9" s="6" t="s">
        <v>32</v>
      </c>
      <c r="B9" s="37">
        <f t="shared" si="0"/>
        <v>1550.41269808789</v>
      </c>
      <c r="C9" s="33"/>
      <c r="D9" s="37">
        <f>IF( ISERROR(IND_andere_gas_kWh/1000),0,IND_andere_gas_kWh/1000)*0.903</f>
        <v>1377.6921326783879</v>
      </c>
      <c r="E9" s="33">
        <f>C31*'E Balans VL '!I19/100/3.6*1000000</f>
        <v>5.0049962255716602</v>
      </c>
      <c r="F9" s="33">
        <f>C31*'E Balans VL '!L19/100/3.6*1000000+C31*'E Balans VL '!N19/100/3.6*1000000</f>
        <v>1002.5090214185338</v>
      </c>
      <c r="G9" s="34"/>
      <c r="H9" s="33"/>
      <c r="I9" s="33"/>
      <c r="J9" s="40">
        <f>C31*'E Balans VL '!D19/100/3.6*1000000+C31*'E Balans VL '!E19/100/3.6*1000000</f>
        <v>0</v>
      </c>
      <c r="K9" s="33"/>
      <c r="L9" s="33"/>
      <c r="M9" s="33"/>
      <c r="N9" s="33">
        <f>C31*'E Balans VL '!Y19/100/3.6*1000000</f>
        <v>62.650386246004992</v>
      </c>
      <c r="O9" s="33"/>
      <c r="P9" s="33"/>
      <c r="R9" s="32"/>
    </row>
    <row r="10" spans="1:18">
      <c r="A10" s="6" t="s">
        <v>40</v>
      </c>
      <c r="B10" s="37">
        <f t="shared" si="0"/>
        <v>7479.4582499631697</v>
      </c>
      <c r="C10" s="33"/>
      <c r="D10" s="37">
        <f>IF( ISERROR(IND_voed_gas_kWh/1000),0,IND_voed_gas_kWh/1000)*0.903</f>
        <v>124040.17309549361</v>
      </c>
      <c r="E10" s="33">
        <f>C32*'E Balans VL '!I20/100/3.6*1000000</f>
        <v>15.678777509378103</v>
      </c>
      <c r="F10" s="33">
        <f>C32*'E Balans VL '!L20/100/3.6*1000000+C32*'E Balans VL '!N20/100/3.6*1000000</f>
        <v>145.72569479819003</v>
      </c>
      <c r="G10" s="34"/>
      <c r="H10" s="33"/>
      <c r="I10" s="33"/>
      <c r="J10" s="40">
        <f>C32*'E Balans VL '!D20/100/3.6*1000000+C32*'E Balans VL '!E20/100/3.6*1000000</f>
        <v>0</v>
      </c>
      <c r="K10" s="33"/>
      <c r="L10" s="33"/>
      <c r="M10" s="33"/>
      <c r="N10" s="33">
        <f>C32*'E Balans VL '!Y20/100/3.6*1000000</f>
        <v>297.51211308622612</v>
      </c>
      <c r="O10" s="33"/>
      <c r="P10" s="33"/>
      <c r="R10" s="32"/>
    </row>
    <row r="11" spans="1:18">
      <c r="A11" s="6" t="s">
        <v>39</v>
      </c>
      <c r="B11" s="37">
        <f t="shared" si="0"/>
        <v>73.659641106308797</v>
      </c>
      <c r="C11" s="33"/>
      <c r="D11" s="37">
        <f>IF( ISERROR(IND_textiel_gas_kWh/1000),0,IND_textiel_gas_kWh/1000)*0.903</f>
        <v>351.64458650750953</v>
      </c>
      <c r="E11" s="33">
        <f>C33*'E Balans VL '!I21/100/3.6*1000000</f>
        <v>6.3293515358871871E-2</v>
      </c>
      <c r="F11" s="33">
        <f>C33*'E Balans VL '!L21/100/3.6*1000000+C33*'E Balans VL '!N21/100/3.6*1000000</f>
        <v>1.5443508258201657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99.053938223621898</v>
      </c>
      <c r="C12" s="33"/>
      <c r="D12" s="37">
        <f>IF( ISERROR(IND_min_gas_kWh/1000),0,IND_min_gas_kWh/1000)*0.903</f>
        <v>0</v>
      </c>
      <c r="E12" s="33">
        <f>C34*'E Balans VL '!I22/100/3.6*1000000</f>
        <v>1.6210235319394275</v>
      </c>
      <c r="F12" s="33">
        <f>C34*'E Balans VL '!L22/100/3.6*1000000+C34*'E Balans VL '!N22/100/3.6*1000000</f>
        <v>15.119031319611825</v>
      </c>
      <c r="G12" s="34"/>
      <c r="H12" s="33"/>
      <c r="I12" s="33"/>
      <c r="J12" s="40">
        <f>C34*'E Balans VL '!D22/100/3.6*1000000+C34*'E Balans VL '!E22/100/3.6*1000000</f>
        <v>3.5448002632060915</v>
      </c>
      <c r="K12" s="33"/>
      <c r="L12" s="33"/>
      <c r="M12" s="33"/>
      <c r="N12" s="33">
        <f>C34*'E Balans VL '!Y22/100/3.6*1000000</f>
        <v>54.28366045380708</v>
      </c>
      <c r="O12" s="33"/>
      <c r="P12" s="33"/>
      <c r="R12" s="32"/>
    </row>
    <row r="13" spans="1:18">
      <c r="A13" s="6" t="s">
        <v>38</v>
      </c>
      <c r="B13" s="37">
        <f t="shared" si="0"/>
        <v>45.4646490384836</v>
      </c>
      <c r="C13" s="33"/>
      <c r="D13" s="37">
        <f>IF( ISERROR(IND_papier_gas_kWh/1000),0,IND_papier_gas_kWh/1000)*0.903</f>
        <v>87.826811628329125</v>
      </c>
      <c r="E13" s="33">
        <f>C35*'E Balans VL '!I23/100/3.6*1000000</f>
        <v>0</v>
      </c>
      <c r="F13" s="33">
        <f>C35*'E Balans VL '!L23/100/3.6*1000000+C35*'E Balans VL '!N23/100/3.6*1000000</f>
        <v>6.0901330735198952E-3</v>
      </c>
      <c r="G13" s="34"/>
      <c r="H13" s="33"/>
      <c r="I13" s="33"/>
      <c r="J13" s="40">
        <f>C35*'E Balans VL '!D23/100/3.6*1000000+C35*'E Balans VL '!E23/100/3.6*1000000</f>
        <v>8.9931936420480137E-3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209.45738539360599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9275.3776094641835</v>
      </c>
      <c r="C18" s="21">
        <f>C5+C16</f>
        <v>0</v>
      </c>
      <c r="D18" s="21">
        <f>MAX((D5+D16),0)</f>
        <v>126066.79401170144</v>
      </c>
      <c r="E18" s="21">
        <f>MAX((E5+E16),0)</f>
        <v>22.517062332848102</v>
      </c>
      <c r="F18" s="21">
        <f>MAX((F5+F16),0)</f>
        <v>1166.6641416707282</v>
      </c>
      <c r="G18" s="21"/>
      <c r="H18" s="21"/>
      <c r="I18" s="21"/>
      <c r="J18" s="21">
        <f>MAX((J5+J16),0)</f>
        <v>3.576178776990512</v>
      </c>
      <c r="K18" s="21"/>
      <c r="L18" s="21">
        <f>MAX((L5+L16),0)</f>
        <v>0</v>
      </c>
      <c r="M18" s="21"/>
      <c r="N18" s="21">
        <f>MAX((N5+N16),0)</f>
        <v>415.03657252342538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0.19933196098559094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1848.8792077763385</v>
      </c>
      <c r="C22" s="23">
        <f ca="1">C18*C20</f>
        <v>0</v>
      </c>
      <c r="D22" s="23">
        <f>D18*D20</f>
        <v>25465.492390363692</v>
      </c>
      <c r="E22" s="23">
        <f>E18*E20</f>
        <v>5.1113731495565196</v>
      </c>
      <c r="F22" s="23">
        <f>F18*F20</f>
        <v>311.49932582608443</v>
      </c>
      <c r="G22" s="23"/>
      <c r="H22" s="23"/>
      <c r="I22" s="23"/>
      <c r="J22" s="23">
        <f>J18*J20</f>
        <v>1.2659672870546412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27.328433044708703</v>
      </c>
      <c r="C30" s="39">
        <f>IF(ISERROR(B30*3.6/1000000/'E Balans VL '!Z18*100),0,B30*3.6/1000000/'E Balans VL '!Z18*100)</f>
        <v>1.6456433022777608E-3</v>
      </c>
      <c r="D30" s="233" t="s">
        <v>841</v>
      </c>
    </row>
    <row r="31" spans="1:18" ht="30">
      <c r="A31" s="6" t="s">
        <v>32</v>
      </c>
      <c r="B31" s="37">
        <f>IF( ISERROR(IND_ander_ele_kWh/1000),0,IND_ander_ele_kWh/1000)</f>
        <v>1550.41269808789</v>
      </c>
      <c r="C31" s="39">
        <f>IF(ISERROR(B31*3.6/1000000/'E Balans VL '!Z19*100),0,B31*3.6/1000000/'E Balans VL '!Z19*100)</f>
        <v>6.3167023043764772E-2</v>
      </c>
      <c r="D31" s="233" t="s">
        <v>841</v>
      </c>
    </row>
    <row r="32" spans="1:18" ht="30">
      <c r="A32" s="168" t="s">
        <v>40</v>
      </c>
      <c r="B32" s="37">
        <f>IF( ISERROR(IND_voed_ele_kWh/1000),0,IND_voed_ele_kWh/1000)</f>
        <v>7479.4582499631697</v>
      </c>
      <c r="C32" s="39">
        <f>IF(ISERROR(B32*3.6/1000000/'E Balans VL '!Z20*100),0,B32*3.6/1000000/'E Balans VL '!Z20*100)</f>
        <v>0.21626123759555788</v>
      </c>
      <c r="D32" s="233" t="s">
        <v>841</v>
      </c>
    </row>
    <row r="33" spans="1:5" ht="30">
      <c r="A33" s="168" t="s">
        <v>39</v>
      </c>
      <c r="B33" s="37">
        <f>IF( ISERROR(IND_textiel_ele_kWh/1000),0,IND_textiel_ele_kWh/1000)</f>
        <v>73.659641106308797</v>
      </c>
      <c r="C33" s="39">
        <f>IF(ISERROR(B33*3.6/1000000/'E Balans VL '!Z21*100),0,B33*3.6/1000000/'E Balans VL '!Z21*100)</f>
        <v>1.211359145624342E-2</v>
      </c>
      <c r="D33" s="233" t="s">
        <v>841</v>
      </c>
    </row>
    <row r="34" spans="1:5" ht="30">
      <c r="A34" s="168" t="s">
        <v>36</v>
      </c>
      <c r="B34" s="37">
        <f>IF( ISERROR(IND_min_ele_kWh/1000),0,IND_min_ele_kWh/1000)</f>
        <v>99.053938223621898</v>
      </c>
      <c r="C34" s="39">
        <f>IF(ISERROR(B34*3.6/1000000/'E Balans VL '!Z22*100),0,B34*3.6/1000000/'E Balans VL '!Z22*100)</f>
        <v>4.2295111187663784E-2</v>
      </c>
      <c r="D34" s="233" t="s">
        <v>841</v>
      </c>
    </row>
    <row r="35" spans="1:5" ht="30">
      <c r="A35" s="168" t="s">
        <v>38</v>
      </c>
      <c r="B35" s="37">
        <f>IF( ISERROR(IND_papier_ele_kWh/1000),0,IND_papier_ele_kWh/1000)</f>
        <v>45.4646490384836</v>
      </c>
      <c r="C35" s="39">
        <f>IF(ISERROR(B35*3.6/1000000/'E Balans VL '!Z22*100),0,B35*3.6/1000000/'E Balans VL '!Z22*100)</f>
        <v>1.9412982670609289E-2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40.493225053829597</v>
      </c>
      <c r="C5" s="17">
        <f>'Eigen informatie GS &amp; warmtenet'!B62</f>
        <v>0</v>
      </c>
      <c r="D5" s="30">
        <f>IF(ISERROR(SUM(LB_lb_gas_kWh,LB_rest_gas_kWh)/1000),0,SUM(LB_lb_gas_kWh,LB_rest_gas_kWh)/1000)*0.903</f>
        <v>29.135675809914076</v>
      </c>
      <c r="E5" s="17">
        <f>B17*'E Balans VL '!I25/3.6*1000000/100</f>
        <v>1.159794492624372</v>
      </c>
      <c r="F5" s="17">
        <f>B17*('E Balans VL '!L25/3.6*1000000+'E Balans VL '!N25/3.6*1000000)/100</f>
        <v>128.18063322608052</v>
      </c>
      <c r="G5" s="18"/>
      <c r="H5" s="17"/>
      <c r="I5" s="17"/>
      <c r="J5" s="17">
        <f>('E Balans VL '!D25+'E Balans VL '!E25)/3.6*1000000*landbouw!B17/100</f>
        <v>10.296155547062508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40.493225053829597</v>
      </c>
      <c r="C8" s="21">
        <f>C5+C6</f>
        <v>0</v>
      </c>
      <c r="D8" s="21">
        <f>MAX((D5+D6),0)</f>
        <v>29.135675809914076</v>
      </c>
      <c r="E8" s="21">
        <f>MAX((E5+E6),0)</f>
        <v>1.159794492624372</v>
      </c>
      <c r="F8" s="21">
        <f>MAX((F5+F6),0)</f>
        <v>128.18063322608052</v>
      </c>
      <c r="G8" s="21"/>
      <c r="H8" s="21"/>
      <c r="I8" s="21"/>
      <c r="J8" s="21">
        <f>MAX((J5+J6),0)</f>
        <v>10.296155547062508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0.19933196098559094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8.0715939566107142</v>
      </c>
      <c r="C12" s="23">
        <f ca="1">C8*C10</f>
        <v>0</v>
      </c>
      <c r="D12" s="23">
        <f>D8*D10</f>
        <v>5.8854065136026437</v>
      </c>
      <c r="E12" s="23">
        <f>E8*E10</f>
        <v>0.26327334982573242</v>
      </c>
      <c r="F12" s="23">
        <f>F8*F10</f>
        <v>34.224229071363503</v>
      </c>
      <c r="G12" s="23"/>
      <c r="H12" s="23"/>
      <c r="I12" s="23"/>
      <c r="J12" s="23">
        <f>J8*J10</f>
        <v>3.6448390636601276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5.6073930609083613E-3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24.997777843653374</v>
      </c>
      <c r="C26" s="243">
        <f>B26*'GWP N2O_CH4'!B5</f>
        <v>524.95333471672086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3.510221968952997</v>
      </c>
      <c r="C27" s="243">
        <f>B27*'GWP N2O_CH4'!B5</f>
        <v>73.714661348012939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0.34744695144854243</v>
      </c>
      <c r="C28" s="243">
        <f>B28*'GWP N2O_CH4'!B4</f>
        <v>107.70855494904815</v>
      </c>
      <c r="D28" s="50"/>
    </row>
    <row r="29" spans="1:4">
      <c r="A29" s="41" t="s">
        <v>272</v>
      </c>
      <c r="B29" s="243">
        <f>B34*'ha_N2O bodem landbouw'!B4</f>
        <v>2.5660942708541929</v>
      </c>
      <c r="C29" s="243">
        <f>B29*'GWP N2O_CH4'!B4</f>
        <v>795.48922396479986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5.8297069223632288E-4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4.8479544900526314E-4</v>
      </c>
      <c r="C5" s="434" t="s">
        <v>210</v>
      </c>
      <c r="D5" s="419">
        <f>SUM(D6:D11)</f>
        <v>9.4609941272648086E-4</v>
      </c>
      <c r="E5" s="419">
        <f>SUM(E6:E11)</f>
        <v>3.7206965887124976E-4</v>
      </c>
      <c r="F5" s="432" t="s">
        <v>210</v>
      </c>
      <c r="G5" s="419">
        <f>SUM(G6:G11)</f>
        <v>0.13414767372928765</v>
      </c>
      <c r="H5" s="419">
        <f>SUM(H6:H11)</f>
        <v>4.6322597814571341E-2</v>
      </c>
      <c r="I5" s="434" t="s">
        <v>210</v>
      </c>
      <c r="J5" s="434" t="s">
        <v>210</v>
      </c>
      <c r="K5" s="434" t="s">
        <v>210</v>
      </c>
      <c r="L5" s="434" t="s">
        <v>210</v>
      </c>
      <c r="M5" s="419">
        <f>SUM(M6:M11)</f>
        <v>1.0986416102342975E-2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1.8475776349183382E-4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3.0804408194459233E-4</v>
      </c>
      <c r="E6" s="886">
        <f>vkm_GW_PW*SUMIFS(TableVerdeelsleutelVkm[LPG],TableVerdeelsleutelVkm[Voertuigtype],"Lichte voertuigen")*SUMIFS(TableECFTransport[EnergieConsumptieFactor (PJ per km)],TableECFTransport[Index],CONCATENATE($A6,"_LPG_LPG"))</f>
        <v>1.2212694966658036E-4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3.6702216257548187E-2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1.5107020931528305E-2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3.1783439115099562E-3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3.701948253640295E-7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1.4674756215201588E-2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1.0827845987618868E-7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8.4259968474807094E-4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2.4681508787650837E-4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5.6359070725518789E-4</v>
      </c>
      <c r="E8" s="422">
        <f>vkm_NGW_PW*SUMIFS(TableVerdeelsleutelVkm[LPG],TableVerdeelsleutelVkm[Voertuigtype],"Lichte voertuigen")*SUMIFS(TableECFTransport[EnergieConsumptieFactor (PJ per km)],TableECFTransport[Index],CONCATENATE($A8,"_LPG_LPG"))</f>
        <v>2.1394193402366249E-4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5.8893953038742508E-2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2.7381398892618054E-2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5.3227133092634132E-3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1.4208760122806323E-7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7.2532618118107016E-3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5.0163098533927161E-8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4.1646978904245305E-4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5.2527819115172914E-5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7.4464623526700633E-5</v>
      </c>
      <c r="E10" s="422">
        <f>vkm_SW_PW*SUMIFS(TableVerdeelsleutelVkm[LPG],TableVerdeelsleutelVkm[Voertuigtype],"Lichte voertuigen")*SUMIFS(TableECFTransport[EnergieConsumptieFactor (PJ per km)],TableECFTransport[Index],CONCATENATE($A10,"_LPG_LPG"))</f>
        <v>3.6000775181006896E-5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9.8155028965082654E-3</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3.8339646079700728E-3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8.353861741937944E-4</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1.8249609515594188E-7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6.8079835094763961E-3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5.4940896496757264E-8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3.9090323358528632E-4</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134.66540250146198</v>
      </c>
      <c r="C14" s="21"/>
      <c r="D14" s="21">
        <f t="shared" ref="D14:M14" si="0">((D5)*10^9/3600)+D12</f>
        <v>262.80539242402244</v>
      </c>
      <c r="E14" s="21">
        <f t="shared" si="0"/>
        <v>103.3526830197916</v>
      </c>
      <c r="F14" s="21"/>
      <c r="G14" s="21">
        <f t="shared" si="0"/>
        <v>37263.242702579904</v>
      </c>
      <c r="H14" s="21">
        <f t="shared" si="0"/>
        <v>12867.388281825373</v>
      </c>
      <c r="I14" s="21"/>
      <c r="J14" s="21"/>
      <c r="K14" s="21"/>
      <c r="L14" s="21"/>
      <c r="M14" s="21">
        <f t="shared" si="0"/>
        <v>3051.7822506508264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0.19933196098559094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26.84311875753032</v>
      </c>
      <c r="C18" s="23"/>
      <c r="D18" s="23">
        <f t="shared" ref="D18:M18" si="1">D14*D16</f>
        <v>53.086689269652538</v>
      </c>
      <c r="E18" s="23">
        <f t="shared" si="1"/>
        <v>23.461059045492693</v>
      </c>
      <c r="F18" s="23"/>
      <c r="G18" s="23">
        <f t="shared" si="1"/>
        <v>9949.2858015888341</v>
      </c>
      <c r="H18" s="23">
        <f t="shared" si="1"/>
        <v>3203.9796821745181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4.2555804309717544E-5</v>
      </c>
      <c r="C50" s="315">
        <f t="shared" ref="C50:P50" si="2">SUM(C51:C52)</f>
        <v>0</v>
      </c>
      <c r="D50" s="315">
        <f t="shared" si="2"/>
        <v>0</v>
      </c>
      <c r="E50" s="315">
        <f t="shared" si="2"/>
        <v>0</v>
      </c>
      <c r="F50" s="315">
        <f t="shared" si="2"/>
        <v>0</v>
      </c>
      <c r="G50" s="315">
        <f t="shared" si="2"/>
        <v>2.6641220049952847E-3</v>
      </c>
      <c r="H50" s="315">
        <f t="shared" si="2"/>
        <v>0</v>
      </c>
      <c r="I50" s="315">
        <f t="shared" si="2"/>
        <v>0</v>
      </c>
      <c r="J50" s="315">
        <f t="shared" si="2"/>
        <v>0</v>
      </c>
      <c r="K50" s="315">
        <f t="shared" si="2"/>
        <v>0</v>
      </c>
      <c r="L50" s="315">
        <f t="shared" si="2"/>
        <v>0</v>
      </c>
      <c r="M50" s="315">
        <f t="shared" si="2"/>
        <v>1.5296798654038698E-4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4.2555804309717544E-5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2.6641220049952847E-3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1.5296798654038698E-4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11.821056752699318</v>
      </c>
      <c r="C54" s="21">
        <f t="shared" ref="C54:P54" si="3">(C50)*10^9/3600</f>
        <v>0</v>
      </c>
      <c r="D54" s="21">
        <f t="shared" si="3"/>
        <v>0</v>
      </c>
      <c r="E54" s="21">
        <f t="shared" si="3"/>
        <v>0</v>
      </c>
      <c r="F54" s="21">
        <f t="shared" si="3"/>
        <v>0</v>
      </c>
      <c r="G54" s="21">
        <f t="shared" si="3"/>
        <v>740.0338902764679</v>
      </c>
      <c r="H54" s="21">
        <f t="shared" si="3"/>
        <v>0</v>
      </c>
      <c r="I54" s="21">
        <f t="shared" si="3"/>
        <v>0</v>
      </c>
      <c r="J54" s="21">
        <f t="shared" si="3"/>
        <v>0</v>
      </c>
      <c r="K54" s="21">
        <f t="shared" si="3"/>
        <v>0</v>
      </c>
      <c r="L54" s="21">
        <f t="shared" si="3"/>
        <v>0</v>
      </c>
      <c r="M54" s="21">
        <f t="shared" si="3"/>
        <v>42.491107372329715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0.19933196098559094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2.3563144234375168</v>
      </c>
      <c r="C58" s="23">
        <f t="shared" ref="C58:P58" ca="1" si="4">C54*C56</f>
        <v>0</v>
      </c>
      <c r="D58" s="23">
        <f t="shared" si="4"/>
        <v>0</v>
      </c>
      <c r="E58" s="23">
        <f t="shared" si="4"/>
        <v>0</v>
      </c>
      <c r="F58" s="23">
        <f t="shared" si="4"/>
        <v>0</v>
      </c>
      <c r="G58" s="23">
        <f t="shared" si="4"/>
        <v>197.58904870381693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5442.2712479019583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5442.2712479019583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2021-06-29T14:18:59Z</dcterms:modified>
</cp:coreProperties>
</file>