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C6" i="17" s="1"/>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22" i="59"/>
  <c r="C56" i="22"/>
  <c r="C58" i="22" s="1"/>
  <c r="D49" i="14" s="1"/>
  <c r="D52" i="14" s="1"/>
  <c r="C17" i="49"/>
  <c r="C29" i="20"/>
  <c r="C17" i="19"/>
  <c r="C19" i="19" s="1"/>
  <c r="D39" i="14"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<sst xmlns="http://schemas.openxmlformats.org/spreadsheetml/2006/main" count="2482" uniqueCount="898">
  <si>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</si>
  <si>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</si>
  <si>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</si>
  <si>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</si>
  <si>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</si>
  <si>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</si>
  <si>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</si>
  <si>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</si>
  <si>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</si>
  <si>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</si>
  <si>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</si>
  <si>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</si>
  <si>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</si>
  <si>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</si>
  <si>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</si>
  <si>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</si>
  <si>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</si>
  <si>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</si>
  <si>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</si>
  <si>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</si>
  <si>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</si>
  <si>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</si>
  <si>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</si>
  <si>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</si>
  <si>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</si>
  <si>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</si>
  <si>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</si>
  <si>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</si>
  <si>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</si>
  <si>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</si>
  <si>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</si>
  <si>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</si>
  <si>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</si>
  <si>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</si>
  <si>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</si>
  <si>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</si>
  <si>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</si>
  <si>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</si>
  <si>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</si>
  <si>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</si>
  <si>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</si>
  <si>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</si>
  <si>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</si>
  <si>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</si>
  <si>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</si>
  <si>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</si>
  <si>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</si>
  <si>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</si>
  <si>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</si>
  <si>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</si>
  <si>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</si>
  <si>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</si>
  <si>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</si>
  <si>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</si>
  <si>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</si>
  <si>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</si>
  <si>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</si>
  <si>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</si>
  <si>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</si>
  <si>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</si>
  <si>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</si>
  <si>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</si>
  <si>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</si>
  <si>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</si>
  <si>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</si>
  <si>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</si>
  <si>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</si>
  <si>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</si>
  <si>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</si>
  <si>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</si>
  <si>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</si>
  <si>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</si>
  <si>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</si>
  <si>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</si>
  <si>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</si>
  <si>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</si>
  <si>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</si>
  <si>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</si>
  <si>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</si>
  <si>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</si>
  <si>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</si>
  <si>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</si>
  <si>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</si>
  <si>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</si>
  <si>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</si>
  <si>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</si>
  <si>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</si>
  <si>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</si>
  <si>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</si>
  <si>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</si>
  <si>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</si>
  <si>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</si>
  <si>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</si>
  <si>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</si>
  <si>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</si>
  <si>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</si>
  <si>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</si>
  <si>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</si>
  <si>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</si>
  <si>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</si>
  <si>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</si>
  <si>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</si>
  <si>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</si>
  <si>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</si>
  <si>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</si>
  <si>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</si>
  <si>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</si>
  <si>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</si>
  <si>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</si>
  <si>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</si>
  <si>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</si>
  <si>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</si>
  <si>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</si>
  <si>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</si>
  <si>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</si>
  <si>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</si>
  <si>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</si>
  <si>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</si>
  <si>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</si>
  <si>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</si>
  <si>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</si>
  <si>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</si>
  <si>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</si>
  <si>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</si>
  <si>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</si>
  <si>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</si>
  <si>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</si>
  <si>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</si>
  <si>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</si>
  <si>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</si>
  <si>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</si>
  <si>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</si>
  <si>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</si>
  <si>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</si>
  <si>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</si>
  <si>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</si>
  <si>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</si>
  <si>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</si>
  <si>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</si>
  <si>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</si>
  <si>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</si>
  <si>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</si>
  <si>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</si>
  <si>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</si>
  <si>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</si>
  <si>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</si>
  <si>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</si>
  <si>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</si>
  <si>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</si>
  <si>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</si>
  <si>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</si>
  <si>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</si>
  <si>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</si>
  <si>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</si>
  <si>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</si>
  <si>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</si>
  <si>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</si>
  <si>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</si>
  <si>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</si>
  <si>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</si>
  <si>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</si>
  <si>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</si>
  <si>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</si>
  <si>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</si>
  <si>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</si>
  <si>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</si>
  <si>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</si>
  <si>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</si>
  <si>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</si>
  <si>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</si>
  <si>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</si>
  <si>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</si>
  <si>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</si>
  <si>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</si>
  <si>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</si>
  <si>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</si>
  <si>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</si>
  <si>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</si>
  <si>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</si>
  <si>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</si>
  <si>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</si>
  <si>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</si>
  <si>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</si>
  <si>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</si>
  <si>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</si>
  <si>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</si>
  <si>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</si>
  <si>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</si>
  <si>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</si>
  <si>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</si>
  <si>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</si>
  <si>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</si>
  <si>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</si>
  <si>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</si>
  <si>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</si>
  <si>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</si>
  <si>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</si>
  <si>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</si>
  <si>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</si>
  <si>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</si>
  <si>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</si>
  <si>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</si>
  <si>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</si>
  <si>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</si>
  <si>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</si>
  <si>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</si>
  <si>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</si>
  <si>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</si>
  <si>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</si>
  <si>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</si>
  <si>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</si>
  <si>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</si>
  <si>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</si>
  <si>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</si>
  <si>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</si>
  <si>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</si>
  <si>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</si>
  <si>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</si>
  <si>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</si>
  <si>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</si>
  <si>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</si>
  <si>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</si>
  <si>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</si>
  <si>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</si>
  <si>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</si>
  <si>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</si>
  <si>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</si>
  <si>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</si>
  <si>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</si>
  <si>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</si>
  <si>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</si>
  <si>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</si>
  <si>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</si>
  <si>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</si>
  <si>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</si>
  <si>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</si>
  <si>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</si>
  <si>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</si>
  <si>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</si>
  <si>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</si>
  <si>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</si>
  <si>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</si>
  <si>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</si>
  <si>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</si>
  <si>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</si>
  <si>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</si>
  <si>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</si>
  <si>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</si>
  <si>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</si>
  <si>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</si>
  <si>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</si>
  <si>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</si>
  <si>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</si>
  <si>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</si>
  <si>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</si>
  <si>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</si>
  <si>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</si>
  <si>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</si>
  <si>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</si>
  <si>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</si>
  <si>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</si>
  <si>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</si>
  <si>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</si>
  <si>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</si>
  <si>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</si>
  <si>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</si>
  <si>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</si>
  <si>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</si>
  <si>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</si>
  <si>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</si>
  <si>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</si>
  <si>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</si>
  <si>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</si>
  <si>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</si>
  <si>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</si>
  <si>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</si>
  <si>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</si>
  <si>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</si>
  <si>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</si>
  <si>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</si>
  <si>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</si>
  <si>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</si>
  <si>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</si>
  <si>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</si>
  <si>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</si>
  <si>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</si>
  <si>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</si>
  <si>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</si>
  <si>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</si>
  <si>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</si>
  <si>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</si>
  <si>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</si>
  <si>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</si>
  <si>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</si>
  <si>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</si>
  <si>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</si>
  <si>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</si>
  <si>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</si>
  <si>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</si>
  <si>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</si>
  <si>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</si>
  <si>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</si>
  <si>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</si>
  <si>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</si>
  <si>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</si>
  <si>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</si>
  <si>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</si>
  <si>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</si>
  <si>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</si>
  <si>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</si>
  <si>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</si>
  <si>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</si>
  <si>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</si>
  <si>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</si>
  <si>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</si>
  <si>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</si>
  <si>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</si>
  <si>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</si>
  <si>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</si>
  <si>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</si>
  <si>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</si>
  <si>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</si>
  <si>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</si>
  <si>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</si>
  <si>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</si>
  <si>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</si>
  <si>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</si>
  <si>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</si>
  <si>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</si>
  <si>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</si>
  <si>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</si>
  <si>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</si>
  <si>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</si>
  <si>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</si>
  <si>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</si>
  <si>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</si>
  <si>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</si>
  <si>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</si>
  <si>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</si>
  <si>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</si>
  <si>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</si>
  <si>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</si>
  <si>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</si>
  <si>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</si>
  <si>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</si>
  <si>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</si>
  <si>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</si>
  <si>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</si>
  <si>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</si>
  <si>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</si>
  <si>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</si>
  <si>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</si>
  <si>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</si>
  <si>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</si>
  <si>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</si>
  <si>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</si>
  <si>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</si>
  <si>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</si>
  <si>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</si>
  <si>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</si>
  <si>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</si>
  <si>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</si>
  <si>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</si>
  <si>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</si>
  <si>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</si>
  <si>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</si>
  <si>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</si>
  <si>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</si>
  <si>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</si>
  <si>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</si>
  <si>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</si>
  <si>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</si>
  <si>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</si>
  <si>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</si>
  <si>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</si>
  <si>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</si>
  <si>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</si>
  <si>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</si>
  <si>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</si>
  <si>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</si>
  <si>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</si>
  <si>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</si>
  <si>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</si>
  <si>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</si>
  <si>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</si>
  <si>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</si>
  <si>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</si>
  <si>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</si>
  <si>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</si>
  <si>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</si>
  <si>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</si>
  <si>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</si>
  <si>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</si>
  <si>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</si>
  <si>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</si>
  <si>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</si>
  <si>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</si>
  <si>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</si>
  <si>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</si>
  <si>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</si>
  <si>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</si>
  <si>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</si>
  <si>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</si>
  <si>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</si>
  <si>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</si>
  <si>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</si>
  <si>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</si>
  <si>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</si>
  <si>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</si>
  <si>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</si>
  <si>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</si>
  <si>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</si>
  <si>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</si>
  <si>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</si>
  <si>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</si>
  <si>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</si>
  <si>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</si>
  <si>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</si>
  <si>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</si>
  <si>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</si>
  <si>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</si>
  <si>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</si>
  <si>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</si>
  <si>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</si>
  <si>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</si>
  <si>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</si>
  <si>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</si>
  <si>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</si>
  <si>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</si>
  <si>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</si>
  <si>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</si>
  <si>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</si>
  <si>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</si>
  <si>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</si>
  <si>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</si>
  <si>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</si>
  <si>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</si>
  <si>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</si>
  <si>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</si>
  <si>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</si>
  <si>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</si>
  <si>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</si>
  <si>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</si>
  <si>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</si>
  <si>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</si>
  <si>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</si>
  <si>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</si>
  <si>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</si>
  <si>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</si>
  <si>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</si>
  <si>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</si>
  <si>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</si>
  <si>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</si>
  <si>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</si>
  <si>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</si>
  <si>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</si>
  <si>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</si>
  <si>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</si>
  <si>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</si>
  <si>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</si>
  <si>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</si>
  <si>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</si>
  <si>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</si>
  <si>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</si>
  <si>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</si>
  <si>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</si>
  <si>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</si>
  <si>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</si>
  <si>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</si>
  <si>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</si>
  <si>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</si>
  <si>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</si>
  <si>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</si>
  <si>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</si>
  <si>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</si>
  <si>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</si>
  <si>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</si>
  <si>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</si>
  <si>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</si>
  <si>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</si>
  <si>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</si>
  <si>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</si>
  <si>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</si>
  <si>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</si>
  <si>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</si>
  <si>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</si>
  <si>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</si>
  <si>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</si>
  <si>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</si>
  <si>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</si>
  <si>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</si>
  <si>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</si>
  <si>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</si>
  <si>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</si>
  <si>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</si>
  <si>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</si>
  <si>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</si>
  <si>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</si>
  <si>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</si>
  <si>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</si>
  <si>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</si>
  <si>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</si>
  <si>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</si>
  <si>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</si>
  <si>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</si>
  <si>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</si>
  <si>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</si>
  <si>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</si>
  <si>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</si>
  <si>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</si>
  <si>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</si>
  <si>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</si>
  <si>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</si>
  <si>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</si>
  <si>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</si>
  <si>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</si>
  <si>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</si>
  <si>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</si>
  <si>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</si>
  <si>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</si>
  <si>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</si>
  <si>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</si>
  <si>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</si>
  <si>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</si>
  <si>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</si>
  <si>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</si>
  <si>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</si>
  <si>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</si>
  <si>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</si>
  <si>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</si>
  <si>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</si>
  <si>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</si>
  <si>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</si>
  <si>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</si>
  <si>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</si>
  <si>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</si>
  <si>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</si>
  <si>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</si>
  <si>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</si>
  <si>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</si>
  <si>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</si>
  <si>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</si>
  <si>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</si>
  <si>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</si>
  <si>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</si>
  <si>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</si>
  <si>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</si>
  <si>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</si>
  <si>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</si>
  <si>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</si>
  <si>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</si>
  <si>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</si>
  <si>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</si>
  <si>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</si>
  <si>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</si>
  <si>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</si>
  <si>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</si>
  <si>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</si>
  <si>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</si>
  <si>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</si>
  <si>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</si>
  <si>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</si>
  <si>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</si>
  <si>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</si>
  <si>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</si>
  <si>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</si>
  <si>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</si>
  <si>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</si>
  <si>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</si>
  <si>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</si>
  <si>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</si>
  <si>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</si>
  <si>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</si>
  <si>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</si>
  <si>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</si>
  <si>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</si>
  <si>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</si>
  <si>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</si>
  <si>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</si>
  <si>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</si>
  <si>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</si>
  <si>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</si>
  <si>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</si>
  <si>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</si>
  <si>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</si>
  <si>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</si>
  <si>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</si>
  <si>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</si>
  <si>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</si>
  <si>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</si>
  <si>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</si>
  <si>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</si>
  <si>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</si>
  <si>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</si>
  <si>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</si>
  <si>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</si>
  <si>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</si>
  <si>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</si>
  <si>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</si>
  <si>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</si>
  <si>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</si>
  <si>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</si>
  <si>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</si>
  <si>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</si>
  <si>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</si>
  <si>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</si>
  <si>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</si>
  <si>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</si>
  <si>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</si>
  <si>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</si>
  <si>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</si>
  <si>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</si>
  <si>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</si>
  <si>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</si>
  <si>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</si>
  <si>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</si>
  <si>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</si>
  <si>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</si>
  <si>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</si>
  <si>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</si>
  <si>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</si>
  <si>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</si>
  <si>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</si>
  <si>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</si>
  <si>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</si>
  <si>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</si>
  <si>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</si>
  <si>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</si>
  <si>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</si>
  <si>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</si>
  <si>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</si>
  <si>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</si>
  <si>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</si>
  <si>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</si>
  <si>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</si>
  <si>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</si>
  <si>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</si>
  <si>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</si>
  <si>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</si>
  <si>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</si>
  <si>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</si>
  <si>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</si>
  <si>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</si>
  <si>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</si>
  <si>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</si>
  <si>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</si>
  <si>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</si>
  <si>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</si>
  <si>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</si>
  <si>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</si>
  <si>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</si>
  <si>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</si>
  <si>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</si>
  <si>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</si>
  <si>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</si>
  <si>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</si>
  <si>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</si>
  <si>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</si>
  <si>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</si>
  <si>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</si>
  <si>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</si>
  <si>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</si>
  <si>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</si>
  <si>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</si>
  <si>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</si>
  <si>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</si>
  <si>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</si>
  <si>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</si>
  <si>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</si>
  <si>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</si>
  <si>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</si>
  <si>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</si>
  <si>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</si>
  <si>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</si>
  <si>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</si>
  <si>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</si>
  <si>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</si>
  <si>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</si>
  <si>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</si>
  <si>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</si>
  <si>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</si>
  <si>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</si>
  <si>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</si>
  <si>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</si>
  <si>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</si>
  <si>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</si>
  <si>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</si>
  <si>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</si>
  <si>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</si>
  <si>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</si>
  <si>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</si>
  <si>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</si>
  <si>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</si>
  <si>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</si>
  <si>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</si>
  <si>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</si>
  <si>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</si>
  <si>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</si>
  <si>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</si>
  <si>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</si>
  <si>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</si>
  <si>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</si>
  <si>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</si>
  <si>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</si>
  <si>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</si>
  <si>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</si>
  <si>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</si>
  <si>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</si>
  <si>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</si>
  <si>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</si>
  <si>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</si>
  <si>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</si>
  <si>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</si>
  <si>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</si>
  <si>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</si>
  <si>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</si>
  <si>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</si>
  <si>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</si>
  <si>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</si>
  <si>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</si>
  <si>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</si>
  <si>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</si>
  <si>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</si>
  <si>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</si>
  <si>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</si>
  <si>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</si>
  <si>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</si>
  <si>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</si>
  <si>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</si>
  <si>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</si>
  <si>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</si>
  <si>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</si>
  <si>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</si>
  <si>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</si>
  <si>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</si>
  <si>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</si>
  <si>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</si>
  <si>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</si>
  <si>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</si>
  <si>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</si>
  <si>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</si>
  <si>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</si>
  <si>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</si>
  <si>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</si>
  <si>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</si>
  <si>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</si>
  <si>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</si>
  <si>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</si>
  <si>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</si>
  <si>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</si>
  <si>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</si>
  <si>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</si>
  <si>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</si>
  <si>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</si>
  <si>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</si>
  <si>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</si>
  <si>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</si>
  <si>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</si>
  <si>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</si>
  <si>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</si>
  <si>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</si>
  <si>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</si>
  <si>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</si>
  <si>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</si>
  <si>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</si>
  <si>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</si>
  <si>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</si>
  <si>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</si>
  <si>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</si>
  <si>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</si>
  <si>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</si>
  <si>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</si>
  <si>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</si>
  <si>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</si>
  <si>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</si>
  <si>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</si>
  <si>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</si>
  <si>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</si>
  <si>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</si>
  <si>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</si>
  <si>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</si>
  <si>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</si>
  <si>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</si>
  <si>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</si>
  <si>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</si>
  <si>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</si>
  <si>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</si>
  <si>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</si>
  <si>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</si>
  <si>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</si>
  <si>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</si>
  <si>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</si>
  <si>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</si>
  <si>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</si>
  <si>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</si>
  <si>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</si>
  <si>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</si>
  <si>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</si>
  <si>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</si>
  <si>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</si>
  <si>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</si>
  <si>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</si>
  <si>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</si>
  <si>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</si>
  <si>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</si>
  <si>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</si>
  <si>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</si>
  <si>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</si>
  <si>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</si>
  <si>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</si>
  <si>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</si>
  <si>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</si>
  <si>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</si>
  <si>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</si>
  <si>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</si>
  <si>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</si>
  <si>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</si>
  <si>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</si>
  <si>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</si>
  <si>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</si>
  <si>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</si>
  <si>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</si>
  <si>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</si>
  <si>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</si>
  <si>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</si>
  <si>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</si>
  <si>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</si>
  <si>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</si>
  <si>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</si>
  <si>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</si>
  <si>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</si>
  <si>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</si>
  <si>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</si>
  <si>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</si>
  <si>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</si>
  <si>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</si>
  <si>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</si>
  <si>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</si>
  <si>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</si>
  <si>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</si>
  <si>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</si>
  <si>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</si>
  <si>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</si>
  <si>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</si>
  <si>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</si>
  <si>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</si>
  <si>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</si>
  <si>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</si>
  <si>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</si>
  <si>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</si>
  <si>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</si>
  <si>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</si>
  <si>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</si>
  <si>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</si>
  <si>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</si>
  <si>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</si>
  <si>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</si>
  <si>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</si>
  <si>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</si>
  <si>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</si>
  <si>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</si>
  <si>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</si>
  <si>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</si>
  <si>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</si>
  <si>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</si>
  <si>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</si>
  <si>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</si>
  <si>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</si>
  <si>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</si>
  <si>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</si>
  <si>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36019</t>
  </si>
  <si>
    <t>STADEN</t>
  </si>
  <si>
    <t>referentietaak LNE (2017); Jaarverslag De Lijn</t>
  </si>
  <si>
    <t>waterkracht</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</si>
  <si>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</si>
  <si>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</si>
  <si>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</si>
  <si>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</si>
  <si>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</si>
  <si>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</si>
  <si>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</si>
  <si>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</si>
  <si>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</si>
  <si>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</si>
  <si>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</si>
  <si>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</si>
  <si>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</si>
  <si>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</si>
  <si>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</si>
  <si>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</si>
  <si>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</si>
  <si>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</si>
  <si>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</si>
  <si>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</si>
  <si>
    <t>Westvlees WRB</t>
  </si>
  <si>
    <t>Westrozebeke</t>
  </si>
  <si>
    <t>WKK-0920</t>
  </si>
  <si>
    <t>Ommegang West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</si>
</sst>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91640.019162841185</c:v>
                </c:pt>
                <c:pt idx="1">
                  <c:v>47561.60556908149</c:v>
                </c:pt>
                <c:pt idx="2">
                  <c:v>681.58299999999997</c:v>
                </c:pt>
                <c:pt idx="3">
                  <c:v>105271.33727163685</c:v>
                </c:pt>
                <c:pt idx="4">
                  <c:v>252607.83169167378</c:v>
                </c:pt>
                <c:pt idx="5">
                  <c:v>60462.966660343591</c:v>
                </c:pt>
                <c:pt idx="6">
                  <c:v>1129.1044106063869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91640.019162841185</c:v>
                </c:pt>
                <c:pt idx="1">
                  <c:v>47561.60556908149</c:v>
                </c:pt>
                <c:pt idx="2">
                  <c:v>681.58299999999997</c:v>
                </c:pt>
                <c:pt idx="3">
                  <c:v>105271.33727163685</c:v>
                </c:pt>
                <c:pt idx="4">
                  <c:v>252607.83169167378</c:v>
                </c:pt>
                <c:pt idx="5">
                  <c:v>60462.966660343591</c:v>
                </c:pt>
                <c:pt idx="6">
                  <c:v>1129.1044106063869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19151.460349994319</c:v>
                </c:pt>
                <c:pt idx="1">
                  <c:v>9634.7106460086015</c:v>
                </c:pt>
                <c:pt idx="2">
                  <c:v>144.23761309914073</c:v>
                </c:pt>
                <c:pt idx="3">
                  <c:v>25520.489538044723</c:v>
                </c:pt>
                <c:pt idx="4">
                  <c:v>52690.507186611154</c:v>
                </c:pt>
                <c:pt idx="5">
                  <c:v>14990.309384082171</c:v>
                </c:pt>
                <c:pt idx="6">
                  <c:v>284.41410527231102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19151.460349994319</c:v>
                </c:pt>
                <c:pt idx="1">
                  <c:v>9634.7106460086015</c:v>
                </c:pt>
                <c:pt idx="2">
                  <c:v>144.23761309914073</c:v>
                </c:pt>
                <c:pt idx="3">
                  <c:v>25520.489538044723</c:v>
                </c:pt>
                <c:pt idx="4">
                  <c:v>52690.507186611154</c:v>
                </c:pt>
                <c:pt idx="5">
                  <c:v>14990.309384082171</c:v>
                </c:pt>
                <c:pt idx="6">
                  <c:v>284.41410527231102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36019</v>
      </c>
      <c r="B6" s="386"/>
      <c r="C6" s="387"/>
    </row>
    <row r="7" spans="1:7" s="384" customFormat="1" ht="15.75" customHeight="1">
      <c r="A7" s="388" t="str">
        <f>txtMunicipality</f>
        <v>STADEN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10588.814534102685</v>
      </c>
      <c r="D10" s="683">
        <f ca="1">tertiair!C16</f>
        <v>0</v>
      </c>
      <c r="E10" s="683">
        <f ca="1">tertiair!D16</f>
        <v>32410.365646816936</v>
      </c>
      <c r="F10" s="683">
        <f>tertiair!E16</f>
        <v>63.77901751370149</v>
      </c>
      <c r="G10" s="683">
        <f ca="1">tertiair!F16</f>
        <v>3658.2166335597121</v>
      </c>
      <c r="H10" s="683">
        <f>tertiair!G16</f>
        <v>0</v>
      </c>
      <c r="I10" s="683">
        <f>tertiair!H16</f>
        <v>0</v>
      </c>
      <c r="J10" s="683">
        <f>tertiair!I16</f>
        <v>0</v>
      </c>
      <c r="K10" s="683">
        <f>tertiair!J16</f>
        <v>3.3794963784077814E-2</v>
      </c>
      <c r="L10" s="683">
        <f>tertiair!K16</f>
        <v>0</v>
      </c>
      <c r="M10" s="683">
        <f ca="1">tertiair!L16</f>
        <v>0</v>
      </c>
      <c r="N10" s="683">
        <f>tertiair!M16</f>
        <v>0</v>
      </c>
      <c r="O10" s="683">
        <f ca="1">tertiair!N16</f>
        <v>1287.3360850694939</v>
      </c>
      <c r="P10" s="683">
        <f>tertiair!O16</f>
        <v>24.486303829205774</v>
      </c>
      <c r="Q10" s="684">
        <f>tertiair!P16</f>
        <v>210.15655322598008</v>
      </c>
      <c r="R10" s="686">
        <f ca="1">SUM(C10:Q10)</f>
        <v>48243.188569081489</v>
      </c>
      <c r="S10" s="67"/>
    </row>
    <row r="11" spans="1:19" s="445" customFormat="1">
      <c r="A11" s="804" t="s">
        <v>220</v>
      </c>
      <c r="B11" s="809"/>
      <c r="C11" s="683">
        <f>huishoudens!B8</f>
        <v>19226.673376738283</v>
      </c>
      <c r="D11" s="683">
        <f>huishoudens!C8</f>
        <v>0</v>
      </c>
      <c r="E11" s="683">
        <f>huishoudens!D8</f>
        <v>33866.023966866545</v>
      </c>
      <c r="F11" s="683">
        <f>huishoudens!E8</f>
        <v>1346.6333711551326</v>
      </c>
      <c r="G11" s="683">
        <f>huishoudens!F8</f>
        <v>29500.165712722061</v>
      </c>
      <c r="H11" s="683">
        <f>huishoudens!G8</f>
        <v>0</v>
      </c>
      <c r="I11" s="683">
        <f>huishoudens!H8</f>
        <v>0</v>
      </c>
      <c r="J11" s="683">
        <f>huishoudens!I8</f>
        <v>0</v>
      </c>
      <c r="K11" s="683">
        <f>huishoudens!J8</f>
        <v>168.12467094079597</v>
      </c>
      <c r="L11" s="683">
        <f>huishoudens!K8</f>
        <v>0</v>
      </c>
      <c r="M11" s="683">
        <f>huishoudens!L8</f>
        <v>0</v>
      </c>
      <c r="N11" s="683">
        <f>huishoudens!M8</f>
        <v>0</v>
      </c>
      <c r="O11" s="683">
        <f>huishoudens!N8</f>
        <v>6370.2193006195175</v>
      </c>
      <c r="P11" s="683">
        <f>huishoudens!O8</f>
        <v>624.94683910691504</v>
      </c>
      <c r="Q11" s="684">
        <f>huishoudens!P8</f>
        <v>537.23192469193623</v>
      </c>
      <c r="R11" s="686">
        <f>SUM(C11:Q11)</f>
        <v>91640.019162841185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160976.25355339469</v>
      </c>
      <c r="D13" s="683">
        <f>industrie!C18</f>
        <v>8292.8571428571431</v>
      </c>
      <c r="E13" s="683">
        <f>industrie!D18</f>
        <v>75472.740779341795</v>
      </c>
      <c r="F13" s="683">
        <f>industrie!E18</f>
        <v>353.0792626615127</v>
      </c>
      <c r="G13" s="683">
        <f>industrie!F18</f>
        <v>5159.5235150596154</v>
      </c>
      <c r="H13" s="683">
        <f>industrie!G18</f>
        <v>0</v>
      </c>
      <c r="I13" s="683">
        <f>industrie!H18</f>
        <v>0</v>
      </c>
      <c r="J13" s="683">
        <f>industrie!I18</f>
        <v>0</v>
      </c>
      <c r="K13" s="683">
        <f>industrie!J18</f>
        <v>4.5190165150689623</v>
      </c>
      <c r="L13" s="683">
        <f>industrie!K18</f>
        <v>0</v>
      </c>
      <c r="M13" s="683">
        <f>industrie!L18</f>
        <v>0</v>
      </c>
      <c r="N13" s="683">
        <f>industrie!M18</f>
        <v>0</v>
      </c>
      <c r="O13" s="683">
        <f>industrie!N18</f>
        <v>2348.8584218439782</v>
      </c>
      <c r="P13" s="683">
        <f>industrie!O18</f>
        <v>0</v>
      </c>
      <c r="Q13" s="684">
        <f>industrie!P18</f>
        <v>0</v>
      </c>
      <c r="R13" s="686">
        <f>SUM(C13:Q13)</f>
        <v>252607.83169167378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190791.74146423565</v>
      </c>
      <c r="D16" s="719">
        <f t="shared" ref="D16:R16" ca="1" si="0">SUM(D9:D15)</f>
        <v>8292.8571428571431</v>
      </c>
      <c r="E16" s="719">
        <f t="shared" ca="1" si="0"/>
        <v>141749.13039302529</v>
      </c>
      <c r="F16" s="719">
        <f t="shared" si="0"/>
        <v>1763.4916513303469</v>
      </c>
      <c r="G16" s="719">
        <f t="shared" ca="1" si="0"/>
        <v>38317.905861341387</v>
      </c>
      <c r="H16" s="719">
        <f t="shared" si="0"/>
        <v>0</v>
      </c>
      <c r="I16" s="719">
        <f t="shared" si="0"/>
        <v>0</v>
      </c>
      <c r="J16" s="719">
        <f t="shared" si="0"/>
        <v>0</v>
      </c>
      <c r="K16" s="719">
        <f t="shared" si="0"/>
        <v>172.67748241964901</v>
      </c>
      <c r="L16" s="719">
        <f t="shared" si="0"/>
        <v>0</v>
      </c>
      <c r="M16" s="719">
        <f t="shared" ca="1" si="0"/>
        <v>0</v>
      </c>
      <c r="N16" s="719">
        <f t="shared" si="0"/>
        <v>0</v>
      </c>
      <c r="O16" s="719">
        <f t="shared" ca="1" si="0"/>
        <v>10006.41380753299</v>
      </c>
      <c r="P16" s="719">
        <f t="shared" si="0"/>
        <v>649.43314293612082</v>
      </c>
      <c r="Q16" s="719">
        <f t="shared" si="0"/>
        <v>747.38847791791636</v>
      </c>
      <c r="R16" s="719">
        <f t="shared" ca="1" si="0"/>
        <v>392491.03942359646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16.802761521309144</v>
      </c>
      <c r="D19" s="683">
        <f>transport!C54</f>
        <v>0</v>
      </c>
      <c r="E19" s="683">
        <f>transport!D54</f>
        <v>0</v>
      </c>
      <c r="F19" s="683">
        <f>transport!E54</f>
        <v>0</v>
      </c>
      <c r="G19" s="683">
        <f>transport!F54</f>
        <v>0</v>
      </c>
      <c r="H19" s="683">
        <f>transport!G54</f>
        <v>1051.9036695397581</v>
      </c>
      <c r="I19" s="683">
        <f>transport!H54</f>
        <v>0</v>
      </c>
      <c r="J19" s="683">
        <f>transport!I54</f>
        <v>0</v>
      </c>
      <c r="K19" s="683">
        <f>transport!J54</f>
        <v>0</v>
      </c>
      <c r="L19" s="683">
        <f>transport!K54</f>
        <v>0</v>
      </c>
      <c r="M19" s="683">
        <f>transport!L54</f>
        <v>0</v>
      </c>
      <c r="N19" s="683">
        <f>transport!M54</f>
        <v>60.397979545319728</v>
      </c>
      <c r="O19" s="683">
        <f>transport!N54</f>
        <v>0</v>
      </c>
      <c r="P19" s="683">
        <f>transport!O54</f>
        <v>0</v>
      </c>
      <c r="Q19" s="684">
        <f>transport!P54</f>
        <v>0</v>
      </c>
      <c r="R19" s="686">
        <f>SUM(C19:Q19)</f>
        <v>1129.1044106063869</v>
      </c>
      <c r="S19" s="67"/>
    </row>
    <row r="20" spans="1:19" s="445" customFormat="1">
      <c r="A20" s="804" t="s">
        <v>302</v>
      </c>
      <c r="B20" s="809"/>
      <c r="C20" s="683">
        <f>transport!B14</f>
        <v>126.3180538946817</v>
      </c>
      <c r="D20" s="683">
        <f>transport!C14</f>
        <v>0</v>
      </c>
      <c r="E20" s="683">
        <f>transport!D14</f>
        <v>245.80247274417101</v>
      </c>
      <c r="F20" s="683">
        <f>transport!E14</f>
        <v>95.210952358536844</v>
      </c>
      <c r="G20" s="683">
        <f>transport!F14</f>
        <v>0</v>
      </c>
      <c r="H20" s="683">
        <f>transport!G14</f>
        <v>44591.17073687321</v>
      </c>
      <c r="I20" s="683">
        <f>transport!H14</f>
        <v>11993.856210069534</v>
      </c>
      <c r="J20" s="683">
        <f>transport!I14</f>
        <v>0</v>
      </c>
      <c r="K20" s="683">
        <f>transport!J14</f>
        <v>0</v>
      </c>
      <c r="L20" s="683">
        <f>transport!K14</f>
        <v>0</v>
      </c>
      <c r="M20" s="683">
        <f>transport!L14</f>
        <v>0</v>
      </c>
      <c r="N20" s="683">
        <f>transport!M14</f>
        <v>3410.6082344034571</v>
      </c>
      <c r="O20" s="683">
        <f>transport!N14</f>
        <v>0</v>
      </c>
      <c r="P20" s="683">
        <f>transport!O14</f>
        <v>0</v>
      </c>
      <c r="Q20" s="684">
        <f>transport!P14</f>
        <v>0</v>
      </c>
      <c r="R20" s="686">
        <f>SUM(C20:Q20)</f>
        <v>60462.966660343591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143.12081541599085</v>
      </c>
      <c r="D22" s="807">
        <f t="shared" ref="D22:R22" si="1">SUM(D18:D21)</f>
        <v>0</v>
      </c>
      <c r="E22" s="807">
        <f t="shared" si="1"/>
        <v>245.80247274417101</v>
      </c>
      <c r="F22" s="807">
        <f t="shared" si="1"/>
        <v>95.210952358536844</v>
      </c>
      <c r="G22" s="807">
        <f t="shared" si="1"/>
        <v>0</v>
      </c>
      <c r="H22" s="807">
        <f t="shared" si="1"/>
        <v>45643.074406412969</v>
      </c>
      <c r="I22" s="807">
        <f t="shared" si="1"/>
        <v>11993.856210069534</v>
      </c>
      <c r="J22" s="807">
        <f t="shared" si="1"/>
        <v>0</v>
      </c>
      <c r="K22" s="807">
        <f t="shared" si="1"/>
        <v>0</v>
      </c>
      <c r="L22" s="807">
        <f t="shared" si="1"/>
        <v>0</v>
      </c>
      <c r="M22" s="807">
        <f t="shared" si="1"/>
        <v>0</v>
      </c>
      <c r="N22" s="807">
        <f t="shared" si="1"/>
        <v>3471.0062139487768</v>
      </c>
      <c r="O22" s="807">
        <f t="shared" si="1"/>
        <v>0</v>
      </c>
      <c r="P22" s="807">
        <f t="shared" si="1"/>
        <v>0</v>
      </c>
      <c r="Q22" s="807">
        <f t="shared" si="1"/>
        <v>0</v>
      </c>
      <c r="R22" s="807">
        <f t="shared" si="1"/>
        <v>61592.071070949976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9321.9639238358795</v>
      </c>
      <c r="D24" s="683">
        <f>+landbouw!C8</f>
        <v>63803.571428571428</v>
      </c>
      <c r="E24" s="683">
        <f>+landbouw!D8</f>
        <v>0</v>
      </c>
      <c r="F24" s="683">
        <f>+landbouw!E8</f>
        <v>266.99682242981635</v>
      </c>
      <c r="G24" s="683">
        <f>+landbouw!F8</f>
        <v>29508.522402933562</v>
      </c>
      <c r="H24" s="683">
        <f>+landbouw!G8</f>
        <v>0</v>
      </c>
      <c r="I24" s="683">
        <f>+landbouw!H8</f>
        <v>0</v>
      </c>
      <c r="J24" s="683">
        <f>+landbouw!I8</f>
        <v>0</v>
      </c>
      <c r="K24" s="683">
        <f>+landbouw!J8</f>
        <v>2370.2826938661469</v>
      </c>
      <c r="L24" s="683">
        <f>+landbouw!K8</f>
        <v>0</v>
      </c>
      <c r="M24" s="683">
        <f>+landbouw!L8</f>
        <v>0</v>
      </c>
      <c r="N24" s="683">
        <f>+landbouw!M8</f>
        <v>0</v>
      </c>
      <c r="O24" s="683">
        <f>+landbouw!N8</f>
        <v>0</v>
      </c>
      <c r="P24" s="683">
        <f>+landbouw!O8</f>
        <v>0</v>
      </c>
      <c r="Q24" s="684">
        <f>+landbouw!P8</f>
        <v>0</v>
      </c>
      <c r="R24" s="686">
        <f>SUM(C24:Q24)</f>
        <v>105271.33727163685</v>
      </c>
      <c r="S24" s="67"/>
    </row>
    <row r="25" spans="1:19" s="445" customFormat="1" ht="15" thickBot="1">
      <c r="A25" s="826" t="s">
        <v>696</v>
      </c>
      <c r="B25" s="939"/>
      <c r="C25" s="940">
        <f>IF(Onbekend_ele_kWh="---",0,Onbekend_ele_kWh)/1000+IF(REST_rest_ele_kWh="---",0,REST_rest_ele_kWh)/1000</f>
        <v>378.81821448009197</v>
      </c>
      <c r="D25" s="940"/>
      <c r="E25" s="940">
        <f>IF(onbekend_gas_kWh="---",0,onbekend_gas_kWh)/1000+IF(REST_rest_gas_kWh="---",0,REST_rest_gas_kWh)/1000</f>
        <v>600.88527854948802</v>
      </c>
      <c r="F25" s="940"/>
      <c r="G25" s="940"/>
      <c r="H25" s="940"/>
      <c r="I25" s="940"/>
      <c r="J25" s="940"/>
      <c r="K25" s="940"/>
      <c r="L25" s="940"/>
      <c r="M25" s="940"/>
      <c r="N25" s="940"/>
      <c r="O25" s="940"/>
      <c r="P25" s="940"/>
      <c r="Q25" s="941"/>
      <c r="R25" s="686">
        <f>SUM(C25:Q25)</f>
        <v>979.70349302957993</v>
      </c>
      <c r="S25" s="67"/>
    </row>
    <row r="26" spans="1:19" s="445" customFormat="1" ht="15.75" thickBot="1">
      <c r="A26" s="691" t="s">
        <v>697</v>
      </c>
      <c r="B26" s="812"/>
      <c r="C26" s="807">
        <f>SUM(C24:C25)</f>
        <v>9700.7821383159717</v>
      </c>
      <c r="D26" s="807">
        <f t="shared" ref="D26:R26" si="2">SUM(D24:D25)</f>
        <v>63803.571428571428</v>
      </c>
      <c r="E26" s="807">
        <f t="shared" si="2"/>
        <v>600.88527854948802</v>
      </c>
      <c r="F26" s="807">
        <f t="shared" si="2"/>
        <v>266.99682242981635</v>
      </c>
      <c r="G26" s="807">
        <f t="shared" si="2"/>
        <v>29508.522402933562</v>
      </c>
      <c r="H26" s="807">
        <f t="shared" si="2"/>
        <v>0</v>
      </c>
      <c r="I26" s="807">
        <f t="shared" si="2"/>
        <v>0</v>
      </c>
      <c r="J26" s="807">
        <f t="shared" si="2"/>
        <v>0</v>
      </c>
      <c r="K26" s="807">
        <f t="shared" si="2"/>
        <v>2370.2826938661469</v>
      </c>
      <c r="L26" s="807">
        <f t="shared" si="2"/>
        <v>0</v>
      </c>
      <c r="M26" s="807">
        <f t="shared" si="2"/>
        <v>0</v>
      </c>
      <c r="N26" s="807">
        <f t="shared" si="2"/>
        <v>0</v>
      </c>
      <c r="O26" s="807">
        <f t="shared" si="2"/>
        <v>0</v>
      </c>
      <c r="P26" s="807">
        <f t="shared" si="2"/>
        <v>0</v>
      </c>
      <c r="Q26" s="807">
        <f t="shared" si="2"/>
        <v>0</v>
      </c>
      <c r="R26" s="807">
        <f t="shared" si="2"/>
        <v>106251.04076466642</v>
      </c>
      <c r="S26" s="67"/>
    </row>
    <row r="27" spans="1:19" s="445" customFormat="1" ht="17.25" thickTop="1" thickBot="1">
      <c r="A27" s="692" t="s">
        <v>115</v>
      </c>
      <c r="B27" s="799"/>
      <c r="C27" s="693">
        <f ca="1">C22+C16+C26</f>
        <v>200635.64441796759</v>
      </c>
      <c r="D27" s="693">
        <f t="shared" ref="D27:R27" ca="1" si="3">D22+D16+D26</f>
        <v>72096.428571428565</v>
      </c>
      <c r="E27" s="693">
        <f t="shared" ca="1" si="3"/>
        <v>142595.81814431894</v>
      </c>
      <c r="F27" s="693">
        <f t="shared" si="3"/>
        <v>2125.6994261187001</v>
      </c>
      <c r="G27" s="693">
        <f t="shared" ca="1" si="3"/>
        <v>67826.428264274946</v>
      </c>
      <c r="H27" s="693">
        <f t="shared" si="3"/>
        <v>45643.074406412969</v>
      </c>
      <c r="I27" s="693">
        <f t="shared" si="3"/>
        <v>11993.856210069534</v>
      </c>
      <c r="J27" s="693">
        <f t="shared" si="3"/>
        <v>0</v>
      </c>
      <c r="K27" s="693">
        <f t="shared" si="3"/>
        <v>2542.960176285796</v>
      </c>
      <c r="L27" s="693">
        <f t="shared" si="3"/>
        <v>0</v>
      </c>
      <c r="M27" s="693">
        <f t="shared" ca="1" si="3"/>
        <v>0</v>
      </c>
      <c r="N27" s="693">
        <f t="shared" si="3"/>
        <v>3471.0062139487768</v>
      </c>
      <c r="O27" s="693">
        <f t="shared" ca="1" si="3"/>
        <v>10006.41380753299</v>
      </c>
      <c r="P27" s="693">
        <f t="shared" si="3"/>
        <v>649.43314293612082</v>
      </c>
      <c r="Q27" s="693">
        <f t="shared" si="3"/>
        <v>747.38847791791636</v>
      </c>
      <c r="R27" s="693">
        <f t="shared" ca="1" si="3"/>
        <v>560334.15125921287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2240.8207568974885</v>
      </c>
      <c r="D40" s="683">
        <f ca="1">tertiair!C20</f>
        <v>0</v>
      </c>
      <c r="E40" s="683">
        <f ca="1">tertiair!D20</f>
        <v>6546.8938606570218</v>
      </c>
      <c r="F40" s="683">
        <f>tertiair!E20</f>
        <v>14.477836975610238</v>
      </c>
      <c r="G40" s="683">
        <f ca="1">tertiair!F20</f>
        <v>976.74384116044314</v>
      </c>
      <c r="H40" s="683">
        <f>tertiair!G20</f>
        <v>0</v>
      </c>
      <c r="I40" s="683">
        <f>tertiair!H20</f>
        <v>0</v>
      </c>
      <c r="J40" s="683">
        <f>tertiair!I20</f>
        <v>0</v>
      </c>
      <c r="K40" s="683">
        <f>tertiair!J20</f>
        <v>1.1963417179563545E-2</v>
      </c>
      <c r="L40" s="683">
        <f>tertiair!K20</f>
        <v>0</v>
      </c>
      <c r="M40" s="683">
        <f ca="1">tertiair!L20</f>
        <v>0</v>
      </c>
      <c r="N40" s="683">
        <f>tertiair!M20</f>
        <v>0</v>
      </c>
      <c r="O40" s="683">
        <f ca="1">tertiair!N20</f>
        <v>0</v>
      </c>
      <c r="P40" s="683">
        <f>tertiair!O20</f>
        <v>0</v>
      </c>
      <c r="Q40" s="766">
        <f>tertiair!P20</f>
        <v>0</v>
      </c>
      <c r="R40" s="845">
        <f t="shared" ca="1" si="4"/>
        <v>9778.9482591077413</v>
      </c>
    </row>
    <row r="41" spans="1:18">
      <c r="A41" s="817" t="s">
        <v>220</v>
      </c>
      <c r="B41" s="824"/>
      <c r="C41" s="683">
        <f ca="1">huishoudens!B12</f>
        <v>4068.7773546252274</v>
      </c>
      <c r="D41" s="683">
        <f ca="1">huishoudens!C12</f>
        <v>0</v>
      </c>
      <c r="E41" s="683">
        <f>huishoudens!D12</f>
        <v>6840.9368413070424</v>
      </c>
      <c r="F41" s="683">
        <f>huishoudens!E12</f>
        <v>305.68577525221514</v>
      </c>
      <c r="G41" s="683">
        <f>huishoudens!F12</f>
        <v>7876.5442452967909</v>
      </c>
      <c r="H41" s="683">
        <f>huishoudens!G12</f>
        <v>0</v>
      </c>
      <c r="I41" s="683">
        <f>huishoudens!H12</f>
        <v>0</v>
      </c>
      <c r="J41" s="683">
        <f>huishoudens!I12</f>
        <v>0</v>
      </c>
      <c r="K41" s="683">
        <f>huishoudens!J12</f>
        <v>59.516133513041765</v>
      </c>
      <c r="L41" s="683">
        <f>huishoudens!K12</f>
        <v>0</v>
      </c>
      <c r="M41" s="683">
        <f>huishoudens!L12</f>
        <v>0</v>
      </c>
      <c r="N41" s="683">
        <f>huishoudens!M12</f>
        <v>0</v>
      </c>
      <c r="O41" s="683">
        <f>huishoudens!N12</f>
        <v>0</v>
      </c>
      <c r="P41" s="683">
        <f>huishoudens!O12</f>
        <v>0</v>
      </c>
      <c r="Q41" s="766">
        <f>huishoudens!P12</f>
        <v>0</v>
      </c>
      <c r="R41" s="845">
        <f t="shared" ca="1" si="4"/>
        <v>19151.460349994319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34066.035359132671</v>
      </c>
      <c r="D43" s="683">
        <f ca="1">industrie!C22</f>
        <v>1919.636687060023</v>
      </c>
      <c r="E43" s="683">
        <f>industrie!D22</f>
        <v>15245.493637427044</v>
      </c>
      <c r="F43" s="683">
        <f>industrie!E22</f>
        <v>80.148992624163384</v>
      </c>
      <c r="G43" s="683">
        <f>industrie!F22</f>
        <v>1377.5927785209174</v>
      </c>
      <c r="H43" s="683">
        <f>industrie!G22</f>
        <v>0</v>
      </c>
      <c r="I43" s="683">
        <f>industrie!H22</f>
        <v>0</v>
      </c>
      <c r="J43" s="683">
        <f>industrie!I22</f>
        <v>0</v>
      </c>
      <c r="K43" s="683">
        <f>industrie!J22</f>
        <v>1.5997318463344126</v>
      </c>
      <c r="L43" s="683">
        <f>industrie!K22</f>
        <v>0</v>
      </c>
      <c r="M43" s="683">
        <f>industrie!L22</f>
        <v>0</v>
      </c>
      <c r="N43" s="683">
        <f>industrie!M22</f>
        <v>0</v>
      </c>
      <c r="O43" s="683">
        <f>industrie!N22</f>
        <v>0</v>
      </c>
      <c r="P43" s="683">
        <f>industrie!O22</f>
        <v>0</v>
      </c>
      <c r="Q43" s="766">
        <f>industrie!P22</f>
        <v>0</v>
      </c>
      <c r="R43" s="844">
        <f t="shared" ca="1" si="4"/>
        <v>52690.507186611154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40375.63347065539</v>
      </c>
      <c r="D46" s="719">
        <f t="shared" ref="D46:Q46" ca="1" si="5">SUM(D39:D45)</f>
        <v>1919.636687060023</v>
      </c>
      <c r="E46" s="719">
        <f t="shared" ca="1" si="5"/>
        <v>28633.324339391107</v>
      </c>
      <c r="F46" s="719">
        <f t="shared" si="5"/>
        <v>400.31260485198874</v>
      </c>
      <c r="G46" s="719">
        <f t="shared" ca="1" si="5"/>
        <v>10230.880864978151</v>
      </c>
      <c r="H46" s="719">
        <f t="shared" si="5"/>
        <v>0</v>
      </c>
      <c r="I46" s="719">
        <f t="shared" si="5"/>
        <v>0</v>
      </c>
      <c r="J46" s="719">
        <f t="shared" si="5"/>
        <v>0</v>
      </c>
      <c r="K46" s="719">
        <f t="shared" si="5"/>
        <v>61.127828776555745</v>
      </c>
      <c r="L46" s="719">
        <f t="shared" si="5"/>
        <v>0</v>
      </c>
      <c r="M46" s="719">
        <f t="shared" ca="1" si="5"/>
        <v>0</v>
      </c>
      <c r="N46" s="719">
        <f t="shared" si="5"/>
        <v>0</v>
      </c>
      <c r="O46" s="719">
        <f t="shared" ca="1" si="5"/>
        <v>0</v>
      </c>
      <c r="P46" s="719">
        <f t="shared" si="5"/>
        <v>0</v>
      </c>
      <c r="Q46" s="719">
        <f t="shared" si="5"/>
        <v>0</v>
      </c>
      <c r="R46" s="719">
        <f ca="1">SUM(R39:R45)</f>
        <v>81620.915795713212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3.5558255051955783</v>
      </c>
      <c r="D49" s="683">
        <f ca="1">transport!C58</f>
        <v>0</v>
      </c>
      <c r="E49" s="683">
        <f>transport!D58</f>
        <v>0</v>
      </c>
      <c r="F49" s="683">
        <f>transport!E58</f>
        <v>0</v>
      </c>
      <c r="G49" s="683">
        <f>transport!F58</f>
        <v>0</v>
      </c>
      <c r="H49" s="683">
        <f>transport!G58</f>
        <v>280.85827976711545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284.41410527231102</v>
      </c>
    </row>
    <row r="50" spans="1:18">
      <c r="A50" s="820" t="s">
        <v>302</v>
      </c>
      <c r="B50" s="830"/>
      <c r="C50" s="689">
        <f ca="1">transport!B18</f>
        <v>26.731615349997735</v>
      </c>
      <c r="D50" s="689">
        <f>transport!C18</f>
        <v>0</v>
      </c>
      <c r="E50" s="689">
        <f>transport!D18</f>
        <v>49.652099494322549</v>
      </c>
      <c r="F50" s="689">
        <f>transport!E18</f>
        <v>21.612886185387865</v>
      </c>
      <c r="G50" s="689">
        <f>transport!F18</f>
        <v>0</v>
      </c>
      <c r="H50" s="689">
        <f>transport!G18</f>
        <v>11905.842586745148</v>
      </c>
      <c r="I50" s="689">
        <f>transport!H18</f>
        <v>2986.4701963073139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14990.309384082171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30.287440855193314</v>
      </c>
      <c r="D52" s="719">
        <f t="shared" ref="D52:Q52" ca="1" si="6">SUM(D48:D51)</f>
        <v>0</v>
      </c>
      <c r="E52" s="719">
        <f t="shared" si="6"/>
        <v>49.652099494322549</v>
      </c>
      <c r="F52" s="719">
        <f t="shared" si="6"/>
        <v>21.612886185387865</v>
      </c>
      <c r="G52" s="719">
        <f t="shared" si="6"/>
        <v>0</v>
      </c>
      <c r="H52" s="719">
        <f t="shared" si="6"/>
        <v>12186.700866512263</v>
      </c>
      <c r="I52" s="719">
        <f t="shared" si="6"/>
        <v>2986.4701963073139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15274.723489354483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1972.7279374197822</v>
      </c>
      <c r="D54" s="689">
        <f ca="1">+landbouw!C12</f>
        <v>14769.297766721495</v>
      </c>
      <c r="E54" s="689">
        <f>+landbouw!D12</f>
        <v>0</v>
      </c>
      <c r="F54" s="689">
        <f>+landbouw!E12</f>
        <v>60.608278691568316</v>
      </c>
      <c r="G54" s="689">
        <f>+landbouw!F12</f>
        <v>7878.7754815832614</v>
      </c>
      <c r="H54" s="689">
        <f>+landbouw!G12</f>
        <v>0</v>
      </c>
      <c r="I54" s="689">
        <f>+landbouw!H12</f>
        <v>0</v>
      </c>
      <c r="J54" s="689">
        <f>+landbouw!I12</f>
        <v>0</v>
      </c>
      <c r="K54" s="689">
        <f>+landbouw!J12</f>
        <v>839.08007362861599</v>
      </c>
      <c r="L54" s="689">
        <f>+landbouw!K12</f>
        <v>0</v>
      </c>
      <c r="M54" s="689">
        <f>+landbouw!L12</f>
        <v>0</v>
      </c>
      <c r="N54" s="689">
        <f>+landbouw!M12</f>
        <v>0</v>
      </c>
      <c r="O54" s="689">
        <f>+landbouw!N12</f>
        <v>0</v>
      </c>
      <c r="P54" s="689">
        <f>+landbouw!O12</f>
        <v>0</v>
      </c>
      <c r="Q54" s="690">
        <f>+landbouw!P12</f>
        <v>0</v>
      </c>
      <c r="R54" s="718">
        <f ca="1">SUM(C54:Q54)</f>
        <v>25520.489538044723</v>
      </c>
    </row>
    <row r="55" spans="1:18" ht="15" thickBot="1">
      <c r="A55" s="820" t="s">
        <v>696</v>
      </c>
      <c r="B55" s="830"/>
      <c r="C55" s="689">
        <f ca="1">C25*'EF ele_warmte'!B12</f>
        <v>80.166076699516893</v>
      </c>
      <c r="D55" s="689"/>
      <c r="E55" s="689">
        <f>E25*EF_CO2_aardgas</f>
        <v>121.37882626699658</v>
      </c>
      <c r="F55" s="689"/>
      <c r="G55" s="689"/>
      <c r="H55" s="689"/>
      <c r="I55" s="689"/>
      <c r="J55" s="689"/>
      <c r="K55" s="689"/>
      <c r="L55" s="689"/>
      <c r="M55" s="689"/>
      <c r="N55" s="689"/>
      <c r="O55" s="689"/>
      <c r="P55" s="689"/>
      <c r="Q55" s="690"/>
      <c r="R55" s="718">
        <f ca="1">SUM(C55:Q55)</f>
        <v>201.54490296651346</v>
      </c>
    </row>
    <row r="56" spans="1:18" ht="15.75" thickBot="1">
      <c r="A56" s="818" t="s">
        <v>697</v>
      </c>
      <c r="B56" s="831"/>
      <c r="C56" s="719">
        <f ca="1">SUM(C54:C55)</f>
        <v>2052.8940141192988</v>
      </c>
      <c r="D56" s="719">
        <f t="shared" ref="D56:Q56" ca="1" si="7">SUM(D54:D55)</f>
        <v>14769.297766721495</v>
      </c>
      <c r="E56" s="719">
        <f t="shared" si="7"/>
        <v>121.37882626699658</v>
      </c>
      <c r="F56" s="719">
        <f t="shared" si="7"/>
        <v>60.608278691568316</v>
      </c>
      <c r="G56" s="719">
        <f t="shared" si="7"/>
        <v>7878.7754815832614</v>
      </c>
      <c r="H56" s="719">
        <f t="shared" si="7"/>
        <v>0</v>
      </c>
      <c r="I56" s="719">
        <f t="shared" si="7"/>
        <v>0</v>
      </c>
      <c r="J56" s="719">
        <f t="shared" si="7"/>
        <v>0</v>
      </c>
      <c r="K56" s="719">
        <f t="shared" si="7"/>
        <v>839.08007362861599</v>
      </c>
      <c r="L56" s="719">
        <f t="shared" si="7"/>
        <v>0</v>
      </c>
      <c r="M56" s="719">
        <f t="shared" si="7"/>
        <v>0</v>
      </c>
      <c r="N56" s="719">
        <f t="shared" si="7"/>
        <v>0</v>
      </c>
      <c r="O56" s="719">
        <f t="shared" si="7"/>
        <v>0</v>
      </c>
      <c r="P56" s="719">
        <f t="shared" si="7"/>
        <v>0</v>
      </c>
      <c r="Q56" s="720">
        <f t="shared" si="7"/>
        <v>0</v>
      </c>
      <c r="R56" s="721">
        <f ca="1">SUM(R54:R55)</f>
        <v>25722.034441011238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42458.814925629886</v>
      </c>
      <c r="D61" s="727">
        <f t="shared" ref="D61:Q61" ca="1" si="8">D46+D52+D56</f>
        <v>16688.934453781516</v>
      </c>
      <c r="E61" s="727">
        <f t="shared" ca="1" si="8"/>
        <v>28804.355265152426</v>
      </c>
      <c r="F61" s="727">
        <f t="shared" si="8"/>
        <v>482.53376972894495</v>
      </c>
      <c r="G61" s="727">
        <f t="shared" ca="1" si="8"/>
        <v>18109.656346561413</v>
      </c>
      <c r="H61" s="727">
        <f t="shared" si="8"/>
        <v>12186.700866512263</v>
      </c>
      <c r="I61" s="727">
        <f t="shared" si="8"/>
        <v>2986.4701963073139</v>
      </c>
      <c r="J61" s="727">
        <f t="shared" si="8"/>
        <v>0</v>
      </c>
      <c r="K61" s="727">
        <f t="shared" si="8"/>
        <v>900.20790240517169</v>
      </c>
      <c r="L61" s="727">
        <f t="shared" si="8"/>
        <v>0</v>
      </c>
      <c r="M61" s="727">
        <f t="shared" ca="1" si="8"/>
        <v>0</v>
      </c>
      <c r="N61" s="727">
        <f t="shared" si="8"/>
        <v>0</v>
      </c>
      <c r="O61" s="727">
        <f t="shared" ca="1" si="8"/>
        <v>0</v>
      </c>
      <c r="P61" s="727">
        <f t="shared" si="8"/>
        <v>0</v>
      </c>
      <c r="Q61" s="727">
        <f t="shared" si="8"/>
        <v>0</v>
      </c>
      <c r="R61" s="727">
        <f ca="1">R46+R52+R56</f>
        <v>122617.67372607894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0.21162149451958276</v>
      </c>
      <c r="D63" s="773">
        <f t="shared" ca="1" si="9"/>
        <v>0.23148073745771164</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10907.68827324899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1309.5</v>
      </c>
      <c r="C76" s="740">
        <f>'lokale energieproductie'!B8*IFERROR(SUM(D76:H76)/SUM(D76:O76),0)</f>
        <v>49158</v>
      </c>
      <c r="D76" s="948">
        <f>'lokale energieproductie'!C8</f>
        <v>57832.941176470595</v>
      </c>
      <c r="E76" s="949">
        <f>'lokale energieproductie'!D8</f>
        <v>0</v>
      </c>
      <c r="F76" s="949">
        <f>'lokale energieproductie'!E8</f>
        <v>0</v>
      </c>
      <c r="G76" s="949">
        <f>'lokale energieproductie'!F8</f>
        <v>0</v>
      </c>
      <c r="H76" s="949">
        <f>'lokale energieproductie'!G8</f>
        <v>0</v>
      </c>
      <c r="I76" s="949">
        <f>'lokale energieproductie'!I8</f>
        <v>0</v>
      </c>
      <c r="J76" s="949">
        <f>'lokale energieproductie'!J8</f>
        <v>1540.5882352941178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11682.25411764706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12217.18827324899</v>
      </c>
      <c r="C78" s="745">
        <f>SUM(C72:C77)</f>
        <v>49158</v>
      </c>
      <c r="D78" s="746">
        <f t="shared" ref="D78:H78" si="10">SUM(D76:D77)</f>
        <v>57832.941176470595</v>
      </c>
      <c r="E78" s="746">
        <f t="shared" si="10"/>
        <v>0</v>
      </c>
      <c r="F78" s="746">
        <f t="shared" si="10"/>
        <v>0</v>
      </c>
      <c r="G78" s="746">
        <f t="shared" si="10"/>
        <v>0</v>
      </c>
      <c r="H78" s="746">
        <f t="shared" si="10"/>
        <v>0</v>
      </c>
      <c r="I78" s="746">
        <f>SUM(I76:I77)</f>
        <v>0</v>
      </c>
      <c r="J78" s="746">
        <f>SUM(J76:J77)</f>
        <v>1540.5882352941178</v>
      </c>
      <c r="K78" s="746">
        <f t="shared" ref="K78:L78" si="11">SUM(K76:K77)</f>
        <v>0</v>
      </c>
      <c r="L78" s="746">
        <f t="shared" si="11"/>
        <v>0</v>
      </c>
      <c r="M78" s="746">
        <f>SUM(M76:M77)</f>
        <v>0</v>
      </c>
      <c r="N78" s="746">
        <f>SUM(N76:N77)</f>
        <v>0</v>
      </c>
      <c r="O78" s="855">
        <f>SUM(O76:O77)</f>
        <v>0</v>
      </c>
      <c r="P78" s="747">
        <v>0</v>
      </c>
      <c r="Q78" s="747">
        <f>SUM(Q76:Q77)</f>
        <v>11682.25411764706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1870.7142857142853</v>
      </c>
      <c r="C87" s="758">
        <f>'lokale energieproductie'!B17*IFERROR(SUM(D87:H87)/SUM(D87:O87),0)</f>
        <v>70225.714285714275</v>
      </c>
      <c r="D87" s="769">
        <f>'lokale energieproductie'!C17</f>
        <v>82618.487394957992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2200.840336134454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16688.934453781516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1870.7142857142853</v>
      </c>
      <c r="C90" s="745">
        <f>SUM(C87:C89)</f>
        <v>70225.714285714275</v>
      </c>
      <c r="D90" s="745">
        <f t="shared" ref="D90:H90" si="12">SUM(D87:D89)</f>
        <v>82618.487394957992</v>
      </c>
      <c r="E90" s="745">
        <f t="shared" si="12"/>
        <v>0</v>
      </c>
      <c r="F90" s="745">
        <f t="shared" si="12"/>
        <v>0</v>
      </c>
      <c r="G90" s="745">
        <f t="shared" si="12"/>
        <v>0</v>
      </c>
      <c r="H90" s="745">
        <f t="shared" si="12"/>
        <v>0</v>
      </c>
      <c r="I90" s="745">
        <f>SUM(I87:I89)</f>
        <v>0</v>
      </c>
      <c r="J90" s="745">
        <f>SUM(J87:J89)</f>
        <v>2200.840336134454</v>
      </c>
      <c r="K90" s="745">
        <f t="shared" ref="K90:L90" si="13">SUM(K87:K89)</f>
        <v>0</v>
      </c>
      <c r="L90" s="745">
        <f t="shared" si="13"/>
        <v>0</v>
      </c>
      <c r="M90" s="745">
        <f>SUM(M87:M89)</f>
        <v>0</v>
      </c>
      <c r="N90" s="745">
        <f>SUM(N87:N89)</f>
        <v>0</v>
      </c>
      <c r="O90" s="745">
        <f>SUM(O87:O89)</f>
        <v>0</v>
      </c>
      <c r="P90" s="745">
        <v>0</v>
      </c>
      <c r="Q90" s="745">
        <f>SUM(Q87:Q89)</f>
        <v>16688.934453781516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19226.673376738283</v>
      </c>
      <c r="C4" s="449">
        <f>huishoudens!C8</f>
        <v>0</v>
      </c>
      <c r="D4" s="449">
        <f>huishoudens!D8</f>
        <v>33866.023966866545</v>
      </c>
      <c r="E4" s="449">
        <f>huishoudens!E8</f>
        <v>1346.6333711551326</v>
      </c>
      <c r="F4" s="449">
        <f>huishoudens!F8</f>
        <v>29500.165712722061</v>
      </c>
      <c r="G4" s="449">
        <f>huishoudens!G8</f>
        <v>0</v>
      </c>
      <c r="H4" s="449">
        <f>huishoudens!H8</f>
        <v>0</v>
      </c>
      <c r="I4" s="449">
        <f>huishoudens!I8</f>
        <v>0</v>
      </c>
      <c r="J4" s="449">
        <f>huishoudens!J8</f>
        <v>168.12467094079597</v>
      </c>
      <c r="K4" s="449">
        <f>huishoudens!K8</f>
        <v>0</v>
      </c>
      <c r="L4" s="449">
        <f>huishoudens!L8</f>
        <v>0</v>
      </c>
      <c r="M4" s="449">
        <f>huishoudens!M8</f>
        <v>0</v>
      </c>
      <c r="N4" s="449">
        <f>huishoudens!N8</f>
        <v>6370.2193006195175</v>
      </c>
      <c r="O4" s="449">
        <f>huishoudens!O8</f>
        <v>624.94683910691504</v>
      </c>
      <c r="P4" s="450">
        <f>huishoudens!P8</f>
        <v>537.23192469193623</v>
      </c>
      <c r="Q4" s="451">
        <f>SUM(B4:P4)</f>
        <v>91640.019162841185</v>
      </c>
    </row>
    <row r="5" spans="1:17">
      <c r="A5" s="448" t="s">
        <v>155</v>
      </c>
      <c r="B5" s="449">
        <f ca="1">tertiair!B16</f>
        <v>9907.2315341026842</v>
      </c>
      <c r="C5" s="449">
        <f ca="1">tertiair!C16</f>
        <v>0</v>
      </c>
      <c r="D5" s="449">
        <f ca="1">tertiair!D16</f>
        <v>32410.365646816936</v>
      </c>
      <c r="E5" s="449">
        <f>tertiair!E16</f>
        <v>63.77901751370149</v>
      </c>
      <c r="F5" s="449">
        <f ca="1">tertiair!F16</f>
        <v>3658.2166335597121</v>
      </c>
      <c r="G5" s="449">
        <f>tertiair!G16</f>
        <v>0</v>
      </c>
      <c r="H5" s="449">
        <f>tertiair!H16</f>
        <v>0</v>
      </c>
      <c r="I5" s="449">
        <f>tertiair!I16</f>
        <v>0</v>
      </c>
      <c r="J5" s="449">
        <f>tertiair!J16</f>
        <v>3.3794963784077814E-2</v>
      </c>
      <c r="K5" s="449">
        <f>tertiair!K16</f>
        <v>0</v>
      </c>
      <c r="L5" s="449">
        <f ca="1">tertiair!L16</f>
        <v>0</v>
      </c>
      <c r="M5" s="449">
        <f>tertiair!M16</f>
        <v>0</v>
      </c>
      <c r="N5" s="449">
        <f ca="1">tertiair!N16</f>
        <v>1287.3360850694939</v>
      </c>
      <c r="O5" s="449">
        <f>tertiair!O16</f>
        <v>24.486303829205774</v>
      </c>
      <c r="P5" s="450">
        <f>tertiair!P16</f>
        <v>210.15655322598008</v>
      </c>
      <c r="Q5" s="448">
        <f t="shared" ref="Q5:Q14" ca="1" si="0">SUM(B5:P5)</f>
        <v>47561.60556908149</v>
      </c>
    </row>
    <row r="6" spans="1:17">
      <c r="A6" s="448" t="s">
        <v>193</v>
      </c>
      <c r="B6" s="449">
        <f>'openbare verlichting'!B8</f>
        <v>681.58299999999997</v>
      </c>
      <c r="C6" s="449"/>
      <c r="D6" s="449"/>
      <c r="E6" s="449"/>
      <c r="F6" s="449"/>
      <c r="G6" s="449"/>
      <c r="H6" s="449"/>
      <c r="I6" s="449"/>
      <c r="J6" s="449"/>
      <c r="K6" s="449"/>
      <c r="L6" s="449"/>
      <c r="M6" s="449"/>
      <c r="N6" s="449"/>
      <c r="O6" s="449"/>
      <c r="P6" s="450"/>
      <c r="Q6" s="448">
        <f t="shared" si="0"/>
        <v>681.58299999999997</v>
      </c>
    </row>
    <row r="7" spans="1:17">
      <c r="A7" s="448" t="s">
        <v>111</v>
      </c>
      <c r="B7" s="449">
        <f>landbouw!B8</f>
        <v>9321.9639238358795</v>
      </c>
      <c r="C7" s="449">
        <f>landbouw!C8</f>
        <v>63803.571428571428</v>
      </c>
      <c r="D7" s="449">
        <f>landbouw!D8</f>
        <v>0</v>
      </c>
      <c r="E7" s="449">
        <f>landbouw!E8</f>
        <v>266.99682242981635</v>
      </c>
      <c r="F7" s="449">
        <f>landbouw!F8</f>
        <v>29508.522402933562</v>
      </c>
      <c r="G7" s="449">
        <f>landbouw!G8</f>
        <v>0</v>
      </c>
      <c r="H7" s="449">
        <f>landbouw!H8</f>
        <v>0</v>
      </c>
      <c r="I7" s="449">
        <f>landbouw!I8</f>
        <v>0</v>
      </c>
      <c r="J7" s="449">
        <f>landbouw!J8</f>
        <v>2370.2826938661469</v>
      </c>
      <c r="K7" s="449">
        <f>landbouw!K8</f>
        <v>0</v>
      </c>
      <c r="L7" s="449">
        <f>landbouw!L8</f>
        <v>0</v>
      </c>
      <c r="M7" s="449">
        <f>landbouw!M8</f>
        <v>0</v>
      </c>
      <c r="N7" s="449">
        <f>landbouw!N8</f>
        <v>0</v>
      </c>
      <c r="O7" s="449">
        <f>landbouw!O8</f>
        <v>0</v>
      </c>
      <c r="P7" s="450">
        <f>landbouw!P8</f>
        <v>0</v>
      </c>
      <c r="Q7" s="448">
        <f t="shared" si="0"/>
        <v>105271.33727163685</v>
      </c>
    </row>
    <row r="8" spans="1:17">
      <c r="A8" s="448" t="s">
        <v>617</v>
      </c>
      <c r="B8" s="449">
        <f>industrie!B18</f>
        <v>160976.25355339469</v>
      </c>
      <c r="C8" s="449">
        <f>industrie!C18</f>
        <v>8292.8571428571431</v>
      </c>
      <c r="D8" s="449">
        <f>industrie!D18</f>
        <v>75472.740779341795</v>
      </c>
      <c r="E8" s="449">
        <f>industrie!E18</f>
        <v>353.0792626615127</v>
      </c>
      <c r="F8" s="449">
        <f>industrie!F18</f>
        <v>5159.5235150596154</v>
      </c>
      <c r="G8" s="449">
        <f>industrie!G18</f>
        <v>0</v>
      </c>
      <c r="H8" s="449">
        <f>industrie!H18</f>
        <v>0</v>
      </c>
      <c r="I8" s="449">
        <f>industrie!I18</f>
        <v>0</v>
      </c>
      <c r="J8" s="449">
        <f>industrie!J18</f>
        <v>4.5190165150689623</v>
      </c>
      <c r="K8" s="449">
        <f>industrie!K18</f>
        <v>0</v>
      </c>
      <c r="L8" s="449">
        <f>industrie!L18</f>
        <v>0</v>
      </c>
      <c r="M8" s="449">
        <f>industrie!M18</f>
        <v>0</v>
      </c>
      <c r="N8" s="449">
        <f>industrie!N18</f>
        <v>2348.8584218439782</v>
      </c>
      <c r="O8" s="449">
        <f>industrie!O18</f>
        <v>0</v>
      </c>
      <c r="P8" s="450">
        <f>industrie!P18</f>
        <v>0</v>
      </c>
      <c r="Q8" s="448">
        <f t="shared" si="0"/>
        <v>252607.83169167378</v>
      </c>
    </row>
    <row r="9" spans="1:17" s="454" customFormat="1">
      <c r="A9" s="452" t="s">
        <v>543</v>
      </c>
      <c r="B9" s="453">
        <f>transport!B14</f>
        <v>126.3180538946817</v>
      </c>
      <c r="C9" s="453">
        <f>transport!C14</f>
        <v>0</v>
      </c>
      <c r="D9" s="453">
        <f>transport!D14</f>
        <v>245.80247274417101</v>
      </c>
      <c r="E9" s="453">
        <f>transport!E14</f>
        <v>95.210952358536844</v>
      </c>
      <c r="F9" s="453">
        <f>transport!F14</f>
        <v>0</v>
      </c>
      <c r="G9" s="453">
        <f>transport!G14</f>
        <v>44591.17073687321</v>
      </c>
      <c r="H9" s="453">
        <f>transport!H14</f>
        <v>11993.856210069534</v>
      </c>
      <c r="I9" s="453">
        <f>transport!I14</f>
        <v>0</v>
      </c>
      <c r="J9" s="453">
        <f>transport!J14</f>
        <v>0</v>
      </c>
      <c r="K9" s="453">
        <f>transport!K14</f>
        <v>0</v>
      </c>
      <c r="L9" s="453">
        <f>transport!L14</f>
        <v>0</v>
      </c>
      <c r="M9" s="453">
        <f>transport!M14</f>
        <v>3410.6082344034571</v>
      </c>
      <c r="N9" s="453">
        <f>transport!N14</f>
        <v>0</v>
      </c>
      <c r="O9" s="453">
        <f>transport!O14</f>
        <v>0</v>
      </c>
      <c r="P9" s="453">
        <f>transport!P14</f>
        <v>0</v>
      </c>
      <c r="Q9" s="452">
        <f>SUM(B9:P9)</f>
        <v>60462.966660343591</v>
      </c>
    </row>
    <row r="10" spans="1:17">
      <c r="A10" s="448" t="s">
        <v>533</v>
      </c>
      <c r="B10" s="449">
        <f>transport!B54</f>
        <v>16.802761521309144</v>
      </c>
      <c r="C10" s="449">
        <f>transport!C54</f>
        <v>0</v>
      </c>
      <c r="D10" s="449">
        <f>transport!D54</f>
        <v>0</v>
      </c>
      <c r="E10" s="449">
        <f>transport!E54</f>
        <v>0</v>
      </c>
      <c r="F10" s="449">
        <f>transport!F54</f>
        <v>0</v>
      </c>
      <c r="G10" s="449">
        <f>transport!G54</f>
        <v>1051.9036695397581</v>
      </c>
      <c r="H10" s="449">
        <f>transport!H54</f>
        <v>0</v>
      </c>
      <c r="I10" s="449">
        <f>transport!I54</f>
        <v>0</v>
      </c>
      <c r="J10" s="449">
        <f>transport!J54</f>
        <v>0</v>
      </c>
      <c r="K10" s="449">
        <f>transport!K54</f>
        <v>0</v>
      </c>
      <c r="L10" s="449">
        <f>transport!L54</f>
        <v>0</v>
      </c>
      <c r="M10" s="449">
        <f>transport!M54</f>
        <v>60.397979545319728</v>
      </c>
      <c r="N10" s="449">
        <f>transport!N54</f>
        <v>0</v>
      </c>
      <c r="O10" s="449">
        <f>transport!O54</f>
        <v>0</v>
      </c>
      <c r="P10" s="450">
        <f>transport!P54</f>
        <v>0</v>
      </c>
      <c r="Q10" s="448">
        <f t="shared" si="0"/>
        <v>1129.1044106063869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378.81821448009197</v>
      </c>
      <c r="C14" s="456"/>
      <c r="D14" s="456">
        <f>'SEAP template'!E25</f>
        <v>600.88527854948802</v>
      </c>
      <c r="E14" s="456"/>
      <c r="F14" s="456"/>
      <c r="G14" s="456"/>
      <c r="H14" s="456"/>
      <c r="I14" s="456"/>
      <c r="J14" s="456"/>
      <c r="K14" s="456"/>
      <c r="L14" s="456"/>
      <c r="M14" s="456"/>
      <c r="N14" s="456"/>
      <c r="O14" s="456"/>
      <c r="P14" s="457"/>
      <c r="Q14" s="448">
        <f t="shared" si="0"/>
        <v>979.70349302957993</v>
      </c>
    </row>
    <row r="15" spans="1:17" s="460" customFormat="1">
      <c r="A15" s="458" t="s">
        <v>537</v>
      </c>
      <c r="B15" s="459">
        <f ca="1">SUM(B4:B14)</f>
        <v>200635.64441796762</v>
      </c>
      <c r="C15" s="459">
        <f t="shared" ref="C15:Q15" ca="1" si="1">SUM(C4:C14)</f>
        <v>72096.428571428565</v>
      </c>
      <c r="D15" s="459">
        <f t="shared" ca="1" si="1"/>
        <v>142595.81814431894</v>
      </c>
      <c r="E15" s="459">
        <f t="shared" si="1"/>
        <v>2125.6994261187001</v>
      </c>
      <c r="F15" s="459">
        <f t="shared" ca="1" si="1"/>
        <v>67826.428264274946</v>
      </c>
      <c r="G15" s="459">
        <f t="shared" si="1"/>
        <v>45643.074406412969</v>
      </c>
      <c r="H15" s="459">
        <f t="shared" si="1"/>
        <v>11993.856210069534</v>
      </c>
      <c r="I15" s="459">
        <f t="shared" si="1"/>
        <v>0</v>
      </c>
      <c r="J15" s="459">
        <f t="shared" si="1"/>
        <v>2542.960176285796</v>
      </c>
      <c r="K15" s="459">
        <f t="shared" si="1"/>
        <v>0</v>
      </c>
      <c r="L15" s="459">
        <f t="shared" ca="1" si="1"/>
        <v>0</v>
      </c>
      <c r="M15" s="459">
        <f t="shared" si="1"/>
        <v>3471.0062139487768</v>
      </c>
      <c r="N15" s="459">
        <f t="shared" ca="1" si="1"/>
        <v>10006.41380753299</v>
      </c>
      <c r="O15" s="459">
        <f t="shared" si="1"/>
        <v>649.43314293612082</v>
      </c>
      <c r="P15" s="459">
        <f t="shared" si="1"/>
        <v>747.38847791791636</v>
      </c>
      <c r="Q15" s="459">
        <f t="shared" ca="1" si="1"/>
        <v>560334.15125921287</v>
      </c>
    </row>
    <row r="17" spans="1:17">
      <c r="A17" s="461" t="s">
        <v>538</v>
      </c>
      <c r="B17" s="778">
        <f ca="1">huishoudens!B10</f>
        <v>0.2116214945195827</v>
      </c>
      <c r="C17" s="778">
        <f ca="1">huishoudens!C10</f>
        <v>0.23148073745771164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4068.7773546252274</v>
      </c>
      <c r="C22" s="449">
        <f t="shared" ref="C22:C32" ca="1" si="3">C4*$C$17</f>
        <v>0</v>
      </c>
      <c r="D22" s="449">
        <f t="shared" ref="D22:D32" si="4">D4*$D$17</f>
        <v>6840.9368413070424</v>
      </c>
      <c r="E22" s="449">
        <f t="shared" ref="E22:E32" si="5">E4*$E$17</f>
        <v>305.68577525221514</v>
      </c>
      <c r="F22" s="449">
        <f t="shared" ref="F22:F32" si="6">F4*$F$17</f>
        <v>7876.5442452967909</v>
      </c>
      <c r="G22" s="449">
        <f t="shared" ref="G22:G32" si="7">G4*$G$17</f>
        <v>0</v>
      </c>
      <c r="H22" s="449">
        <f t="shared" ref="H22:H32" si="8">H4*$H$17</f>
        <v>0</v>
      </c>
      <c r="I22" s="449">
        <f t="shared" ref="I22:I32" si="9">I4*$I$17</f>
        <v>0</v>
      </c>
      <c r="J22" s="449">
        <f t="shared" ref="J22:J32" si="10">J4*$J$17</f>
        <v>59.516133513041765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19151.460349994319</v>
      </c>
    </row>
    <row r="23" spans="1:17">
      <c r="A23" s="448" t="s">
        <v>155</v>
      </c>
      <c r="B23" s="449">
        <f t="shared" ca="1" si="2"/>
        <v>2096.5831437983479</v>
      </c>
      <c r="C23" s="449">
        <f t="shared" ca="1" si="3"/>
        <v>0</v>
      </c>
      <c r="D23" s="449">
        <f t="shared" ca="1" si="4"/>
        <v>6546.8938606570218</v>
      </c>
      <c r="E23" s="449">
        <f t="shared" si="5"/>
        <v>14.477836975610238</v>
      </c>
      <c r="F23" s="449">
        <f t="shared" ca="1" si="6"/>
        <v>976.74384116044314</v>
      </c>
      <c r="G23" s="449">
        <f t="shared" si="7"/>
        <v>0</v>
      </c>
      <c r="H23" s="449">
        <f t="shared" si="8"/>
        <v>0</v>
      </c>
      <c r="I23" s="449">
        <f t="shared" si="9"/>
        <v>0</v>
      </c>
      <c r="J23" s="449">
        <f t="shared" si="10"/>
        <v>1.1963417179563545E-2</v>
      </c>
      <c r="K23" s="449">
        <f t="shared" si="11"/>
        <v>0</v>
      </c>
      <c r="L23" s="449">
        <f t="shared" ca="1" si="12"/>
        <v>0</v>
      </c>
      <c r="M23" s="449">
        <f t="shared" si="13"/>
        <v>0</v>
      </c>
      <c r="N23" s="449">
        <f t="shared" ca="1" si="14"/>
        <v>0</v>
      </c>
      <c r="O23" s="449">
        <f t="shared" si="15"/>
        <v>0</v>
      </c>
      <c r="P23" s="450">
        <f t="shared" si="16"/>
        <v>0</v>
      </c>
      <c r="Q23" s="448">
        <f t="shared" ref="Q23:Q31" ca="1" si="17">SUM(B23:P23)</f>
        <v>9634.7106460086015</v>
      </c>
    </row>
    <row r="24" spans="1:17">
      <c r="A24" s="448" t="s">
        <v>193</v>
      </c>
      <c r="B24" s="449">
        <f t="shared" ca="1" si="2"/>
        <v>144.23761309914073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144.23761309914073</v>
      </c>
    </row>
    <row r="25" spans="1:17">
      <c r="A25" s="448" t="s">
        <v>111</v>
      </c>
      <c r="B25" s="449">
        <f t="shared" ca="1" si="2"/>
        <v>1972.7279374197822</v>
      </c>
      <c r="C25" s="449">
        <f t="shared" ca="1" si="3"/>
        <v>14769.297766721495</v>
      </c>
      <c r="D25" s="449">
        <f t="shared" si="4"/>
        <v>0</v>
      </c>
      <c r="E25" s="449">
        <f t="shared" si="5"/>
        <v>60.608278691568316</v>
      </c>
      <c r="F25" s="449">
        <f t="shared" si="6"/>
        <v>7878.7754815832614</v>
      </c>
      <c r="G25" s="449">
        <f t="shared" si="7"/>
        <v>0</v>
      </c>
      <c r="H25" s="449">
        <f t="shared" si="8"/>
        <v>0</v>
      </c>
      <c r="I25" s="449">
        <f t="shared" si="9"/>
        <v>0</v>
      </c>
      <c r="J25" s="449">
        <f t="shared" si="10"/>
        <v>839.08007362861599</v>
      </c>
      <c r="K25" s="449">
        <f t="shared" si="11"/>
        <v>0</v>
      </c>
      <c r="L25" s="449">
        <f t="shared" si="12"/>
        <v>0</v>
      </c>
      <c r="M25" s="449">
        <f t="shared" si="13"/>
        <v>0</v>
      </c>
      <c r="N25" s="449">
        <f t="shared" si="14"/>
        <v>0</v>
      </c>
      <c r="O25" s="449">
        <f t="shared" si="15"/>
        <v>0</v>
      </c>
      <c r="P25" s="450">
        <f t="shared" si="16"/>
        <v>0</v>
      </c>
      <c r="Q25" s="448">
        <f t="shared" ca="1" si="17"/>
        <v>25520.489538044723</v>
      </c>
    </row>
    <row r="26" spans="1:17">
      <c r="A26" s="448" t="s">
        <v>617</v>
      </c>
      <c r="B26" s="449">
        <f t="shared" ca="1" si="2"/>
        <v>34066.035359132671</v>
      </c>
      <c r="C26" s="449">
        <f t="shared" ca="1" si="3"/>
        <v>1919.636687060023</v>
      </c>
      <c r="D26" s="449">
        <f t="shared" si="4"/>
        <v>15245.493637427044</v>
      </c>
      <c r="E26" s="449">
        <f t="shared" si="5"/>
        <v>80.148992624163384</v>
      </c>
      <c r="F26" s="449">
        <f t="shared" si="6"/>
        <v>1377.5927785209174</v>
      </c>
      <c r="G26" s="449">
        <f t="shared" si="7"/>
        <v>0</v>
      </c>
      <c r="H26" s="449">
        <f t="shared" si="8"/>
        <v>0</v>
      </c>
      <c r="I26" s="449">
        <f t="shared" si="9"/>
        <v>0</v>
      </c>
      <c r="J26" s="449">
        <f t="shared" si="10"/>
        <v>1.5997318463344126</v>
      </c>
      <c r="K26" s="449">
        <f t="shared" si="11"/>
        <v>0</v>
      </c>
      <c r="L26" s="449">
        <f t="shared" si="12"/>
        <v>0</v>
      </c>
      <c r="M26" s="449">
        <f t="shared" si="13"/>
        <v>0</v>
      </c>
      <c r="N26" s="449">
        <f t="shared" si="14"/>
        <v>0</v>
      </c>
      <c r="O26" s="449">
        <f t="shared" si="15"/>
        <v>0</v>
      </c>
      <c r="P26" s="450">
        <f t="shared" si="16"/>
        <v>0</v>
      </c>
      <c r="Q26" s="448">
        <f t="shared" ca="1" si="17"/>
        <v>52690.507186611154</v>
      </c>
    </row>
    <row r="27" spans="1:17" s="454" customFormat="1">
      <c r="A27" s="452" t="s">
        <v>543</v>
      </c>
      <c r="B27" s="772">
        <f t="shared" ca="1" si="2"/>
        <v>26.731615349997735</v>
      </c>
      <c r="C27" s="453">
        <f t="shared" ca="1" si="3"/>
        <v>0</v>
      </c>
      <c r="D27" s="453">
        <f t="shared" si="4"/>
        <v>49.652099494322549</v>
      </c>
      <c r="E27" s="453">
        <f t="shared" si="5"/>
        <v>21.612886185387865</v>
      </c>
      <c r="F27" s="453">
        <f t="shared" si="6"/>
        <v>0</v>
      </c>
      <c r="G27" s="453">
        <f t="shared" si="7"/>
        <v>11905.842586745148</v>
      </c>
      <c r="H27" s="453">
        <f t="shared" si="8"/>
        <v>2986.4701963073139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14990.309384082171</v>
      </c>
    </row>
    <row r="28" spans="1:17" ht="16.5" customHeight="1">
      <c r="A28" s="448" t="s">
        <v>533</v>
      </c>
      <c r="B28" s="449">
        <f t="shared" ca="1" si="2"/>
        <v>3.5558255051955783</v>
      </c>
      <c r="C28" s="449">
        <f t="shared" ca="1" si="3"/>
        <v>0</v>
      </c>
      <c r="D28" s="449">
        <f t="shared" si="4"/>
        <v>0</v>
      </c>
      <c r="E28" s="449">
        <f t="shared" si="5"/>
        <v>0</v>
      </c>
      <c r="F28" s="449">
        <f t="shared" si="6"/>
        <v>0</v>
      </c>
      <c r="G28" s="449">
        <f t="shared" si="7"/>
        <v>280.85827976711545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284.41410527231102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80.166076699516893</v>
      </c>
      <c r="C32" s="449">
        <f t="shared" ca="1" si="3"/>
        <v>0</v>
      </c>
      <c r="D32" s="449">
        <f t="shared" si="4"/>
        <v>121.37882626699658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201.54490296651346</v>
      </c>
    </row>
    <row r="33" spans="1:17" s="460" customFormat="1">
      <c r="A33" s="458" t="s">
        <v>537</v>
      </c>
      <c r="B33" s="459">
        <f ca="1">SUM(B22:B32)</f>
        <v>42458.814925629886</v>
      </c>
      <c r="C33" s="459">
        <f t="shared" ref="C33:Q33" ca="1" si="19">SUM(C22:C32)</f>
        <v>16688.934453781516</v>
      </c>
      <c r="D33" s="459">
        <f t="shared" ca="1" si="19"/>
        <v>28804.355265152426</v>
      </c>
      <c r="E33" s="459">
        <f t="shared" si="19"/>
        <v>482.53376972894495</v>
      </c>
      <c r="F33" s="459">
        <f t="shared" ca="1" si="19"/>
        <v>18109.656346561413</v>
      </c>
      <c r="G33" s="459">
        <f t="shared" si="19"/>
        <v>12186.700866512263</v>
      </c>
      <c r="H33" s="459">
        <f t="shared" si="19"/>
        <v>2986.4701963073139</v>
      </c>
      <c r="I33" s="459">
        <f t="shared" si="19"/>
        <v>0</v>
      </c>
      <c r="J33" s="459">
        <f t="shared" si="19"/>
        <v>900.20790240517169</v>
      </c>
      <c r="K33" s="459">
        <f t="shared" si="19"/>
        <v>0</v>
      </c>
      <c r="L33" s="459">
        <f t="shared" ca="1" si="19"/>
        <v>0</v>
      </c>
      <c r="M33" s="459">
        <f t="shared" si="19"/>
        <v>0</v>
      </c>
      <c r="N33" s="459">
        <f t="shared" ca="1" si="19"/>
        <v>0</v>
      </c>
      <c r="O33" s="459">
        <f t="shared" si="19"/>
        <v>0</v>
      </c>
      <c r="P33" s="459">
        <f t="shared" si="19"/>
        <v>0</v>
      </c>
      <c r="Q33" s="459">
        <f t="shared" ca="1" si="19"/>
        <v>122617.67372607894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10907.68827324899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1309.5</v>
      </c>
      <c r="C8" s="1016">
        <f>'SEAP template'!C76</f>
        <v>49158</v>
      </c>
      <c r="D8" s="1016">
        <f>'SEAP template'!D76</f>
        <v>57832.941176470595</v>
      </c>
      <c r="E8" s="1016">
        <f>'SEAP template'!E76</f>
        <v>0</v>
      </c>
      <c r="F8" s="1016">
        <f>'SEAP template'!F76</f>
        <v>0</v>
      </c>
      <c r="G8" s="1016">
        <f>'SEAP template'!G76</f>
        <v>0</v>
      </c>
      <c r="H8" s="1016">
        <f>'SEAP template'!H76</f>
        <v>0</v>
      </c>
      <c r="I8" s="1016">
        <f>'SEAP template'!I76</f>
        <v>0</v>
      </c>
      <c r="J8" s="1016">
        <f>'SEAP template'!J76</f>
        <v>1540.5882352941178</v>
      </c>
      <c r="K8" s="1016">
        <f>'SEAP template'!K76</f>
        <v>0</v>
      </c>
      <c r="L8" s="1016">
        <f>'SEAP template'!L76</f>
        <v>0</v>
      </c>
      <c r="M8" s="1016">
        <f>'SEAP template'!M76</f>
        <v>0</v>
      </c>
      <c r="N8" s="1016">
        <f>'SEAP template'!N76</f>
        <v>0</v>
      </c>
      <c r="O8" s="1016">
        <f>'SEAP template'!O76</f>
        <v>0</v>
      </c>
      <c r="P8" s="1017">
        <f>'SEAP template'!Q76</f>
        <v>11682.25411764706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12217.18827324899</v>
      </c>
      <c r="C10" s="1018">
        <f>SUM(C4:C9)</f>
        <v>49158</v>
      </c>
      <c r="D10" s="1018">
        <f t="shared" ref="D10:H10" si="0">SUM(D8:D9)</f>
        <v>57832.941176470595</v>
      </c>
      <c r="E10" s="1018">
        <f t="shared" si="0"/>
        <v>0</v>
      </c>
      <c r="F10" s="1018">
        <f t="shared" si="0"/>
        <v>0</v>
      </c>
      <c r="G10" s="1018">
        <f t="shared" si="0"/>
        <v>0</v>
      </c>
      <c r="H10" s="1018">
        <f t="shared" si="0"/>
        <v>0</v>
      </c>
      <c r="I10" s="1018">
        <f>SUM(I8:I9)</f>
        <v>0</v>
      </c>
      <c r="J10" s="1018">
        <f>SUM(J8:J9)</f>
        <v>1540.5882352941178</v>
      </c>
      <c r="K10" s="1018">
        <f t="shared" ref="K10:L10" si="1">SUM(K8:K9)</f>
        <v>0</v>
      </c>
      <c r="L10" s="1018">
        <f t="shared" si="1"/>
        <v>0</v>
      </c>
      <c r="M10" s="1018">
        <f>SUM(M8:M9)</f>
        <v>0</v>
      </c>
      <c r="N10" s="1018">
        <f>SUM(N8:N9)</f>
        <v>0</v>
      </c>
      <c r="O10" s="1018">
        <f>SUM(O8:O9)</f>
        <v>0</v>
      </c>
      <c r="P10" s="1018">
        <f>SUM(P8:P9)</f>
        <v>11682.25411764706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0.2116214945195827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1870.7142857142853</v>
      </c>
      <c r="C17" s="1019">
        <f>'SEAP template'!C87</f>
        <v>70225.714285714275</v>
      </c>
      <c r="D17" s="1017">
        <f>'SEAP template'!D87</f>
        <v>82618.487394957992</v>
      </c>
      <c r="E17" s="1017">
        <f>'SEAP template'!E87</f>
        <v>0</v>
      </c>
      <c r="F17" s="1017">
        <f>'SEAP template'!F87</f>
        <v>0</v>
      </c>
      <c r="G17" s="1017">
        <f>'SEAP template'!G87</f>
        <v>0</v>
      </c>
      <c r="H17" s="1017">
        <f>'SEAP template'!H87</f>
        <v>0</v>
      </c>
      <c r="I17" s="1017">
        <f>'SEAP template'!I87</f>
        <v>0</v>
      </c>
      <c r="J17" s="1017">
        <f>'SEAP template'!J87</f>
        <v>2200.840336134454</v>
      </c>
      <c r="K17" s="1017">
        <f>'SEAP template'!K87</f>
        <v>0</v>
      </c>
      <c r="L17" s="1017">
        <f>'SEAP template'!L87</f>
        <v>0</v>
      </c>
      <c r="M17" s="1017">
        <f>'SEAP template'!M87</f>
        <v>0</v>
      </c>
      <c r="N17" s="1017">
        <f>'SEAP template'!N87</f>
        <v>0</v>
      </c>
      <c r="O17" s="1017">
        <f>'SEAP template'!O87</f>
        <v>0</v>
      </c>
      <c r="P17" s="1017">
        <f>'SEAP template'!Q87</f>
        <v>16688.934453781516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1870.7142857142853</v>
      </c>
      <c r="C20" s="1018">
        <f>SUM(C17:C19)</f>
        <v>70225.714285714275</v>
      </c>
      <c r="D20" s="1018">
        <f t="shared" ref="D20:H20" si="2">SUM(D17:D19)</f>
        <v>82618.487394957992</v>
      </c>
      <c r="E20" s="1018">
        <f t="shared" si="2"/>
        <v>0</v>
      </c>
      <c r="F20" s="1018">
        <f t="shared" si="2"/>
        <v>0</v>
      </c>
      <c r="G20" s="1018">
        <f t="shared" si="2"/>
        <v>0</v>
      </c>
      <c r="H20" s="1018">
        <f t="shared" si="2"/>
        <v>0</v>
      </c>
      <c r="I20" s="1018">
        <f>SUM(I17:I19)</f>
        <v>0</v>
      </c>
      <c r="J20" s="1018">
        <f>SUM(J17:J19)</f>
        <v>2200.840336134454</v>
      </c>
      <c r="K20" s="1018">
        <f t="shared" ref="K20:L20" si="3">SUM(K17:K19)</f>
        <v>0</v>
      </c>
      <c r="L20" s="1018">
        <f t="shared" si="3"/>
        <v>0</v>
      </c>
      <c r="M20" s="1018">
        <f>SUM(M17:M19)</f>
        <v>0</v>
      </c>
      <c r="N20" s="1018">
        <f>SUM(N17:N19)</f>
        <v>0</v>
      </c>
      <c r="O20" s="1018">
        <f>SUM(O17:O19)</f>
        <v>0</v>
      </c>
      <c r="P20" s="1018">
        <f>SUM(P17:P19)</f>
        <v>16688.934453781516</v>
      </c>
    </row>
    <row r="21" spans="1:16">
      <c r="B21" s="883"/>
    </row>
    <row r="22" spans="1:16">
      <c r="A22" s="461" t="s">
        <v>755</v>
      </c>
      <c r="B22" s="778" t="s">
        <v>753</v>
      </c>
      <c r="C22" s="778">
        <f ca="1">'EF ele_warmte'!B22</f>
        <v>0.23148073745771164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0.2116214945195827</v>
      </c>
      <c r="C17" s="498">
        <f ca="1">'EF ele_warmte'!B22</f>
        <v>0.23148073745771164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0.2116214945195827</v>
      </c>
      <c r="C17" s="498">
        <f ca="1">'EF ele_warmte'!B22</f>
        <v>0.23148073745771164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0.2116214945195827</v>
      </c>
      <c r="C29" s="499">
        <f ca="1">'EF ele_warmte'!B22</f>
        <v>0.23148073745771164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3262.37</v>
      </c>
      <c r="C14" s="326"/>
      <c r="D14" s="326"/>
      <c r="E14" s="326"/>
      <c r="F14" s="326"/>
    </row>
    <row r="15" spans="1:6">
      <c r="A15" s="1312" t="s">
        <v>183</v>
      </c>
      <c r="B15" s="1313">
        <v>12</v>
      </c>
      <c r="C15" s="326"/>
      <c r="D15" s="326"/>
      <c r="E15" s="326"/>
      <c r="F15" s="326"/>
    </row>
    <row r="16" spans="1:6">
      <c r="A16" s="1312" t="s">
        <v>6</v>
      </c>
      <c r="B16" s="1313">
        <v>276</v>
      </c>
      <c r="C16" s="326"/>
      <c r="D16" s="326"/>
      <c r="E16" s="326"/>
      <c r="F16" s="326"/>
    </row>
    <row r="17" spans="1:6">
      <c r="A17" s="1312" t="s">
        <v>7</v>
      </c>
      <c r="B17" s="1313">
        <v>651</v>
      </c>
      <c r="C17" s="326"/>
      <c r="D17" s="326"/>
      <c r="E17" s="326"/>
      <c r="F17" s="326"/>
    </row>
    <row r="18" spans="1:6">
      <c r="A18" s="1312" t="s">
        <v>8</v>
      </c>
      <c r="B18" s="1313">
        <v>896</v>
      </c>
      <c r="C18" s="326"/>
      <c r="D18" s="326"/>
      <c r="E18" s="326"/>
      <c r="F18" s="326"/>
    </row>
    <row r="19" spans="1:6">
      <c r="A19" s="1312" t="s">
        <v>9</v>
      </c>
      <c r="B19" s="1313">
        <v>840</v>
      </c>
      <c r="C19" s="326"/>
      <c r="D19" s="326"/>
      <c r="E19" s="326"/>
      <c r="F19" s="326"/>
    </row>
    <row r="20" spans="1:6">
      <c r="A20" s="1312" t="s">
        <v>10</v>
      </c>
      <c r="B20" s="1313">
        <v>513</v>
      </c>
      <c r="C20" s="326"/>
      <c r="D20" s="326"/>
      <c r="E20" s="326"/>
      <c r="F20" s="326"/>
    </row>
    <row r="21" spans="1:6">
      <c r="A21" s="1312" t="s">
        <v>11</v>
      </c>
      <c r="B21" s="1313">
        <v>46509</v>
      </c>
      <c r="C21" s="326"/>
      <c r="D21" s="326"/>
      <c r="E21" s="326"/>
      <c r="F21" s="326"/>
    </row>
    <row r="22" spans="1:6">
      <c r="A22" s="1312" t="s">
        <v>12</v>
      </c>
      <c r="B22" s="1313">
        <v>105662</v>
      </c>
      <c r="C22" s="326"/>
      <c r="D22" s="326"/>
      <c r="E22" s="326"/>
      <c r="F22" s="326"/>
    </row>
    <row r="23" spans="1:6">
      <c r="A23" s="1312" t="s">
        <v>13</v>
      </c>
      <c r="B23" s="1313">
        <v>1260</v>
      </c>
      <c r="C23" s="326"/>
      <c r="D23" s="326"/>
      <c r="E23" s="326"/>
      <c r="F23" s="326"/>
    </row>
    <row r="24" spans="1:6">
      <c r="A24" s="1312" t="s">
        <v>14</v>
      </c>
      <c r="B24" s="1313">
        <v>67</v>
      </c>
      <c r="C24" s="326"/>
      <c r="D24" s="326"/>
      <c r="E24" s="326"/>
      <c r="F24" s="326"/>
    </row>
    <row r="25" spans="1:6">
      <c r="A25" s="1312" t="s">
        <v>15</v>
      </c>
      <c r="B25" s="1313">
        <v>10319</v>
      </c>
      <c r="C25" s="326"/>
      <c r="D25" s="326"/>
      <c r="E25" s="326"/>
      <c r="F25" s="326"/>
    </row>
    <row r="26" spans="1:6">
      <c r="A26" s="1312" t="s">
        <v>16</v>
      </c>
      <c r="B26" s="1313">
        <v>312</v>
      </c>
      <c r="C26" s="326"/>
      <c r="D26" s="326"/>
      <c r="E26" s="326"/>
      <c r="F26" s="326"/>
    </row>
    <row r="27" spans="1:6">
      <c r="A27" s="1312" t="s">
        <v>17</v>
      </c>
      <c r="B27" s="1313">
        <v>6</v>
      </c>
      <c r="C27" s="326"/>
      <c r="D27" s="326"/>
      <c r="E27" s="326"/>
      <c r="F27" s="326"/>
    </row>
    <row r="28" spans="1:6" s="43" customFormat="1">
      <c r="A28" s="1314" t="s">
        <v>18</v>
      </c>
      <c r="B28" s="1315">
        <v>98545</v>
      </c>
      <c r="C28" s="332"/>
      <c r="D28" s="332"/>
      <c r="E28" s="332"/>
      <c r="F28" s="332"/>
    </row>
    <row r="29" spans="1:6">
      <c r="A29" s="1314" t="s">
        <v>684</v>
      </c>
      <c r="B29" s="1315">
        <v>37</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13</v>
      </c>
      <c r="F36" s="1313">
        <v>30417.331340876801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2649</v>
      </c>
      <c r="D39" s="1313">
        <v>37503902.510372698</v>
      </c>
      <c r="E39" s="1313">
        <v>4235</v>
      </c>
      <c r="F39" s="1313">
        <v>13512388.335236801</v>
      </c>
    </row>
    <row r="40" spans="1:6">
      <c r="A40" s="1312" t="s">
        <v>29</v>
      </c>
      <c r="B40" s="1312" t="s">
        <v>28</v>
      </c>
      <c r="C40" s="1313">
        <v>0</v>
      </c>
      <c r="D40" s="1313">
        <v>0</v>
      </c>
      <c r="E40" s="1313">
        <v>0</v>
      </c>
      <c r="F40" s="1313">
        <v>0</v>
      </c>
    </row>
    <row r="41" spans="1:6">
      <c r="A41" s="1312" t="s">
        <v>31</v>
      </c>
      <c r="B41" s="1312" t="s">
        <v>32</v>
      </c>
      <c r="C41" s="1313">
        <v>82</v>
      </c>
      <c r="D41" s="1313">
        <v>2673348.5652702302</v>
      </c>
      <c r="E41" s="1313">
        <v>175</v>
      </c>
      <c r="F41" s="1313">
        <v>3056155.6588284802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15</v>
      </c>
      <c r="D44" s="1313">
        <v>7658098.2324406197</v>
      </c>
      <c r="E44" s="1313">
        <v>38</v>
      </c>
      <c r="F44" s="1313">
        <v>4379739.8086304897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23761.186935419999</v>
      </c>
      <c r="E48" s="1313">
        <v>4</v>
      </c>
      <c r="F48" s="1313">
        <v>171557.66149365099</v>
      </c>
    </row>
    <row r="49" spans="1:6">
      <c r="A49" s="1312" t="s">
        <v>31</v>
      </c>
      <c r="B49" s="1312" t="s">
        <v>39</v>
      </c>
      <c r="C49" s="1313">
        <v>3</v>
      </c>
      <c r="D49" s="1313">
        <v>300123.70405242097</v>
      </c>
      <c r="E49" s="1313">
        <v>4</v>
      </c>
      <c r="F49" s="1313">
        <v>73638.639557091403</v>
      </c>
    </row>
    <row r="50" spans="1:6">
      <c r="A50" s="1312" t="s">
        <v>31</v>
      </c>
      <c r="B50" s="1312" t="s">
        <v>40</v>
      </c>
      <c r="C50" s="1313">
        <v>16</v>
      </c>
      <c r="D50" s="1313">
        <v>87148684.3618301</v>
      </c>
      <c r="E50" s="1313">
        <v>22</v>
      </c>
      <c r="F50" s="1313">
        <v>147490161.78488499</v>
      </c>
    </row>
    <row r="51" spans="1:6">
      <c r="A51" s="1312" t="s">
        <v>41</v>
      </c>
      <c r="B51" s="1312" t="s">
        <v>42</v>
      </c>
      <c r="C51" s="1313">
        <v>44</v>
      </c>
      <c r="D51" s="1313">
        <v>133596992.568114</v>
      </c>
      <c r="E51" s="1313">
        <v>284</v>
      </c>
      <c r="F51" s="1313">
        <v>9321963.9238358792</v>
      </c>
    </row>
    <row r="52" spans="1:6">
      <c r="A52" s="1312" t="s">
        <v>41</v>
      </c>
      <c r="B52" s="1312" t="s">
        <v>28</v>
      </c>
      <c r="C52" s="1313">
        <v>0</v>
      </c>
      <c r="D52" s="1313">
        <v>0</v>
      </c>
      <c r="E52" s="1313">
        <v>0</v>
      </c>
      <c r="F52" s="1313">
        <v>0</v>
      </c>
    </row>
    <row r="53" spans="1:6">
      <c r="A53" s="1312" t="s">
        <v>43</v>
      </c>
      <c r="B53" s="1312" t="s">
        <v>44</v>
      </c>
      <c r="C53" s="1313">
        <v>46</v>
      </c>
      <c r="D53" s="1313">
        <v>600885.27854948805</v>
      </c>
      <c r="E53" s="1313">
        <v>113</v>
      </c>
      <c r="F53" s="1313">
        <v>378818.21448009199</v>
      </c>
    </row>
    <row r="54" spans="1:6">
      <c r="A54" s="1312" t="s">
        <v>45</v>
      </c>
      <c r="B54" s="1312" t="s">
        <v>46</v>
      </c>
      <c r="C54" s="1313">
        <v>0</v>
      </c>
      <c r="D54" s="1313">
        <v>0</v>
      </c>
      <c r="E54" s="1313">
        <v>1</v>
      </c>
      <c r="F54" s="1313">
        <v>681583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47</v>
      </c>
      <c r="D57" s="1313">
        <v>1282052.7508608301</v>
      </c>
      <c r="E57" s="1313">
        <v>79</v>
      </c>
      <c r="F57" s="1313">
        <v>3341347.5063517699</v>
      </c>
    </row>
    <row r="58" spans="1:6">
      <c r="A58" s="1312" t="s">
        <v>48</v>
      </c>
      <c r="B58" s="1312" t="s">
        <v>50</v>
      </c>
      <c r="C58" s="1313">
        <v>21</v>
      </c>
      <c r="D58" s="1313">
        <v>1852695.9771348999</v>
      </c>
      <c r="E58" s="1313">
        <v>29</v>
      </c>
      <c r="F58" s="1313">
        <v>715891.95312135096</v>
      </c>
    </row>
    <row r="59" spans="1:6">
      <c r="A59" s="1312" t="s">
        <v>48</v>
      </c>
      <c r="B59" s="1312" t="s">
        <v>51</v>
      </c>
      <c r="C59" s="1313">
        <v>65</v>
      </c>
      <c r="D59" s="1313">
        <v>27039079.598693602</v>
      </c>
      <c r="E59" s="1313">
        <v>127</v>
      </c>
      <c r="F59" s="1313">
        <v>2500002.0820001601</v>
      </c>
    </row>
    <row r="60" spans="1:6">
      <c r="A60" s="1312" t="s">
        <v>48</v>
      </c>
      <c r="B60" s="1312" t="s">
        <v>52</v>
      </c>
      <c r="C60" s="1313">
        <v>47</v>
      </c>
      <c r="D60" s="1313">
        <v>2452823.8900872702</v>
      </c>
      <c r="E60" s="1313">
        <v>79</v>
      </c>
      <c r="F60" s="1313">
        <v>1266923.5706323599</v>
      </c>
    </row>
    <row r="61" spans="1:6">
      <c r="A61" s="1312" t="s">
        <v>48</v>
      </c>
      <c r="B61" s="1312" t="s">
        <v>53</v>
      </c>
      <c r="C61" s="1313">
        <v>91</v>
      </c>
      <c r="D61" s="1313">
        <v>2591469.7623225702</v>
      </c>
      <c r="E61" s="1313">
        <v>192</v>
      </c>
      <c r="F61" s="1313">
        <v>1997928.84792213</v>
      </c>
    </row>
    <row r="62" spans="1:6">
      <c r="A62" s="1312" t="s">
        <v>48</v>
      </c>
      <c r="B62" s="1312" t="s">
        <v>54</v>
      </c>
      <c r="C62" s="1313">
        <v>6</v>
      </c>
      <c r="D62" s="1313">
        <v>673755.81361060694</v>
      </c>
      <c r="E62" s="1313">
        <v>7</v>
      </c>
      <c r="F62" s="1313">
        <v>85137.574074913005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41517.332510038403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4</v>
      </c>
      <c r="D68" s="1316">
        <v>73567.275355581602</v>
      </c>
      <c r="E68" s="1316">
        <v>18</v>
      </c>
      <c r="F68" s="1316">
        <v>106801.37162841699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34768379</v>
      </c>
      <c r="E73" s="447"/>
      <c r="F73" s="326"/>
    </row>
    <row r="74" spans="1:6">
      <c r="A74" s="1312" t="s">
        <v>63</v>
      </c>
      <c r="B74" s="1312" t="s">
        <v>638</v>
      </c>
      <c r="C74" s="1326" t="s">
        <v>640</v>
      </c>
      <c r="D74" s="1327">
        <v>4016242.950007976</v>
      </c>
      <c r="E74" s="447"/>
      <c r="F74" s="326"/>
    </row>
    <row r="75" spans="1:6">
      <c r="A75" s="1312" t="s">
        <v>64</v>
      </c>
      <c r="B75" s="1312" t="s">
        <v>637</v>
      </c>
      <c r="C75" s="1326" t="s">
        <v>641</v>
      </c>
      <c r="D75" s="1327">
        <v>23943839</v>
      </c>
      <c r="E75" s="447"/>
      <c r="F75" s="326"/>
    </row>
    <row r="76" spans="1:6">
      <c r="A76" s="1312" t="s">
        <v>64</v>
      </c>
      <c r="B76" s="1312" t="s">
        <v>638</v>
      </c>
      <c r="C76" s="1326" t="s">
        <v>642</v>
      </c>
      <c r="D76" s="1327">
        <v>1881691.950007976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313408.09998404799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5714.28504150148</v>
      </c>
      <c r="C91" s="326"/>
      <c r="D91" s="326"/>
      <c r="E91" s="326"/>
      <c r="F91" s="326"/>
    </row>
    <row r="92" spans="1:6">
      <c r="A92" s="1307" t="s">
        <v>68</v>
      </c>
      <c r="B92" s="1308">
        <v>5193.4032317475112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1342</v>
      </c>
      <c r="C97" s="326"/>
      <c r="D97" s="326"/>
      <c r="E97" s="326"/>
      <c r="F97" s="326"/>
    </row>
    <row r="98" spans="1:6">
      <c r="A98" s="1312" t="s">
        <v>71</v>
      </c>
      <c r="B98" s="1313">
        <v>2</v>
      </c>
      <c r="C98" s="326"/>
      <c r="D98" s="326"/>
      <c r="E98" s="326"/>
      <c r="F98" s="326"/>
    </row>
    <row r="99" spans="1:6">
      <c r="A99" s="1312" t="s">
        <v>72</v>
      </c>
      <c r="B99" s="1313">
        <v>211</v>
      </c>
      <c r="C99" s="326"/>
      <c r="D99" s="326"/>
      <c r="E99" s="326"/>
      <c r="F99" s="326"/>
    </row>
    <row r="100" spans="1:6">
      <c r="A100" s="1312" t="s">
        <v>73</v>
      </c>
      <c r="B100" s="1313">
        <v>301</v>
      </c>
      <c r="C100" s="326"/>
      <c r="D100" s="326"/>
      <c r="E100" s="326"/>
      <c r="F100" s="326"/>
    </row>
    <row r="101" spans="1:6">
      <c r="A101" s="1312" t="s">
        <v>74</v>
      </c>
      <c r="B101" s="1313">
        <v>150</v>
      </c>
      <c r="C101" s="326"/>
      <c r="D101" s="326"/>
      <c r="E101" s="326"/>
      <c r="F101" s="326"/>
    </row>
    <row r="102" spans="1:6">
      <c r="A102" s="1312" t="s">
        <v>75</v>
      </c>
      <c r="B102" s="1313">
        <v>64</v>
      </c>
      <c r="C102" s="326"/>
      <c r="D102" s="326"/>
      <c r="E102" s="326"/>
      <c r="F102" s="326"/>
    </row>
    <row r="103" spans="1:6">
      <c r="A103" s="1312" t="s">
        <v>76</v>
      </c>
      <c r="B103" s="1313">
        <v>162</v>
      </c>
      <c r="C103" s="326"/>
      <c r="D103" s="326"/>
      <c r="E103" s="326"/>
      <c r="F103" s="326"/>
    </row>
    <row r="104" spans="1:6">
      <c r="A104" s="1312" t="s">
        <v>77</v>
      </c>
      <c r="B104" s="1313">
        <v>1769</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28</v>
      </c>
      <c r="C123" s="1313">
        <v>54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260</v>
      </c>
      <c r="C129" s="326"/>
      <c r="D129" s="326"/>
      <c r="E129" s="326"/>
      <c r="F129" s="326"/>
    </row>
    <row r="130" spans="1:6">
      <c r="A130" s="1312" t="s">
        <v>290</v>
      </c>
      <c r="B130" s="1313">
        <v>5</v>
      </c>
      <c r="C130" s="326"/>
      <c r="D130" s="326"/>
      <c r="E130" s="326"/>
      <c r="F130" s="326"/>
    </row>
    <row r="131" spans="1:6">
      <c r="A131" s="1312" t="s">
        <v>291</v>
      </c>
      <c r="B131" s="1313">
        <v>1</v>
      </c>
      <c r="C131" s="326"/>
      <c r="D131" s="326"/>
      <c r="E131" s="326"/>
      <c r="F131" s="326"/>
    </row>
    <row r="132" spans="1:6">
      <c r="A132" s="1307" t="s">
        <v>292</v>
      </c>
      <c r="B132" s="1308">
        <v>22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200635.64441796759</v>
      </c>
      <c r="C3" s="43" t="s">
        <v>169</v>
      </c>
      <c r="D3" s="43"/>
      <c r="E3" s="154"/>
      <c r="F3" s="43"/>
      <c r="G3" s="43"/>
      <c r="H3" s="43"/>
      <c r="I3" s="43"/>
      <c r="J3" s="43"/>
      <c r="K3" s="96"/>
    </row>
    <row r="4" spans="1:11">
      <c r="A4" s="354" t="s">
        <v>170</v>
      </c>
      <c r="B4" s="49">
        <f>IF(ISERROR('SEAP template'!B78+'SEAP template'!C78),0,'SEAP template'!B78+'SEAP template'!C78)</f>
        <v>61375.18827324899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11682.25411764706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0.2116214945195827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16688.934453781516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72096.428571428565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0.23148073745771164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681.58299999999997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681.58299999999997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0.2116214945195827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144.23761309914073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13512.388335236801</v>
      </c>
      <c r="C5" s="17">
        <f>IF(ISERROR('Eigen informatie GS &amp; warmtenet'!B59),0,'Eigen informatie GS &amp; warmtenet'!B59)</f>
        <v>0</v>
      </c>
      <c r="D5" s="30">
        <f>(SUM(HH_hh_gas_kWh,HH_rest_gas_kWh)/1000)*0.903</f>
        <v>33866.023966866545</v>
      </c>
      <c r="E5" s="17">
        <f>B32*B41</f>
        <v>1346.6333711551326</v>
      </c>
      <c r="F5" s="17">
        <f>B36*B45</f>
        <v>29500.165712722061</v>
      </c>
      <c r="G5" s="18"/>
      <c r="H5" s="17"/>
      <c r="I5" s="17"/>
      <c r="J5" s="17">
        <f>B35*B44+C35*C44</f>
        <v>168.12467094079597</v>
      </c>
      <c r="K5" s="17"/>
      <c r="L5" s="17"/>
      <c r="M5" s="17"/>
      <c r="N5" s="17">
        <f>B34*B43+C34*C43</f>
        <v>6370.2193006195175</v>
      </c>
      <c r="O5" s="17">
        <f>B52*B53*B54</f>
        <v>624.94683910691504</v>
      </c>
      <c r="P5" s="17">
        <f>B60*B61*B62/1000-B60*B61*B62/1000/B63</f>
        <v>537.23192469193623</v>
      </c>
    </row>
    <row r="6" spans="1:16">
      <c r="A6" s="16" t="s">
        <v>603</v>
      </c>
      <c r="B6" s="780">
        <f>kWh_PV_kleiner_dan_10kW</f>
        <v>5714.28504150148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19226.673376738283</v>
      </c>
      <c r="C8" s="21">
        <f>C5</f>
        <v>0</v>
      </c>
      <c r="D8" s="21">
        <f>D5</f>
        <v>33866.023966866545</v>
      </c>
      <c r="E8" s="21">
        <f>E5</f>
        <v>1346.6333711551326</v>
      </c>
      <c r="F8" s="21">
        <f>F5</f>
        <v>29500.165712722061</v>
      </c>
      <c r="G8" s="21"/>
      <c r="H8" s="21"/>
      <c r="I8" s="21"/>
      <c r="J8" s="21">
        <f>J5</f>
        <v>168.12467094079597</v>
      </c>
      <c r="K8" s="21"/>
      <c r="L8" s="21">
        <f>L5</f>
        <v>0</v>
      </c>
      <c r="M8" s="21">
        <f>M5</f>
        <v>0</v>
      </c>
      <c r="N8" s="21">
        <f>N5</f>
        <v>6370.2193006195175</v>
      </c>
      <c r="O8" s="21">
        <f>O5</f>
        <v>624.94683910691504</v>
      </c>
      <c r="P8" s="21">
        <f>P5</f>
        <v>537.23192469193623</v>
      </c>
    </row>
    <row r="9" spans="1:16">
      <c r="B9" s="19"/>
      <c r="C9" s="19"/>
      <c r="D9" s="254"/>
      <c r="E9" s="19"/>
      <c r="F9" s="19"/>
      <c r="G9" s="19"/>
      <c r="H9" s="19"/>
      <c r="I9" s="19"/>
      <c r="J9" s="19"/>
      <c r="K9" s="19"/>
      <c r="L9" s="19"/>
      <c r="M9" s="19"/>
      <c r="N9" s="19"/>
      <c r="O9" s="19"/>
      <c r="P9" s="19"/>
    </row>
    <row r="10" spans="1:16">
      <c r="A10" s="24" t="s">
        <v>213</v>
      </c>
      <c r="B10" s="25">
        <f ca="1">'EF ele_warmte'!B12</f>
        <v>0.2116214945195827</v>
      </c>
      <c r="C10" s="25">
        <f ca="1">'EF ele_warmte'!B22</f>
        <v>0.23148073745771164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4068.7773546252274</v>
      </c>
      <c r="C12" s="23">
        <f ca="1">C10*C8</f>
        <v>0</v>
      </c>
      <c r="D12" s="23">
        <f>D8*D10</f>
        <v>6840.9368413070424</v>
      </c>
      <c r="E12" s="23">
        <f>E10*E8</f>
        <v>305.68577525221514</v>
      </c>
      <c r="F12" s="23">
        <f>F10*F8</f>
        <v>7876.5442452967909</v>
      </c>
      <c r="G12" s="23"/>
      <c r="H12" s="23"/>
      <c r="I12" s="23"/>
      <c r="J12" s="23">
        <f>J10*J8</f>
        <v>59.516133513041765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4689</v>
      </c>
      <c r="C26" s="36"/>
      <c r="D26" s="225"/>
    </row>
    <row r="27" spans="1:5" s="15" customFormat="1">
      <c r="A27" s="227" t="s">
        <v>866</v>
      </c>
      <c r="B27" s="37">
        <f>SUM(HH_hh_gas_aantal,HH_rest_gas_aantal)</f>
        <v>2649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2516.5500000000002</v>
      </c>
      <c r="C31" s="34" t="s">
        <v>110</v>
      </c>
      <c r="D31" s="171"/>
    </row>
    <row r="32" spans="1:5">
      <c r="A32" s="168" t="s">
        <v>72</v>
      </c>
      <c r="B32" s="33">
        <f>IF((B21*($B$26-($B$27-0.05*$B$27)-$B$60))&lt;0,0,(B21*($B$26-($B$27-0.05*$B$27)-$B$60)))</f>
        <v>33.678440269247766</v>
      </c>
      <c r="C32" s="34" t="s">
        <v>110</v>
      </c>
      <c r="D32" s="171"/>
    </row>
    <row r="33" spans="1:6">
      <c r="A33" s="168" t="s">
        <v>73</v>
      </c>
      <c r="B33" s="33">
        <f>IF((B22*($B$26-($B$27-0.05*$B$27)-$B$60))&lt;0,0,B22*($B$26-($B$27-0.05*$B$27)-$B$60))</f>
        <v>546.87116908952896</v>
      </c>
      <c r="C33" s="34" t="s">
        <v>110</v>
      </c>
      <c r="D33" s="171"/>
    </row>
    <row r="34" spans="1:6">
      <c r="A34" s="168" t="s">
        <v>74</v>
      </c>
      <c r="B34" s="33">
        <f>IF((B24*($B$26-($B$27-0.05*$B$27)-$B$60))&lt;0,0,B24*($B$26-($B$27-0.05*$B$27)-$B$60))</f>
        <v>104.84252159824813</v>
      </c>
      <c r="C34" s="33">
        <f>B26*C24</f>
        <v>960.80395175288561</v>
      </c>
      <c r="D34" s="230"/>
    </row>
    <row r="35" spans="1:6">
      <c r="A35" s="168" t="s">
        <v>76</v>
      </c>
      <c r="B35" s="33">
        <f>IF((B19*($B$26-($B$27-0.05*$B$27)-$B$60))&lt;0,0,B19*($B$26-($B$27-0.05*$B$27)-$B$60))</f>
        <v>14.639937693442707</v>
      </c>
      <c r="C35" s="33">
        <f>B35/2</f>
        <v>7.3199688467213537</v>
      </c>
      <c r="D35" s="230"/>
    </row>
    <row r="36" spans="1:6">
      <c r="A36" s="168" t="s">
        <v>77</v>
      </c>
      <c r="B36" s="33">
        <f>IF((B18*($B$26-($B$27-0.05*$B$27)-$B$60))&lt;0,0,B18*($B$26-($B$27-0.05*$B$27)-$B$60))</f>
        <v>1421.4179313495317</v>
      </c>
      <c r="C36" s="34" t="s">
        <v>110</v>
      </c>
      <c r="D36" s="171"/>
    </row>
    <row r="37" spans="1:6">
      <c r="A37" s="168" t="s">
        <v>78</v>
      </c>
      <c r="B37" s="33">
        <f>B60</f>
        <v>51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9907.2315341026842</v>
      </c>
      <c r="C5" s="17">
        <f>IF(ISERROR('Eigen informatie GS &amp; warmtenet'!B60),0,'Eigen informatie GS &amp; warmtenet'!B60)</f>
        <v>0</v>
      </c>
      <c r="D5" s="30">
        <f>SUM(D6:D12)</f>
        <v>32410.365646816936</v>
      </c>
      <c r="E5" s="17">
        <f>SUM(E6:E12)</f>
        <v>63.77901751370149</v>
      </c>
      <c r="F5" s="17">
        <f>SUM(F6:F12)</f>
        <v>3658.2166335597121</v>
      </c>
      <c r="G5" s="18"/>
      <c r="H5" s="17"/>
      <c r="I5" s="17"/>
      <c r="J5" s="17">
        <f>SUM(J6:J12)</f>
        <v>3.3794963784077814E-2</v>
      </c>
      <c r="K5" s="17"/>
      <c r="L5" s="17"/>
      <c r="M5" s="17"/>
      <c r="N5" s="17">
        <f>SUM(N6:N12)</f>
        <v>1287.3360850694939</v>
      </c>
      <c r="O5" s="17">
        <f>B38*B39*B40</f>
        <v>24.486303829205774</v>
      </c>
      <c r="P5" s="17">
        <f>B46*B47*B48/1000-B46*B47*B48/1000/B49</f>
        <v>210.15655322598008</v>
      </c>
      <c r="R5" s="32"/>
    </row>
    <row r="6" spans="1:18">
      <c r="A6" s="32" t="s">
        <v>53</v>
      </c>
      <c r="B6" s="37">
        <f>B26</f>
        <v>1997.92884792213</v>
      </c>
      <c r="C6" s="33"/>
      <c r="D6" s="37">
        <f>IF(ISERROR(TER_kantoor_gas_kWh/1000),0,TER_kantoor_gas_kWh/1000)*0.903</f>
        <v>2340.097195377281</v>
      </c>
      <c r="E6" s="33">
        <f>$C$26*'E Balans VL '!I12/100/3.6*1000000</f>
        <v>0.47604755615095173</v>
      </c>
      <c r="F6" s="33">
        <f>$C$26*('E Balans VL '!L12+'E Balans VL '!N12)/100/3.6*1000000</f>
        <v>173.53969245062183</v>
      </c>
      <c r="G6" s="34"/>
      <c r="H6" s="33"/>
      <c r="I6" s="33"/>
      <c r="J6" s="33">
        <f>$C$26*('E Balans VL '!D12+'E Balans VL '!E12)/100/3.6*1000000</f>
        <v>0</v>
      </c>
      <c r="K6" s="33"/>
      <c r="L6" s="33"/>
      <c r="M6" s="33"/>
      <c r="N6" s="33">
        <f>$C$26*'E Balans VL '!Y12/100/3.6*1000000</f>
        <v>2.6705114158914407</v>
      </c>
      <c r="O6" s="33"/>
      <c r="P6" s="33"/>
      <c r="R6" s="32"/>
    </row>
    <row r="7" spans="1:18">
      <c r="A7" s="32" t="s">
        <v>52</v>
      </c>
      <c r="B7" s="37">
        <f t="shared" ref="B7:B12" si="0">B27</f>
        <v>1266.92357063236</v>
      </c>
      <c r="C7" s="33"/>
      <c r="D7" s="37">
        <f>IF(ISERROR(TER_horeca_gas_kWh/1000),0,TER_horeca_gas_kWh/1000)*0.903</f>
        <v>2214.8999727488049</v>
      </c>
      <c r="E7" s="33">
        <f>$C$27*'E Balans VL '!I9/100/3.6*1000000</f>
        <v>0</v>
      </c>
      <c r="F7" s="33">
        <f>$C$27*('E Balans VL '!L9+'E Balans VL '!N9)/100/3.6*1000000</f>
        <v>103.23134296510524</v>
      </c>
      <c r="G7" s="34"/>
      <c r="H7" s="33"/>
      <c r="I7" s="33"/>
      <c r="J7" s="33">
        <f>$C$27*('E Balans VL '!D9+'E Balans VL '!E9)/100/3.6*1000000</f>
        <v>0</v>
      </c>
      <c r="K7" s="33"/>
      <c r="L7" s="33"/>
      <c r="M7" s="33"/>
      <c r="N7" s="33">
        <f>$C$27*'E Balans VL '!Y9/100/3.6*1000000</f>
        <v>0.35091424230464702</v>
      </c>
      <c r="O7" s="33"/>
      <c r="P7" s="33"/>
      <c r="R7" s="32"/>
    </row>
    <row r="8" spans="1:18">
      <c r="A8" s="6" t="s">
        <v>51</v>
      </c>
      <c r="B8" s="37">
        <f t="shared" si="0"/>
        <v>2500.00208200016</v>
      </c>
      <c r="C8" s="33"/>
      <c r="D8" s="37">
        <f>IF(ISERROR(TER_handel_gas_kWh/1000),0,TER_handel_gas_kWh/1000)*0.903</f>
        <v>24416.288877620325</v>
      </c>
      <c r="E8" s="33">
        <f>$C$28*'E Balans VL '!I13/100/3.6*1000000</f>
        <v>19.984053139255661</v>
      </c>
      <c r="F8" s="33">
        <f>$C$28*('E Balans VL '!L13+'E Balans VL '!N13)/100/3.6*1000000</f>
        <v>248.35966592704204</v>
      </c>
      <c r="G8" s="34"/>
      <c r="H8" s="33"/>
      <c r="I8" s="33"/>
      <c r="J8" s="33">
        <f>$C$28*('E Balans VL '!D13+'E Balans VL '!E13)/100/3.6*1000000</f>
        <v>0</v>
      </c>
      <c r="K8" s="33"/>
      <c r="L8" s="33"/>
      <c r="M8" s="33"/>
      <c r="N8" s="33">
        <f>$C$28*'E Balans VL '!Y13/100/3.6*1000000</f>
        <v>0.9338995876562961</v>
      </c>
      <c r="O8" s="33"/>
      <c r="P8" s="33"/>
      <c r="R8" s="32"/>
    </row>
    <row r="9" spans="1:18">
      <c r="A9" s="32" t="s">
        <v>50</v>
      </c>
      <c r="B9" s="37">
        <f t="shared" si="0"/>
        <v>715.89195312135098</v>
      </c>
      <c r="C9" s="33"/>
      <c r="D9" s="37">
        <f>IF(ISERROR(TER_gezond_gas_kWh/1000),0,TER_gezond_gas_kWh/1000)*0.903</f>
        <v>1672.9844673528148</v>
      </c>
      <c r="E9" s="33">
        <f>$C$29*'E Balans VL '!I10/100/3.6*1000000</f>
        <v>0</v>
      </c>
      <c r="F9" s="33">
        <f>$C$29*('E Balans VL '!L10+'E Balans VL '!N10)/100/3.6*1000000</f>
        <v>65.265217485116011</v>
      </c>
      <c r="G9" s="34"/>
      <c r="H9" s="33"/>
      <c r="I9" s="33"/>
      <c r="J9" s="33">
        <f>$C$29*('E Balans VL '!D10+'E Balans VL '!E10)/100/3.6*1000000</f>
        <v>0</v>
      </c>
      <c r="K9" s="33"/>
      <c r="L9" s="33"/>
      <c r="M9" s="33"/>
      <c r="N9" s="33">
        <f>$C$29*'E Balans VL '!Y10/100/3.6*1000000</f>
        <v>5.232528623553053</v>
      </c>
      <c r="O9" s="33"/>
      <c r="P9" s="33"/>
      <c r="R9" s="32"/>
    </row>
    <row r="10" spans="1:18">
      <c r="A10" s="32" t="s">
        <v>49</v>
      </c>
      <c r="B10" s="37">
        <f t="shared" si="0"/>
        <v>3341.3475063517699</v>
      </c>
      <c r="C10" s="33"/>
      <c r="D10" s="37">
        <f>IF(ISERROR(TER_ander_gas_kWh/1000),0,TER_ander_gas_kWh/1000)*0.903</f>
        <v>1157.6936340273296</v>
      </c>
      <c r="E10" s="33">
        <f>$C$30*'E Balans VL '!I14/100/3.6*1000000</f>
        <v>43.31891681829488</v>
      </c>
      <c r="F10" s="33">
        <f>$C$30*('E Balans VL '!L14+'E Balans VL '!N14)/100/3.6*1000000</f>
        <v>3064.484797422012</v>
      </c>
      <c r="G10" s="34"/>
      <c r="H10" s="33"/>
      <c r="I10" s="33"/>
      <c r="J10" s="33">
        <f>$C$30*('E Balans VL '!D14+'E Balans VL '!E14)/100/3.6*1000000</f>
        <v>3.3794963784077814E-2</v>
      </c>
      <c r="K10" s="33"/>
      <c r="L10" s="33"/>
      <c r="M10" s="33"/>
      <c r="N10" s="33">
        <f>$C$30*'E Balans VL '!Y14/100/3.6*1000000</f>
        <v>1277.8801119441455</v>
      </c>
      <c r="O10" s="33"/>
      <c r="P10" s="33"/>
      <c r="R10" s="32"/>
    </row>
    <row r="11" spans="1:18">
      <c r="A11" s="32" t="s">
        <v>54</v>
      </c>
      <c r="B11" s="37">
        <f t="shared" si="0"/>
        <v>85.137574074913005</v>
      </c>
      <c r="C11" s="33"/>
      <c r="D11" s="37">
        <f>IF(ISERROR(TER_onderwijs_gas_kWh/1000),0,TER_onderwijs_gas_kWh/1000)*0.903</f>
        <v>608.40149969037816</v>
      </c>
      <c r="E11" s="33">
        <f>$C$31*'E Balans VL '!I11/100/3.6*1000000</f>
        <v>0</v>
      </c>
      <c r="F11" s="33">
        <f>$C$31*('E Balans VL '!L11+'E Balans VL '!N11)/100/3.6*1000000</f>
        <v>3.3359173098152164</v>
      </c>
      <c r="G11" s="34"/>
      <c r="H11" s="33"/>
      <c r="I11" s="33"/>
      <c r="J11" s="33">
        <f>$C$31*('E Balans VL '!D11+'E Balans VL '!E11)/100/3.6*1000000</f>
        <v>0</v>
      </c>
      <c r="K11" s="33"/>
      <c r="L11" s="33"/>
      <c r="M11" s="33"/>
      <c r="N11" s="33">
        <f>$C$31*'E Balans VL '!Y11/100/3.6*1000000</f>
        <v>0.26811925594296021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energieproductie'!N43+'lokale energieproductie'!N36</f>
        <v>0</v>
      </c>
      <c r="C13" s="243">
        <f ca="1">'lokale energieproductie'!O43+'lokale energieproductie'!O36</f>
        <v>0</v>
      </c>
      <c r="D13" s="304">
        <f ca="1">('lokale energieproductie'!P36+'lokale energieproductie'!P43)*(-1)</f>
        <v>0</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9907.2315341026842</v>
      </c>
      <c r="C16" s="21">
        <f t="shared" ca="1" si="1"/>
        <v>0</v>
      </c>
      <c r="D16" s="21">
        <f t="shared" ca="1" si="1"/>
        <v>32410.365646816936</v>
      </c>
      <c r="E16" s="21">
        <f t="shared" si="1"/>
        <v>63.77901751370149</v>
      </c>
      <c r="F16" s="21">
        <f t="shared" ca="1" si="1"/>
        <v>3658.2166335597121</v>
      </c>
      <c r="G16" s="21">
        <f t="shared" si="1"/>
        <v>0</v>
      </c>
      <c r="H16" s="21">
        <f t="shared" si="1"/>
        <v>0</v>
      </c>
      <c r="I16" s="21">
        <f t="shared" si="1"/>
        <v>0</v>
      </c>
      <c r="J16" s="21">
        <f t="shared" si="1"/>
        <v>3.3794963784077814E-2</v>
      </c>
      <c r="K16" s="21">
        <f t="shared" si="1"/>
        <v>0</v>
      </c>
      <c r="L16" s="21">
        <f t="shared" ca="1" si="1"/>
        <v>0</v>
      </c>
      <c r="M16" s="21">
        <f t="shared" si="1"/>
        <v>0</v>
      </c>
      <c r="N16" s="21">
        <f t="shared" ca="1" si="1"/>
        <v>1287.3360850694939</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0.2116214945195827</v>
      </c>
      <c r="C18" s="25">
        <f ca="1">'EF ele_warmte'!B22</f>
        <v>0.23148073745771164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2096.5831437983479</v>
      </c>
      <c r="C20" s="23">
        <f t="shared" ref="C20:P20" ca="1" si="2">C16*C18</f>
        <v>0</v>
      </c>
      <c r="D20" s="23">
        <f t="shared" ca="1" si="2"/>
        <v>6546.8938606570218</v>
      </c>
      <c r="E20" s="23">
        <f t="shared" si="2"/>
        <v>14.477836975610238</v>
      </c>
      <c r="F20" s="23">
        <f t="shared" ca="1" si="2"/>
        <v>976.74384116044314</v>
      </c>
      <c r="G20" s="23">
        <f t="shared" si="2"/>
        <v>0</v>
      </c>
      <c r="H20" s="23">
        <f t="shared" si="2"/>
        <v>0</v>
      </c>
      <c r="I20" s="23">
        <f t="shared" si="2"/>
        <v>0</v>
      </c>
      <c r="J20" s="23">
        <f t="shared" si="2"/>
        <v>1.1963417179563545E-2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1997.92884792213</v>
      </c>
      <c r="C26" s="39">
        <f>IF(ISERROR(B26*3.6/1000000/'E Balans VL '!Z12*100),0,B26*3.6/1000000/'E Balans VL '!Z12*100)</f>
        <v>5.7320390631579204E-2</v>
      </c>
      <c r="D26" s="233" t="s">
        <v>841</v>
      </c>
      <c r="F26" s="6"/>
    </row>
    <row r="27" spans="1:18" ht="30">
      <c r="A27" s="228" t="s">
        <v>52</v>
      </c>
      <c r="B27" s="33">
        <f>IF(ISERROR(TER_horeca_ele_kWh/1000),0,TER_horeca_ele_kWh/1000)</f>
        <v>1266.92357063236</v>
      </c>
      <c r="C27" s="39">
        <f>IF(ISERROR(B27*3.6/1000000/'E Balans VL '!Z9*100),0,B27*3.6/1000000/'E Balans VL '!Z9*100)</f>
        <v>9.2815269320522545E-2</v>
      </c>
      <c r="D27" s="233" t="s">
        <v>841</v>
      </c>
      <c r="F27" s="6"/>
    </row>
    <row r="28" spans="1:18" ht="30">
      <c r="A28" s="168" t="s">
        <v>51</v>
      </c>
      <c r="B28" s="33">
        <f>IF(ISERROR(TER_handel_ele_kWh/1000),0,TER_handel_ele_kWh/1000)</f>
        <v>2500.00208200016</v>
      </c>
      <c r="C28" s="39">
        <f>IF(ISERROR(B28*3.6/1000000/'E Balans VL '!Z13*100),0,B28*3.6/1000000/'E Balans VL '!Z13*100)</f>
        <v>7.7252172963902743E-2</v>
      </c>
      <c r="D28" s="233" t="s">
        <v>841</v>
      </c>
      <c r="F28" s="6"/>
    </row>
    <row r="29" spans="1:18" ht="30">
      <c r="A29" s="228" t="s">
        <v>50</v>
      </c>
      <c r="B29" s="33">
        <f>IF(ISERROR(TER_gezond_ele_kWh/1000),0,TER_gezond_ele_kWh/1000)</f>
        <v>715.89195312135098</v>
      </c>
      <c r="C29" s="39">
        <f>IF(ISERROR(B29*3.6/1000000/'E Balans VL '!Z10*100),0,B29*3.6/1000000/'E Balans VL '!Z10*100)</f>
        <v>7.0161813393296107E-2</v>
      </c>
      <c r="D29" s="233" t="s">
        <v>841</v>
      </c>
      <c r="F29" s="6"/>
    </row>
    <row r="30" spans="1:18" ht="30">
      <c r="A30" s="228" t="s">
        <v>49</v>
      </c>
      <c r="B30" s="33">
        <f>IF(ISERROR(TER_ander_ele_kWh/1000),0,TER_ander_ele_kWh/1000)</f>
        <v>3341.3475063517699</v>
      </c>
      <c r="C30" s="39">
        <f>IF(ISERROR(B30*3.6/1000000/'E Balans VL '!Z14*100),0,B30*3.6/1000000/'E Balans VL '!Z14*100)</f>
        <v>0.13840940798939719</v>
      </c>
      <c r="D30" s="233" t="s">
        <v>841</v>
      </c>
      <c r="F30" s="6"/>
    </row>
    <row r="31" spans="1:18" ht="30">
      <c r="A31" s="228" t="s">
        <v>54</v>
      </c>
      <c r="B31" s="33">
        <f>IF(ISERROR(TER_onderwijs_ele_kWh/1000),0,TER_onderwijs_ele_kWh/1000)</f>
        <v>85.137574074913005</v>
      </c>
      <c r="C31" s="39">
        <f>IF(ISERROR(B31*3.6/1000000/'E Balans VL '!Z11*100),0,B31*3.6/1000000/'E Balans VL '!Z11*100)</f>
        <v>2.6160188107901175E-2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155171.25355339469</v>
      </c>
      <c r="C5" s="17">
        <f>IF(ISERROR('Eigen informatie GS &amp; warmtenet'!B61),0,'Eigen informatie GS &amp; warmtenet'!B61)</f>
        <v>0</v>
      </c>
      <c r="D5" s="30">
        <f>SUM(D6:D15)</f>
        <v>88317.026493627505</v>
      </c>
      <c r="E5" s="17">
        <f>SUM(E6:E15)</f>
        <v>353.0792626615127</v>
      </c>
      <c r="F5" s="17">
        <f>SUM(F6:F15)</f>
        <v>5159.5235150596154</v>
      </c>
      <c r="G5" s="18"/>
      <c r="H5" s="17"/>
      <c r="I5" s="17"/>
      <c r="J5" s="17">
        <f>SUM(J6:J15)</f>
        <v>4.5190165150689623</v>
      </c>
      <c r="K5" s="17"/>
      <c r="L5" s="17"/>
      <c r="M5" s="17"/>
      <c r="N5" s="17">
        <f>SUM(N6:N15)</f>
        <v>6090.2869932725498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4379.7398086304902</v>
      </c>
      <c r="C8" s="33"/>
      <c r="D8" s="37">
        <f>IF( ISERROR(IND_metaal_Gas_kWH/1000),0,IND_metaal_Gas_kWH/1000)*0.903</f>
        <v>6915.2627038938799</v>
      </c>
      <c r="E8" s="33">
        <f>C30*'E Balans VL '!I18/100/3.6*1000000</f>
        <v>23.874644749993468</v>
      </c>
      <c r="F8" s="33">
        <f>C30*'E Balans VL '!L18/100/3.6*1000000+C30*'E Balans VL '!N18/100/3.6*1000000</f>
        <v>282.05557821216217</v>
      </c>
      <c r="G8" s="34"/>
      <c r="H8" s="33"/>
      <c r="I8" s="33"/>
      <c r="J8" s="40">
        <f>C30*'E Balans VL '!D18/100/3.6*1000000+C30*'E Balans VL '!E18/100/3.6*1000000</f>
        <v>3.587541136957737</v>
      </c>
      <c r="K8" s="33"/>
      <c r="L8" s="33"/>
      <c r="M8" s="33"/>
      <c r="N8" s="33">
        <f>C30*'E Balans VL '!Y18/100/3.6*1000000</f>
        <v>94.62138444698445</v>
      </c>
      <c r="O8" s="33"/>
      <c r="P8" s="33"/>
      <c r="R8" s="32"/>
    </row>
    <row r="9" spans="1:18">
      <c r="A9" s="6" t="s">
        <v>32</v>
      </c>
      <c r="B9" s="37">
        <f t="shared" si="0"/>
        <v>3056.1556588284802</v>
      </c>
      <c r="C9" s="33"/>
      <c r="D9" s="37">
        <f>IF( ISERROR(IND_andere_gas_kWh/1000),0,IND_andere_gas_kWh/1000)*0.903</f>
        <v>2414.0337544390181</v>
      </c>
      <c r="E9" s="33">
        <f>C31*'E Balans VL '!I19/100/3.6*1000000</f>
        <v>9.8657909317051455</v>
      </c>
      <c r="F9" s="33">
        <f>C31*'E Balans VL '!L19/100/3.6*1000000+C31*'E Balans VL '!N19/100/3.6*1000000</f>
        <v>1976.1342400081221</v>
      </c>
      <c r="G9" s="34"/>
      <c r="H9" s="33"/>
      <c r="I9" s="33"/>
      <c r="J9" s="40">
        <f>C31*'E Balans VL '!D19/100/3.6*1000000+C31*'E Balans VL '!E19/100/3.6*1000000</f>
        <v>0</v>
      </c>
      <c r="K9" s="33"/>
      <c r="L9" s="33"/>
      <c r="M9" s="33"/>
      <c r="N9" s="33">
        <f>C31*'E Balans VL '!Y19/100/3.6*1000000</f>
        <v>123.49572000387739</v>
      </c>
      <c r="O9" s="33"/>
      <c r="P9" s="33"/>
      <c r="R9" s="32"/>
    </row>
    <row r="10" spans="1:18">
      <c r="A10" s="6" t="s">
        <v>40</v>
      </c>
      <c r="B10" s="37">
        <f t="shared" si="0"/>
        <v>147490.16178488499</v>
      </c>
      <c r="C10" s="33"/>
      <c r="D10" s="37">
        <f>IF( ISERROR(IND_voed_gas_kWh/1000),0,IND_voed_gas_kWh/1000)*0.903</f>
        <v>78695.261978732582</v>
      </c>
      <c r="E10" s="33">
        <f>C32*'E Balans VL '!I20/100/3.6*1000000</f>
        <v>309.17552504003612</v>
      </c>
      <c r="F10" s="33">
        <f>C32*'E Balans VL '!L20/100/3.6*1000000+C32*'E Balans VL '!N20/100/3.6*1000000</f>
        <v>2873.6180594504503</v>
      </c>
      <c r="G10" s="34"/>
      <c r="H10" s="33"/>
      <c r="I10" s="33"/>
      <c r="J10" s="40">
        <f>C32*'E Balans VL '!D20/100/3.6*1000000+C32*'E Balans VL '!E20/100/3.6*1000000</f>
        <v>0</v>
      </c>
      <c r="K10" s="33"/>
      <c r="L10" s="33"/>
      <c r="M10" s="33"/>
      <c r="N10" s="33">
        <f>C32*'E Balans VL '!Y20/100/3.6*1000000</f>
        <v>5866.7497331463246</v>
      </c>
      <c r="O10" s="33"/>
      <c r="P10" s="33"/>
      <c r="R10" s="32"/>
    </row>
    <row r="11" spans="1:18">
      <c r="A11" s="6" t="s">
        <v>39</v>
      </c>
      <c r="B11" s="37">
        <f t="shared" si="0"/>
        <v>73.638639557091409</v>
      </c>
      <c r="C11" s="33"/>
      <c r="D11" s="37">
        <f>IF( ISERROR(IND_textiel_gas_kWh/1000),0,IND_textiel_gas_kWh/1000)*0.903</f>
        <v>271.01170475933617</v>
      </c>
      <c r="E11" s="33">
        <f>C33*'E Balans VL '!I21/100/3.6*1000000</f>
        <v>6.3275469358945916E-2</v>
      </c>
      <c r="F11" s="33">
        <f>C33*'E Balans VL '!L21/100/3.6*1000000+C33*'E Balans VL '!N21/100/3.6*1000000</f>
        <v>1.5439105065436904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171.55766149365098</v>
      </c>
      <c r="C15" s="33"/>
      <c r="D15" s="37">
        <f>IF( ISERROR(IND_rest_gas_kWh/1000),0,IND_rest_gas_kWh/1000)*0.903</f>
        <v>21.45635180268426</v>
      </c>
      <c r="E15" s="33">
        <f>C37*'E Balans VL '!I15/100/3.6*1000000</f>
        <v>10.100026470419039</v>
      </c>
      <c r="F15" s="33">
        <f>C37*'E Balans VL '!L15/100/3.6*1000000+C37*'E Balans VL '!N15/100/3.6*1000000</f>
        <v>26.171726882337104</v>
      </c>
      <c r="G15" s="34"/>
      <c r="H15" s="33"/>
      <c r="I15" s="33"/>
      <c r="J15" s="40">
        <f>C37*'E Balans VL '!D15/100/3.6*1000000+C37*'E Balans VL '!E15/100/3.6*1000000</f>
        <v>0.93147537811122549</v>
      </c>
      <c r="K15" s="33"/>
      <c r="L15" s="33"/>
      <c r="M15" s="33"/>
      <c r="N15" s="33">
        <f>C37*'E Balans VL '!Y15/100/3.6*1000000</f>
        <v>5.4201556753631186</v>
      </c>
      <c r="O15" s="33"/>
      <c r="P15" s="33"/>
      <c r="R15" s="32"/>
    </row>
    <row r="16" spans="1:18">
      <c r="A16" s="16" t="s">
        <v>473</v>
      </c>
      <c r="B16" s="243">
        <f>'lokale energieproductie'!N42+'lokale energieproductie'!N35</f>
        <v>5805</v>
      </c>
      <c r="C16" s="243">
        <f>'lokale energieproductie'!O42+'lokale energieproductie'!O35</f>
        <v>8292.8571428571431</v>
      </c>
      <c r="D16" s="304">
        <f>('lokale energieproductie'!P35+'lokale energieproductie'!P42)*(-1)</f>
        <v>-12844.285714285716</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-3741.4285714285716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160976.25355339469</v>
      </c>
      <c r="C18" s="21">
        <f>C5+C16</f>
        <v>8292.8571428571431</v>
      </c>
      <c r="D18" s="21">
        <f>MAX((D5+D16),0)</f>
        <v>75472.740779341795</v>
      </c>
      <c r="E18" s="21">
        <f>MAX((E5+E16),0)</f>
        <v>353.0792626615127</v>
      </c>
      <c r="F18" s="21">
        <f>MAX((F5+F16),0)</f>
        <v>5159.5235150596154</v>
      </c>
      <c r="G18" s="21"/>
      <c r="H18" s="21"/>
      <c r="I18" s="21"/>
      <c r="J18" s="21">
        <f>MAX((J5+J16),0)</f>
        <v>4.5190165150689623</v>
      </c>
      <c r="K18" s="21"/>
      <c r="L18" s="21">
        <f>MAX((L5+L16),0)</f>
        <v>0</v>
      </c>
      <c r="M18" s="21"/>
      <c r="N18" s="21">
        <f>MAX((N5+N16),0)</f>
        <v>2348.8584218439782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0.2116214945195827</v>
      </c>
      <c r="C20" s="25">
        <f ca="1">'EF ele_warmte'!B22</f>
        <v>0.23148073745771164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34066.035359132671</v>
      </c>
      <c r="C22" s="23">
        <f ca="1">C18*C20</f>
        <v>1919.636687060023</v>
      </c>
      <c r="D22" s="23">
        <f>D18*D20</f>
        <v>15245.493637427044</v>
      </c>
      <c r="E22" s="23">
        <f>E18*E20</f>
        <v>80.148992624163384</v>
      </c>
      <c r="F22" s="23">
        <f>F18*F20</f>
        <v>1377.5927785209174</v>
      </c>
      <c r="G22" s="23"/>
      <c r="H22" s="23"/>
      <c r="I22" s="23"/>
      <c r="J22" s="23">
        <f>J18*J20</f>
        <v>1.5997318463344126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4379.7398086304902</v>
      </c>
      <c r="C30" s="39">
        <f>IF(ISERROR(B30*3.6/1000000/'E Balans VL '!Z18*100),0,B30*3.6/1000000/'E Balans VL '!Z18*100)</f>
        <v>0.26373592185109029</v>
      </c>
      <c r="D30" s="233" t="s">
        <v>841</v>
      </c>
    </row>
    <row r="31" spans="1:18" ht="30">
      <c r="A31" s="6" t="s">
        <v>32</v>
      </c>
      <c r="B31" s="37">
        <f>IF( ISERROR(IND_ander_ele_kWh/1000),0,IND_ander_ele_kWh/1000)</f>
        <v>3056.1556588284802</v>
      </c>
      <c r="C31" s="39">
        <f>IF(ISERROR(B31*3.6/1000000/'E Balans VL '!Z19*100),0,B31*3.6/1000000/'E Balans VL '!Z19*100)</f>
        <v>0.12451410851100188</v>
      </c>
      <c r="D31" s="233" t="s">
        <v>841</v>
      </c>
    </row>
    <row r="32" spans="1:18" ht="30">
      <c r="A32" s="168" t="s">
        <v>40</v>
      </c>
      <c r="B32" s="37">
        <f>IF( ISERROR(IND_voed_ele_kWh/1000),0,IND_voed_ele_kWh/1000)</f>
        <v>147490.16178488499</v>
      </c>
      <c r="C32" s="39">
        <f>IF(ISERROR(B32*3.6/1000000/'E Balans VL '!Z20*100),0,B32*3.6/1000000/'E Balans VL '!Z20*100)</f>
        <v>4.2645341219633588</v>
      </c>
      <c r="D32" s="233" t="s">
        <v>841</v>
      </c>
    </row>
    <row r="33" spans="1:5" ht="30">
      <c r="A33" s="168" t="s">
        <v>39</v>
      </c>
      <c r="B33" s="37">
        <f>IF( ISERROR(IND_textiel_ele_kWh/1000),0,IND_textiel_ele_kWh/1000)</f>
        <v>73.638639557091409</v>
      </c>
      <c r="C33" s="39">
        <f>IF(ISERROR(B33*3.6/1000000/'E Balans VL '!Z21*100),0,B33*3.6/1000000/'E Balans VL '!Z21*100)</f>
        <v>1.2110137676353284E-2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171.55766149365098</v>
      </c>
      <c r="C37" s="39">
        <f>IF(ISERROR(B37*3.6/1000000/'E Balans VL '!Z15*100),0,B37*3.6/1000000/'E Balans VL '!Z15*100)</f>
        <v>1.4086183423363974E-3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9321.9639238358795</v>
      </c>
      <c r="C5" s="17">
        <f>'Eigen informatie GS &amp; warmtenet'!B62</f>
        <v>0</v>
      </c>
      <c r="D5" s="30">
        <f>IF(ISERROR(SUM(LB_lb_gas_kWh,LB_rest_gas_kWh)/1000),0,SUM(LB_lb_gas_kWh,LB_rest_gas_kWh)/1000)*0.903</f>
        <v>120638.08428900693</v>
      </c>
      <c r="E5" s="17">
        <f>B17*'E Balans VL '!I25/3.6*1000000/100</f>
        <v>266.99682242981635</v>
      </c>
      <c r="F5" s="17">
        <f>B17*('E Balans VL '!L25/3.6*1000000+'E Balans VL '!N25/3.6*1000000)/100</f>
        <v>29508.522402933562</v>
      </c>
      <c r="G5" s="18"/>
      <c r="H5" s="17"/>
      <c r="I5" s="17"/>
      <c r="J5" s="17">
        <f>('E Balans VL '!D25+'E Balans VL '!E25)/3.6*1000000*landbouw!B17/100</f>
        <v>2370.2826938661469</v>
      </c>
      <c r="K5" s="17"/>
      <c r="L5" s="17">
        <f>L6*(-1)</f>
        <v>0</v>
      </c>
      <c r="M5" s="17"/>
      <c r="N5" s="17">
        <f>N6*(-1)</f>
        <v>0</v>
      </c>
      <c r="O5" s="17"/>
      <c r="P5" s="17"/>
      <c r="R5" s="32"/>
    </row>
    <row r="6" spans="1:18">
      <c r="A6" s="16" t="s">
        <v>473</v>
      </c>
      <c r="B6" s="17" t="s">
        <v>210</v>
      </c>
      <c r="C6" s="17">
        <f>'lokale energieproductie'!O44+'lokale energieproductie'!O37</f>
        <v>63803.571428571428</v>
      </c>
      <c r="D6" s="304">
        <f>('lokale energieproductie'!P37+'lokale energieproductie'!P44)*(-1)</f>
        <v>-127607.14285714286</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9321.9639238358795</v>
      </c>
      <c r="C8" s="21">
        <f>C5+C6</f>
        <v>63803.571428571428</v>
      </c>
      <c r="D8" s="21">
        <f>MAX((D5+D6),0)</f>
        <v>0</v>
      </c>
      <c r="E8" s="21">
        <f>MAX((E5+E6),0)</f>
        <v>266.99682242981635</v>
      </c>
      <c r="F8" s="21">
        <f>MAX((F5+F6),0)</f>
        <v>29508.522402933562</v>
      </c>
      <c r="G8" s="21"/>
      <c r="H8" s="21"/>
      <c r="I8" s="21"/>
      <c r="J8" s="21">
        <f>MAX((J5+J6),0)</f>
        <v>2370.2826938661469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0.2116214945195827</v>
      </c>
      <c r="C10" s="31">
        <f ca="1">'EF ele_warmte'!B22</f>
        <v>0.23148073745771164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1972.7279374197822</v>
      </c>
      <c r="C12" s="23">
        <f ca="1">C8*C10</f>
        <v>14769.297766721495</v>
      </c>
      <c r="D12" s="23">
        <f>D8*D10</f>
        <v>0</v>
      </c>
      <c r="E12" s="23">
        <f>E8*E10</f>
        <v>60.608278691568316</v>
      </c>
      <c r="F12" s="23">
        <f>F8*F10</f>
        <v>7878.7754815832614</v>
      </c>
      <c r="G12" s="23"/>
      <c r="H12" s="23"/>
      <c r="I12" s="23"/>
      <c r="J12" s="23">
        <f>J8*J10</f>
        <v>839.08007362861599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1.2908805300409589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421.35453139585479</v>
      </c>
      <c r="C26" s="243">
        <f>B26*'GWP N2O_CH4'!B5</f>
        <v>8848.4451593129506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739.98089404419659</v>
      </c>
      <c r="C27" s="243">
        <f>B27*'GWP N2O_CH4'!B5</f>
        <v>15539.598774928128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7.9897836404496454</v>
      </c>
      <c r="C28" s="243">
        <f>B28*'GWP N2O_CH4'!B4</f>
        <v>2476.8329285393902</v>
      </c>
      <c r="D28" s="50"/>
    </row>
    <row r="29" spans="1:4">
      <c r="A29" s="41" t="s">
        <v>272</v>
      </c>
      <c r="B29" s="243">
        <f>B34*'ha_N2O bodem landbouw'!B4</f>
        <v>21.276206486915378</v>
      </c>
      <c r="C29" s="243">
        <f>B29*'GWP N2O_CH4'!B4</f>
        <v>6595.6240109437667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4.8335733276514414E-3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4.5474499402085411E-4</v>
      </c>
      <c r="C5" s="434" t="s">
        <v>210</v>
      </c>
      <c r="D5" s="419">
        <f>SUM(D6:D11)</f>
        <v>8.848889018790156E-4</v>
      </c>
      <c r="E5" s="419">
        <f>SUM(E6:E11)</f>
        <v>3.4275942849073263E-4</v>
      </c>
      <c r="F5" s="432" t="s">
        <v>210</v>
      </c>
      <c r="G5" s="419">
        <f>SUM(G6:G11)</f>
        <v>0.16052821465274356</v>
      </c>
      <c r="H5" s="419">
        <f>SUM(H6:H11)</f>
        <v>4.3177882356250322E-2</v>
      </c>
      <c r="I5" s="434" t="s">
        <v>210</v>
      </c>
      <c r="J5" s="434" t="s">
        <v>210</v>
      </c>
      <c r="K5" s="434" t="s">
        <v>210</v>
      </c>
      <c r="L5" s="434" t="s">
        <v>210</v>
      </c>
      <c r="M5" s="419">
        <f>SUM(M6:M11)</f>
        <v>1.2278189643852445E-2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2.438030153788165E-4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4.0648941959621813E-4</v>
      </c>
      <c r="E6" s="886">
        <f>vkm_GW_PW*SUMIFS(TableVerdeelsleutelVkm[LPG],TableVerdeelsleutelVkm[Voertuigtype],"Lichte voertuigen")*SUMIFS(TableECFTransport[EnergieConsumptieFactor (PJ per km)],TableECFTransport[Index],CONCATENATE($A6,"_LPG_LPG"))</f>
        <v>1.6115652205892433E-4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4.8431583201488423E-2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1.9934952593536295E-2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4.1940853520413997E-3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9.771450109773686E-7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3.8734644140130295E-2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2.8580560725096378E-7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2.2240777606576515E-3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2.0950702121183323E-4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4.7839948228279753E-4</v>
      </c>
      <c r="E8" s="422">
        <f>vkm_NGW_PW*SUMIFS(TableVerdeelsleutelVkm[LPG],TableVerdeelsleutelVkm[Voertuigtype],"Lichte voertuigen")*SUMIFS(TableECFTransport[EnergieConsumptieFactor (PJ per km)],TableECFTransport[Index],CONCATENATE($A8,"_LPG_LPG"))</f>
        <v>1.816029064318083E-4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4.9991662886954835E-2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2.32424823294257E-2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4.5181427917660765E-3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4.5781241922700873E-7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2.3370324424169999E-2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1.6162768107316187E-7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1.3418837393873167E-3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126.3180538946817</v>
      </c>
      <c r="C14" s="21"/>
      <c r="D14" s="21">
        <f t="shared" ref="D14:M14" si="0">((D5)*10^9/3600)+D12</f>
        <v>245.80247274417101</v>
      </c>
      <c r="E14" s="21">
        <f t="shared" si="0"/>
        <v>95.210952358536844</v>
      </c>
      <c r="F14" s="21"/>
      <c r="G14" s="21">
        <f t="shared" si="0"/>
        <v>44591.17073687321</v>
      </c>
      <c r="H14" s="21">
        <f t="shared" si="0"/>
        <v>11993.856210069534</v>
      </c>
      <c r="I14" s="21"/>
      <c r="J14" s="21"/>
      <c r="K14" s="21"/>
      <c r="L14" s="21"/>
      <c r="M14" s="21">
        <f t="shared" si="0"/>
        <v>3410.6082344034571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0.2116214945195827</v>
      </c>
      <c r="C16" s="56">
        <f ca="1">'EF ele_warmte'!B22</f>
        <v>0.23148073745771164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26.731615349997735</v>
      </c>
      <c r="C18" s="23"/>
      <c r="D18" s="23">
        <f t="shared" ref="D18:M18" si="1">D14*D16</f>
        <v>49.652099494322549</v>
      </c>
      <c r="E18" s="23">
        <f t="shared" si="1"/>
        <v>21.612886185387865</v>
      </c>
      <c r="F18" s="23"/>
      <c r="G18" s="23">
        <f t="shared" si="1"/>
        <v>11905.842586745148</v>
      </c>
      <c r="H18" s="23">
        <f t="shared" si="1"/>
        <v>2986.4701963073139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6.0489941476712918E-5</v>
      </c>
      <c r="C50" s="315">
        <f t="shared" ref="C50:P50" si="2">SUM(C51:C52)</f>
        <v>0</v>
      </c>
      <c r="D50" s="315">
        <f t="shared" si="2"/>
        <v>0</v>
      </c>
      <c r="E50" s="315">
        <f t="shared" si="2"/>
        <v>0</v>
      </c>
      <c r="F50" s="315">
        <f t="shared" si="2"/>
        <v>0</v>
      </c>
      <c r="G50" s="315">
        <f t="shared" si="2"/>
        <v>3.7868532103431289E-3</v>
      </c>
      <c r="H50" s="315">
        <f t="shared" si="2"/>
        <v>0</v>
      </c>
      <c r="I50" s="315">
        <f t="shared" si="2"/>
        <v>0</v>
      </c>
      <c r="J50" s="315">
        <f t="shared" si="2"/>
        <v>0</v>
      </c>
      <c r="K50" s="315">
        <f t="shared" si="2"/>
        <v>0</v>
      </c>
      <c r="L50" s="315">
        <f t="shared" si="2"/>
        <v>0</v>
      </c>
      <c r="M50" s="315">
        <f t="shared" si="2"/>
        <v>2.1743272636315101E-4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6.0489941476712918E-5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3.7868532103431289E-3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2.1743272636315101E-4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16.802761521309144</v>
      </c>
      <c r="C54" s="21">
        <f t="shared" ref="C54:P54" si="3">(C50)*10^9/3600</f>
        <v>0</v>
      </c>
      <c r="D54" s="21">
        <f t="shared" si="3"/>
        <v>0</v>
      </c>
      <c r="E54" s="21">
        <f t="shared" si="3"/>
        <v>0</v>
      </c>
      <c r="F54" s="21">
        <f t="shared" si="3"/>
        <v>0</v>
      </c>
      <c r="G54" s="21">
        <f t="shared" si="3"/>
        <v>1051.9036695397581</v>
      </c>
      <c r="H54" s="21">
        <f t="shared" si="3"/>
        <v>0</v>
      </c>
      <c r="I54" s="21">
        <f t="shared" si="3"/>
        <v>0</v>
      </c>
      <c r="J54" s="21">
        <f t="shared" si="3"/>
        <v>0</v>
      </c>
      <c r="K54" s="21">
        <f t="shared" si="3"/>
        <v>0</v>
      </c>
      <c r="L54" s="21">
        <f t="shared" si="3"/>
        <v>0</v>
      </c>
      <c r="M54" s="21">
        <f t="shared" si="3"/>
        <v>60.397979545319728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0.2116214945195827</v>
      </c>
      <c r="C56" s="56">
        <f ca="1">'EF ele_warmte'!B22</f>
        <v>0.23148073745771164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3.5558255051955783</v>
      </c>
      <c r="C58" s="23">
        <f t="shared" ref="C58:P58" ca="1" si="4">C54*C56</f>
        <v>0</v>
      </c>
      <c r="D58" s="23">
        <f t="shared" si="4"/>
        <v>0</v>
      </c>
      <c r="E58" s="23">
        <f t="shared" si="4"/>
        <v>0</v>
      </c>
      <c r="F58" s="23">
        <f t="shared" si="4"/>
        <v>0</v>
      </c>
      <c r="G58" s="23">
        <f t="shared" si="4"/>
        <v>280.85827976711545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zoomScale="65" zoomScaleNormal="65" workbookViewId="0">
      <selection activeCell="M33" sqref="M33"/>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10907.68827324899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N34</f>
        <v>50467.5</v>
      </c>
      <c r="C8" s="545">
        <f>B53</f>
        <v>57832.941176470595</v>
      </c>
      <c r="D8" s="546"/>
      <c r="E8" s="546">
        <f>E53</f>
        <v>0</v>
      </c>
      <c r="F8" s="547"/>
      <c r="G8" s="548"/>
      <c r="H8" s="546">
        <f>I53</f>
        <v>0</v>
      </c>
      <c r="I8" s="546">
        <f>G53+F53</f>
        <v>0</v>
      </c>
      <c r="J8" s="546">
        <f>H53+D53+C53</f>
        <v>1540.5882352941178</v>
      </c>
      <c r="K8" s="546"/>
      <c r="L8" s="546"/>
      <c r="M8" s="546"/>
      <c r="N8" s="549"/>
      <c r="O8" s="550">
        <f>C8*$C$12+D8*$D$12+E8*$E$12+F8*$F$12+G8*$G$12+H8*$H$12+I8*$I$12+J8*$J$12</f>
        <v>11682.25411764706</v>
      </c>
      <c r="P8" s="1285"/>
      <c r="Q8" s="1286"/>
      <c r="S8" s="540"/>
      <c r="T8" s="1282"/>
      <c r="U8" s="1282"/>
    </row>
    <row r="9" spans="1:21" s="531" customFormat="1" ht="17.45" customHeight="1" thickBot="1">
      <c r="A9" s="551" t="s">
        <v>243</v>
      </c>
      <c r="B9" s="552">
        <f>N41+'Eigen informatie GS &amp; warmtenet'!B12</f>
        <v>0</v>
      </c>
      <c r="C9" s="553">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61375.18827324899</v>
      </c>
      <c r="C10" s="560">
        <f t="shared" ref="C10:L10" si="0">SUM(C8:C9)</f>
        <v>57832.941176470595</v>
      </c>
      <c r="D10" s="560">
        <f t="shared" si="0"/>
        <v>0</v>
      </c>
      <c r="E10" s="560">
        <f t="shared" si="0"/>
        <v>0</v>
      </c>
      <c r="F10" s="560">
        <f t="shared" si="0"/>
        <v>0</v>
      </c>
      <c r="G10" s="560">
        <f t="shared" si="0"/>
        <v>0</v>
      </c>
      <c r="H10" s="560">
        <f t="shared" si="0"/>
        <v>0</v>
      </c>
      <c r="I10" s="560">
        <f t="shared" si="0"/>
        <v>0</v>
      </c>
      <c r="J10" s="560">
        <f t="shared" si="0"/>
        <v>1540.5882352941178</v>
      </c>
      <c r="K10" s="560">
        <f t="shared" si="0"/>
        <v>0</v>
      </c>
      <c r="L10" s="560">
        <f t="shared" si="0"/>
        <v>0</v>
      </c>
      <c r="M10" s="961"/>
      <c r="N10" s="961"/>
      <c r="O10" s="561">
        <f>SUM(O4:O9)</f>
        <v>11682.25411764706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O34</f>
        <v>72096.428571428565</v>
      </c>
      <c r="C17" s="576">
        <f>B54</f>
        <v>82618.487394957992</v>
      </c>
      <c r="D17" s="577"/>
      <c r="E17" s="577">
        <f>E54</f>
        <v>0</v>
      </c>
      <c r="F17" s="578"/>
      <c r="G17" s="579"/>
      <c r="H17" s="576">
        <f>I54</f>
        <v>0</v>
      </c>
      <c r="I17" s="577">
        <f>G54+F54</f>
        <v>0</v>
      </c>
      <c r="J17" s="577">
        <f>H54+D54+C54</f>
        <v>2200.840336134454</v>
      </c>
      <c r="K17" s="577"/>
      <c r="L17" s="577"/>
      <c r="M17" s="577"/>
      <c r="N17" s="962"/>
      <c r="O17" s="580">
        <f>C17*$C$22+E17*$E$22+H17*$H$22+I17*$I$22+J17*$J$22+D17*$D$22+F17*$F$22+G17*$G$22+K17*$K$22+L17*$L$22</f>
        <v>16688.934453781516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72096.428571428565</v>
      </c>
      <c r="C20" s="559">
        <f>SUM(C17:C19)</f>
        <v>82618.487394957992</v>
      </c>
      <c r="D20" s="559">
        <f t="shared" ref="D20:L20" si="1">SUM(D17:D19)</f>
        <v>0</v>
      </c>
      <c r="E20" s="559">
        <f t="shared" si="1"/>
        <v>0</v>
      </c>
      <c r="F20" s="559">
        <f t="shared" si="1"/>
        <v>0</v>
      </c>
      <c r="G20" s="559">
        <f t="shared" si="1"/>
        <v>0</v>
      </c>
      <c r="H20" s="559">
        <f t="shared" si="1"/>
        <v>0</v>
      </c>
      <c r="I20" s="559">
        <f t="shared" si="1"/>
        <v>0</v>
      </c>
      <c r="J20" s="559">
        <f t="shared" si="1"/>
        <v>2200.840336134454</v>
      </c>
      <c r="K20" s="559">
        <f t="shared" si="1"/>
        <v>0</v>
      </c>
      <c r="L20" s="559">
        <f t="shared" si="1"/>
        <v>0</v>
      </c>
      <c r="M20" s="559"/>
      <c r="N20" s="559"/>
      <c r="O20" s="585">
        <f>SUM(O17:O19)</f>
        <v>16688.934453781516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36019</v>
      </c>
      <c r="C28" s="787">
        <v>8840</v>
      </c>
      <c r="D28" s="637" t="s">
        <v>874</v>
      </c>
      <c r="E28" s="636" t="s">
        <v>875</v>
      </c>
      <c r="F28" s="636" t="s">
        <v>876</v>
      </c>
      <c r="G28" s="636" t="s">
        <v>877</v>
      </c>
      <c r="H28" s="636" t="s">
        <v>878</v>
      </c>
      <c r="I28" s="636" t="s">
        <v>879</v>
      </c>
      <c r="J28" s="786">
        <v>38625</v>
      </c>
      <c r="K28" s="786">
        <v>38412</v>
      </c>
      <c r="L28" s="636" t="s">
        <v>880</v>
      </c>
      <c r="M28" s="636">
        <v>291</v>
      </c>
      <c r="N28" s="636">
        <v>1309.5</v>
      </c>
      <c r="O28" s="636">
        <v>1870.7142857142858</v>
      </c>
      <c r="P28" s="636">
        <v>0</v>
      </c>
      <c r="Q28" s="636">
        <v>3741.4285714285716</v>
      </c>
      <c r="R28" s="636">
        <v>0</v>
      </c>
      <c r="S28" s="636">
        <v>0</v>
      </c>
      <c r="T28" s="636">
        <v>0</v>
      </c>
      <c r="U28" s="636">
        <v>0</v>
      </c>
      <c r="V28" s="636">
        <v>0</v>
      </c>
      <c r="W28" s="636">
        <v>0</v>
      </c>
      <c r="X28" s="636">
        <v>500</v>
      </c>
      <c r="Y28" s="636" t="s">
        <v>40</v>
      </c>
      <c r="Z28" s="638" t="s">
        <v>379</v>
      </c>
    </row>
    <row r="29" spans="1:26" s="590" customFormat="1" ht="25.5">
      <c r="A29" s="589"/>
      <c r="B29" s="787">
        <v>36019</v>
      </c>
      <c r="C29" s="787">
        <v>8840</v>
      </c>
      <c r="D29" s="637" t="s">
        <v>881</v>
      </c>
      <c r="E29" s="636" t="s">
        <v>882</v>
      </c>
      <c r="F29" s="636" t="s">
        <v>883</v>
      </c>
      <c r="G29" s="636" t="s">
        <v>877</v>
      </c>
      <c r="H29" s="636" t="s">
        <v>878</v>
      </c>
      <c r="I29" s="636" t="s">
        <v>882</v>
      </c>
      <c r="J29" s="786">
        <v>40910</v>
      </c>
      <c r="K29" s="786">
        <v>39792</v>
      </c>
      <c r="L29" s="636" t="s">
        <v>880</v>
      </c>
      <c r="M29" s="636">
        <v>3938</v>
      </c>
      <c r="N29" s="636">
        <v>17721</v>
      </c>
      <c r="O29" s="636">
        <v>25315.714285714286</v>
      </c>
      <c r="P29" s="636">
        <v>50631.428571428572</v>
      </c>
      <c r="Q29" s="636">
        <v>0</v>
      </c>
      <c r="R29" s="636">
        <v>0</v>
      </c>
      <c r="S29" s="636">
        <v>0</v>
      </c>
      <c r="T29" s="636">
        <v>0</v>
      </c>
      <c r="U29" s="636">
        <v>0</v>
      </c>
      <c r="V29" s="636">
        <v>0</v>
      </c>
      <c r="W29" s="636">
        <v>0</v>
      </c>
      <c r="X29" s="636">
        <v>10</v>
      </c>
      <c r="Y29" s="636" t="s">
        <v>111</v>
      </c>
      <c r="Z29" s="638" t="s">
        <v>111</v>
      </c>
    </row>
    <row r="30" spans="1:26" s="590" customFormat="1" ht="25.5">
      <c r="A30" s="589"/>
      <c r="B30" s="787">
        <v>36019</v>
      </c>
      <c r="C30" s="787">
        <v>8840</v>
      </c>
      <c r="D30" s="637" t="s">
        <v>884</v>
      </c>
      <c r="E30" s="636" t="s">
        <v>885</v>
      </c>
      <c r="F30" s="636" t="s">
        <v>886</v>
      </c>
      <c r="G30" s="636" t="s">
        <v>877</v>
      </c>
      <c r="H30" s="636" t="s">
        <v>878</v>
      </c>
      <c r="I30" s="636" t="s">
        <v>885</v>
      </c>
      <c r="J30" s="786">
        <v>39912</v>
      </c>
      <c r="K30" s="786">
        <v>39923</v>
      </c>
      <c r="L30" s="636" t="s">
        <v>880</v>
      </c>
      <c r="M30" s="636">
        <v>2000</v>
      </c>
      <c r="N30" s="636">
        <v>9000</v>
      </c>
      <c r="O30" s="636">
        <v>12857.142857142857</v>
      </c>
      <c r="P30" s="636">
        <v>25714.285714285717</v>
      </c>
      <c r="Q30" s="636">
        <v>0</v>
      </c>
      <c r="R30" s="636">
        <v>0</v>
      </c>
      <c r="S30" s="636">
        <v>0</v>
      </c>
      <c r="T30" s="636">
        <v>0</v>
      </c>
      <c r="U30" s="636">
        <v>0</v>
      </c>
      <c r="V30" s="636">
        <v>0</v>
      </c>
      <c r="W30" s="636">
        <v>0</v>
      </c>
      <c r="X30" s="636">
        <v>10</v>
      </c>
      <c r="Y30" s="636" t="s">
        <v>111</v>
      </c>
      <c r="Z30" s="638" t="s">
        <v>111</v>
      </c>
    </row>
    <row r="31" spans="1:26" s="590" customFormat="1" ht="25.5">
      <c r="A31" s="589"/>
      <c r="B31" s="787">
        <v>36019</v>
      </c>
      <c r="C31" s="787">
        <v>8840</v>
      </c>
      <c r="D31" s="637" t="s">
        <v>884</v>
      </c>
      <c r="E31" s="636" t="s">
        <v>885</v>
      </c>
      <c r="F31" s="636" t="s">
        <v>887</v>
      </c>
      <c r="G31" s="636" t="s">
        <v>877</v>
      </c>
      <c r="H31" s="636" t="s">
        <v>878</v>
      </c>
      <c r="I31" s="636" t="s">
        <v>888</v>
      </c>
      <c r="J31" s="786">
        <v>40557</v>
      </c>
      <c r="K31" s="786">
        <v>40576</v>
      </c>
      <c r="L31" s="636" t="s">
        <v>880</v>
      </c>
      <c r="M31" s="636">
        <v>2000</v>
      </c>
      <c r="N31" s="636">
        <v>9000</v>
      </c>
      <c r="O31" s="636">
        <v>12857.142857142857</v>
      </c>
      <c r="P31" s="636">
        <v>25714.285714285717</v>
      </c>
      <c r="Q31" s="636">
        <v>0</v>
      </c>
      <c r="R31" s="636">
        <v>0</v>
      </c>
      <c r="S31" s="636">
        <v>0</v>
      </c>
      <c r="T31" s="636">
        <v>0</v>
      </c>
      <c r="U31" s="636">
        <v>0</v>
      </c>
      <c r="V31" s="636">
        <v>0</v>
      </c>
      <c r="W31" s="636">
        <v>0</v>
      </c>
      <c r="X31" s="636">
        <v>10</v>
      </c>
      <c r="Y31" s="636" t="s">
        <v>111</v>
      </c>
      <c r="Z31" s="638" t="s">
        <v>111</v>
      </c>
    </row>
    <row r="32" spans="1:26" s="590" customFormat="1" ht="25.5">
      <c r="A32" s="589"/>
      <c r="B32" s="787">
        <v>36019</v>
      </c>
      <c r="C32" s="787">
        <v>8840</v>
      </c>
      <c r="D32" s="637" t="s">
        <v>889</v>
      </c>
      <c r="E32" s="636"/>
      <c r="F32" s="636" t="s">
        <v>890</v>
      </c>
      <c r="G32" s="636" t="s">
        <v>891</v>
      </c>
      <c r="H32" s="636" t="s">
        <v>878</v>
      </c>
      <c r="I32" s="636" t="s">
        <v>892</v>
      </c>
      <c r="J32" s="786">
        <v>43025</v>
      </c>
      <c r="K32" s="786">
        <v>43025</v>
      </c>
      <c r="L32" s="636" t="s">
        <v>893</v>
      </c>
      <c r="M32" s="636">
        <v>1987</v>
      </c>
      <c r="N32" s="636">
        <v>8941.5</v>
      </c>
      <c r="O32" s="636">
        <v>12773.571428571429</v>
      </c>
      <c r="P32" s="636">
        <v>25547.142857142859</v>
      </c>
      <c r="Q32" s="636">
        <v>0</v>
      </c>
      <c r="R32" s="636">
        <v>0</v>
      </c>
      <c r="S32" s="636">
        <v>0</v>
      </c>
      <c r="T32" s="636">
        <v>0</v>
      </c>
      <c r="U32" s="636">
        <v>0</v>
      </c>
      <c r="V32" s="636">
        <v>0</v>
      </c>
      <c r="W32" s="636">
        <v>0</v>
      </c>
      <c r="X32" s="636">
        <v>10</v>
      </c>
      <c r="Y32" s="636" t="s">
        <v>111</v>
      </c>
      <c r="Z32" s="638" t="s">
        <v>111</v>
      </c>
    </row>
    <row r="33" spans="1:27" s="590" customFormat="1" ht="25.5">
      <c r="A33" s="589"/>
      <c r="B33" s="787">
        <v>36019</v>
      </c>
      <c r="C33" s="787">
        <v>8840</v>
      </c>
      <c r="D33" s="637" t="s">
        <v>894</v>
      </c>
      <c r="E33" s="636" t="s">
        <v>895</v>
      </c>
      <c r="F33" s="636" t="s">
        <v>896</v>
      </c>
      <c r="G33" s="636" t="s">
        <v>891</v>
      </c>
      <c r="H33" s="636" t="s">
        <v>878</v>
      </c>
      <c r="I33" s="636" t="s">
        <v>897</v>
      </c>
      <c r="J33" s="786">
        <v>43032</v>
      </c>
      <c r="K33" s="786">
        <v>43032</v>
      </c>
      <c r="L33" s="636" t="s">
        <v>893</v>
      </c>
      <c r="M33" s="636">
        <v>999</v>
      </c>
      <c r="N33" s="636">
        <v>4495.5</v>
      </c>
      <c r="O33" s="636">
        <v>6422.1428571428569</v>
      </c>
      <c r="P33" s="636">
        <v>12844.285714285716</v>
      </c>
      <c r="Q33" s="636">
        <v>0</v>
      </c>
      <c r="R33" s="636">
        <v>0</v>
      </c>
      <c r="S33" s="636">
        <v>0</v>
      </c>
      <c r="T33" s="636">
        <v>0</v>
      </c>
      <c r="U33" s="636">
        <v>0</v>
      </c>
      <c r="V33" s="636">
        <v>0</v>
      </c>
      <c r="W33" s="636">
        <v>0</v>
      </c>
      <c r="X33" s="636">
        <v>500</v>
      </c>
      <c r="Y33" s="636" t="s">
        <v>40</v>
      </c>
      <c r="Z33" s="638" t="s">
        <v>379</v>
      </c>
    </row>
    <row r="34" spans="1:27" s="570" customFormat="1">
      <c r="A34" s="592" t="s">
        <v>275</v>
      </c>
      <c r="B34" s="593"/>
      <c r="C34" s="593"/>
      <c r="D34" s="593"/>
      <c r="E34" s="593"/>
      <c r="F34" s="593"/>
      <c r="G34" s="593"/>
      <c r="H34" s="593"/>
      <c r="I34" s="593"/>
      <c r="J34" s="593"/>
      <c r="K34" s="593"/>
      <c r="L34" s="594"/>
      <c r="M34" s="594">
        <f>SUM(M28:M33)</f>
        <v>11215</v>
      </c>
      <c r="N34" s="594">
        <f>SUM(N28:N33)</f>
        <v>50467.5</v>
      </c>
      <c r="O34" s="594">
        <f>SUM(O28:O33)</f>
        <v>72096.428571428565</v>
      </c>
      <c r="P34" s="594">
        <f>SUM(P28:P33)</f>
        <v>140451.42857142858</v>
      </c>
      <c r="Q34" s="594">
        <f>SUM(Q28:Q33)</f>
        <v>3741.4285714285716</v>
      </c>
      <c r="R34" s="594">
        <f>SUM(R28:R33)</f>
        <v>0</v>
      </c>
      <c r="S34" s="594">
        <f>SUM(S28:S33)</f>
        <v>0</v>
      </c>
      <c r="T34" s="594">
        <f>SUM(T28:T33)</f>
        <v>0</v>
      </c>
      <c r="U34" s="594">
        <f>SUM(U28:U33)</f>
        <v>0</v>
      </c>
      <c r="V34" s="594">
        <f>SUM(V28:V33)</f>
        <v>0</v>
      </c>
      <c r="W34" s="594">
        <f>SUM(W28:W33)</f>
        <v>0</v>
      </c>
      <c r="X34" s="595"/>
      <c r="Y34" s="595"/>
      <c r="Z34" s="596"/>
    </row>
    <row r="35" spans="1:27" s="570" customFormat="1">
      <c r="A35" s="592" t="s">
        <v>282</v>
      </c>
      <c r="B35" s="593"/>
      <c r="C35" s="593"/>
      <c r="D35" s="593"/>
      <c r="E35" s="593"/>
      <c r="F35" s="593"/>
      <c r="G35" s="593"/>
      <c r="H35" s="593"/>
      <c r="I35" s="593"/>
      <c r="J35" s="593"/>
      <c r="K35" s="593"/>
      <c r="L35" s="594"/>
      <c r="M35" s="594">
        <f>SUMIF($Z$28:$Z$33,"industrie",M28:M33)</f>
        <v>1290</v>
      </c>
      <c r="N35" s="594">
        <f>SUMIF($Z$28:$Z$33,"industrie",N28:N33)</f>
        <v>5805</v>
      </c>
      <c r="O35" s="594">
        <f>SUMIF($Z$28:$Z$33,"industrie",O28:O33)</f>
        <v>8292.8571428571431</v>
      </c>
      <c r="P35" s="594">
        <f>SUMIF($Z$28:$Z$33,"industrie",P28:P33)</f>
        <v>12844.285714285716</v>
      </c>
      <c r="Q35" s="594">
        <f>SUMIF($Z$28:$Z$33,"industrie",Q28:Q33)</f>
        <v>3741.4285714285716</v>
      </c>
      <c r="R35" s="594">
        <f>SUMIF($Z$28:$Z$33,"industrie",R28:R33)</f>
        <v>0</v>
      </c>
      <c r="S35" s="594">
        <f>SUMIF($Z$28:$Z$33,"industrie",S28:S33)</f>
        <v>0</v>
      </c>
      <c r="T35" s="594">
        <f>SUMIF($Z$28:$Z$33,"industrie",T28:T33)</f>
        <v>0</v>
      </c>
      <c r="U35" s="594">
        <f>SUMIF($Z$28:$Z$33,"industrie",U28:U33)</f>
        <v>0</v>
      </c>
      <c r="V35" s="594">
        <f>SUMIF($Z$28:$Z$33,"industrie",V28:V33)</f>
        <v>0</v>
      </c>
      <c r="W35" s="594">
        <f>SUMIF($Z$28:$Z$33,"industrie",W28:W33)</f>
        <v>0</v>
      </c>
      <c r="X35" s="595"/>
      <c r="Y35" s="595"/>
      <c r="Z35" s="596"/>
    </row>
    <row r="36" spans="1:27" s="570" customFormat="1">
      <c r="A36" s="592" t="s">
        <v>283</v>
      </c>
      <c r="B36" s="593"/>
      <c r="C36" s="593"/>
      <c r="D36" s="593"/>
      <c r="E36" s="593"/>
      <c r="F36" s="593"/>
      <c r="G36" s="593"/>
      <c r="H36" s="593"/>
      <c r="I36" s="593"/>
      <c r="J36" s="593"/>
      <c r="K36" s="593"/>
      <c r="L36" s="594"/>
      <c r="M36" s="594">
        <f ca="1">SUMIF($Z$28:AC33,"tertiair",M28:M33)</f>
        <v>0</v>
      </c>
      <c r="N36" s="594">
        <f ca="1">SUMIF($Z$28:AD33,"tertiair",N28:N33)</f>
        <v>0</v>
      </c>
      <c r="O36" s="594">
        <f ca="1">SUMIF($Z$28:AE33,"tertiair",O28:O33)</f>
        <v>0</v>
      </c>
      <c r="P36" s="594">
        <f ca="1">SUMIF($Z$28:AF33,"tertiair",P28:P33)</f>
        <v>0</v>
      </c>
      <c r="Q36" s="594">
        <f ca="1">SUMIF($Z$28:AG33,"tertiair",Q28:Q33)</f>
        <v>0</v>
      </c>
      <c r="R36" s="594">
        <f ca="1">SUMIF($Z$28:AH33,"tertiair",R28:R33)</f>
        <v>0</v>
      </c>
      <c r="S36" s="594">
        <f ca="1">SUMIF($Z$28:AI33,"tertiair",S28:S33)</f>
        <v>0</v>
      </c>
      <c r="T36" s="594">
        <f ca="1">SUMIF($Z$28:AJ33,"tertiair",T28:T33)</f>
        <v>0</v>
      </c>
      <c r="U36" s="594">
        <f ca="1">SUMIF($Z$28:AK33,"tertiair",U28:U33)</f>
        <v>0</v>
      </c>
      <c r="V36" s="594">
        <f ca="1">SUMIF($Z$28:AL33,"tertiair",V28:V33)</f>
        <v>0</v>
      </c>
      <c r="W36" s="594">
        <f ca="1">SUMIF($Z$28:AM33,"tertiair",W28:W33)</f>
        <v>0</v>
      </c>
      <c r="X36" s="595"/>
      <c r="Y36" s="595"/>
      <c r="Z36" s="596"/>
    </row>
    <row r="37" spans="1:27" s="570" customFormat="1" ht="15.75" thickBot="1">
      <c r="A37" s="597" t="s">
        <v>284</v>
      </c>
      <c r="B37" s="598"/>
      <c r="C37" s="598"/>
      <c r="D37" s="598"/>
      <c r="E37" s="598"/>
      <c r="F37" s="598"/>
      <c r="G37" s="598"/>
      <c r="H37" s="598"/>
      <c r="I37" s="598"/>
      <c r="J37" s="598"/>
      <c r="K37" s="598"/>
      <c r="L37" s="599"/>
      <c r="M37" s="599">
        <f>SUMIF($Z$28:$Z$33,"landbouw",M28:M33)</f>
        <v>9925</v>
      </c>
      <c r="N37" s="599">
        <f>SUMIF($Z$28:$Z$33,"landbouw",N28:N33)</f>
        <v>44662.5</v>
      </c>
      <c r="O37" s="599">
        <f>SUMIF($Z$28:$Z$33,"landbouw",O28:O33)</f>
        <v>63803.571428571428</v>
      </c>
      <c r="P37" s="599">
        <f>SUMIF($Z$28:$Z$33,"landbouw",P28:P33)</f>
        <v>127607.14285714286</v>
      </c>
      <c r="Q37" s="599">
        <f>SUMIF($Z$28:$Z$33,"landbouw",Q28:Q33)</f>
        <v>0</v>
      </c>
      <c r="R37" s="599">
        <f>SUMIF($Z$28:$Z$33,"landbouw",R28:R33)</f>
        <v>0</v>
      </c>
      <c r="S37" s="599">
        <f>SUMIF($Z$28:$Z$33,"landbouw",S28:S33)</f>
        <v>0</v>
      </c>
      <c r="T37" s="599">
        <f>SUMIF($Z$28:$Z$33,"landbouw",T28:T33)</f>
        <v>0</v>
      </c>
      <c r="U37" s="599">
        <f>SUMIF($Z$28:$Z$33,"landbouw",U28:U33)</f>
        <v>0</v>
      </c>
      <c r="V37" s="599">
        <f>SUMIF($Z$28:$Z$33,"landbouw",V28:V33)</f>
        <v>0</v>
      </c>
      <c r="W37" s="599">
        <f>SUMIF($Z$28:$Z$33,"landbouw",W28:W33)</f>
        <v>0</v>
      </c>
      <c r="X37" s="600"/>
      <c r="Y37" s="600"/>
      <c r="Z37" s="601"/>
    </row>
    <row r="38" spans="1:27" s="531" customFormat="1" ht="15.75" thickBot="1">
      <c r="A38" s="602"/>
      <c r="B38" s="603"/>
      <c r="C38" s="603"/>
      <c r="D38" s="603"/>
      <c r="E38" s="603"/>
      <c r="F38" s="603"/>
      <c r="G38" s="603"/>
      <c r="H38" s="603"/>
      <c r="I38" s="603"/>
      <c r="J38" s="603"/>
      <c r="K38" s="603"/>
      <c r="L38" s="586"/>
      <c r="M38" s="586"/>
      <c r="N38" s="586"/>
      <c r="O38" s="587"/>
      <c r="P38" s="587"/>
    </row>
    <row r="39" spans="1:27" s="531" customFormat="1" ht="45">
      <c r="A39" s="604" t="s">
        <v>276</v>
      </c>
      <c r="B39" s="633" t="s">
        <v>89</v>
      </c>
      <c r="C39" s="633" t="s">
        <v>90</v>
      </c>
      <c r="D39" s="633" t="s">
        <v>91</v>
      </c>
      <c r="E39" s="633" t="s">
        <v>92</v>
      </c>
      <c r="F39" s="633" t="s">
        <v>93</v>
      </c>
      <c r="G39" s="633" t="s">
        <v>94</v>
      </c>
      <c r="H39" s="633" t="s">
        <v>95</v>
      </c>
      <c r="I39" s="633" t="s">
        <v>96</v>
      </c>
      <c r="J39" s="633" t="s">
        <v>97</v>
      </c>
      <c r="K39" s="633" t="s">
        <v>98</v>
      </c>
      <c r="L39" s="633" t="s">
        <v>99</v>
      </c>
      <c r="M39" s="634" t="s">
        <v>293</v>
      </c>
      <c r="N39" s="634" t="s">
        <v>100</v>
      </c>
      <c r="O39" s="634" t="s">
        <v>101</v>
      </c>
      <c r="P39" s="634" t="s">
        <v>517</v>
      </c>
      <c r="Q39" s="634" t="s">
        <v>102</v>
      </c>
      <c r="R39" s="634" t="s">
        <v>103</v>
      </c>
      <c r="S39" s="634" t="s">
        <v>104</v>
      </c>
      <c r="T39" s="634" t="s">
        <v>105</v>
      </c>
      <c r="U39" s="634" t="s">
        <v>106</v>
      </c>
      <c r="V39" s="634" t="s">
        <v>107</v>
      </c>
      <c r="W39" s="633" t="s">
        <v>108</v>
      </c>
      <c r="X39" s="633" t="s">
        <v>294</v>
      </c>
      <c r="Y39" s="633" t="s">
        <v>109</v>
      </c>
      <c r="Z39" s="635" t="s">
        <v>295</v>
      </c>
    </row>
    <row r="40" spans="1:27" s="605" customFormat="1" ht="12.75">
      <c r="A40" s="591"/>
      <c r="B40" s="787"/>
      <c r="C40" s="787"/>
      <c r="D40" s="639"/>
      <c r="E40" s="639"/>
      <c r="F40" s="639"/>
      <c r="G40" s="639"/>
      <c r="H40" s="639"/>
      <c r="I40" s="639"/>
      <c r="J40" s="786"/>
      <c r="K40" s="786"/>
      <c r="L40" s="639"/>
      <c r="M40" s="639"/>
      <c r="N40" s="639"/>
      <c r="O40" s="639"/>
      <c r="P40" s="639"/>
      <c r="Q40" s="639"/>
      <c r="R40" s="639"/>
      <c r="S40" s="639"/>
      <c r="T40" s="639"/>
      <c r="U40" s="639"/>
      <c r="V40" s="639"/>
      <c r="W40" s="639"/>
      <c r="X40" s="639"/>
      <c r="Y40" s="639"/>
      <c r="Z40" s="640"/>
    </row>
    <row r="41" spans="1:27" s="570" customFormat="1">
      <c r="A41" s="592" t="s">
        <v>275</v>
      </c>
      <c r="B41" s="593"/>
      <c r="C41" s="593"/>
      <c r="D41" s="593"/>
      <c r="E41" s="593"/>
      <c r="F41" s="593"/>
      <c r="G41" s="593"/>
      <c r="H41" s="593"/>
      <c r="I41" s="593"/>
      <c r="J41" s="593"/>
      <c r="K41" s="593"/>
      <c r="L41" s="594"/>
      <c r="M41" s="594">
        <f>SUM(M40:M40)</f>
        <v>0</v>
      </c>
      <c r="N41" s="594">
        <f>SUM(N40:N40)</f>
        <v>0</v>
      </c>
      <c r="O41" s="594">
        <f>SUM(O40:O40)</f>
        <v>0</v>
      </c>
      <c r="P41" s="594">
        <f>SUM(P40:P40)</f>
        <v>0</v>
      </c>
      <c r="Q41" s="594">
        <f>SUM(Q40:Q40)</f>
        <v>0</v>
      </c>
      <c r="R41" s="594">
        <f>SUM(R40:R40)</f>
        <v>0</v>
      </c>
      <c r="S41" s="594">
        <f>SUM(S40:S40)</f>
        <v>0</v>
      </c>
      <c r="T41" s="594">
        <f>SUM(T40:T40)</f>
        <v>0</v>
      </c>
      <c r="U41" s="594">
        <f>SUM(U40:U40)</f>
        <v>0</v>
      </c>
      <c r="V41" s="594">
        <f>SUM(V40:V40)</f>
        <v>0</v>
      </c>
      <c r="W41" s="594">
        <f>SUM(W40:W40)</f>
        <v>0</v>
      </c>
      <c r="X41" s="595"/>
      <c r="Y41" s="595"/>
      <c r="Z41" s="596"/>
    </row>
    <row r="42" spans="1:27" s="570" customFormat="1">
      <c r="A42" s="592" t="s">
        <v>282</v>
      </c>
      <c r="B42" s="593"/>
      <c r="C42" s="593"/>
      <c r="D42" s="593"/>
      <c r="E42" s="593"/>
      <c r="F42" s="593"/>
      <c r="G42" s="593"/>
      <c r="H42" s="593"/>
      <c r="I42" s="593"/>
      <c r="J42" s="593"/>
      <c r="K42" s="593"/>
      <c r="L42" s="594"/>
      <c r="M42" s="594">
        <f>SUMIF($Z$40:$Z$40,"industrie",M40:M40)</f>
        <v>0</v>
      </c>
      <c r="N42" s="594">
        <f>SUMIF($Z$40:$Z$40,"industrie",N40:N40)</f>
        <v>0</v>
      </c>
      <c r="O42" s="594">
        <f>SUMIF($Z$40:$Z$40,"industrie",O40:O40)</f>
        <v>0</v>
      </c>
      <c r="P42" s="594">
        <f>SUMIF($Z$40:$Z$40,"industrie",P40:P40)</f>
        <v>0</v>
      </c>
      <c r="Q42" s="594">
        <f>SUMIF($Z$40:$Z$40,"industrie",Q40:Q40)</f>
        <v>0</v>
      </c>
      <c r="R42" s="594">
        <f>SUMIF($Z$40:$Z$40,"industrie",R40:R40)</f>
        <v>0</v>
      </c>
      <c r="S42" s="594">
        <f>SUMIF($Z$40:$Z$40,"industrie",S40:S40)</f>
        <v>0</v>
      </c>
      <c r="T42" s="594">
        <f>SUMIF($Z$40:$Z$40,"industrie",T40:T40)</f>
        <v>0</v>
      </c>
      <c r="U42" s="594">
        <f>SUMIF($Z$40:$Z$40,"industrie",U40:U40)</f>
        <v>0</v>
      </c>
      <c r="V42" s="594">
        <f>SUMIF($Z$40:$Z$40,"industrie",V40:V40)</f>
        <v>0</v>
      </c>
      <c r="W42" s="594">
        <f>SUMIF($Z$40:$Z$40,"industrie",W40:W40)</f>
        <v>0</v>
      </c>
      <c r="X42" s="595"/>
      <c r="Y42" s="595"/>
      <c r="Z42" s="596"/>
    </row>
    <row r="43" spans="1:27" s="570" customFormat="1">
      <c r="A43" s="592" t="s">
        <v>283</v>
      </c>
      <c r="B43" s="593"/>
      <c r="C43" s="593"/>
      <c r="D43" s="593"/>
      <c r="E43" s="593"/>
      <c r="F43" s="593"/>
      <c r="G43" s="593"/>
      <c r="H43" s="593"/>
      <c r="I43" s="593"/>
      <c r="J43" s="593"/>
      <c r="K43" s="593"/>
      <c r="L43" s="594"/>
      <c r="M43" s="594">
        <f>SUMIF($Z$40:$Z$41,"tertiair",M40:M41)</f>
        <v>0</v>
      </c>
      <c r="N43" s="594">
        <f>SUMIF($Z$40:$Z$41,"tertiair",N40:N41)</f>
        <v>0</v>
      </c>
      <c r="O43" s="594">
        <f>SUMIF($Z$40:$Z$41,"tertiair",O40:O41)</f>
        <v>0</v>
      </c>
      <c r="P43" s="594">
        <f>SUMIF($Z$40:$Z$41,"tertiair",P40:P41)</f>
        <v>0</v>
      </c>
      <c r="Q43" s="594">
        <f>SUMIF($Z$40:$Z$41,"tertiair",Q40:Q41)</f>
        <v>0</v>
      </c>
      <c r="R43" s="594">
        <f>SUMIF($Z$40:$Z$41,"tertiair",R40:R41)</f>
        <v>0</v>
      </c>
      <c r="S43" s="594">
        <f>SUMIF($Z$40:$Z$41,"tertiair",S40:S41)</f>
        <v>0</v>
      </c>
      <c r="T43" s="594">
        <f>SUMIF($Z$40:$Z$41,"tertiair",T40:T41)</f>
        <v>0</v>
      </c>
      <c r="U43" s="594">
        <f>SUMIF($Z$40:$Z$41,"tertiair",U40:U41)</f>
        <v>0</v>
      </c>
      <c r="V43" s="594">
        <f>SUMIF($Z$40:$Z$41,"tertiair",V40:V41)</f>
        <v>0</v>
      </c>
      <c r="W43" s="594">
        <f>SUMIF($Z$40:$Z$41,"tertiair",W40:W41)</f>
        <v>0</v>
      </c>
      <c r="X43" s="595"/>
      <c r="Y43" s="595"/>
      <c r="Z43" s="596"/>
    </row>
    <row r="44" spans="1:27" s="570" customFormat="1" ht="15.75" thickBot="1">
      <c r="A44" s="597" t="s">
        <v>284</v>
      </c>
      <c r="B44" s="598"/>
      <c r="C44" s="598"/>
      <c r="D44" s="598"/>
      <c r="E44" s="598"/>
      <c r="F44" s="598"/>
      <c r="G44" s="598"/>
      <c r="H44" s="598"/>
      <c r="I44" s="598"/>
      <c r="J44" s="598"/>
      <c r="K44" s="598"/>
      <c r="L44" s="599"/>
      <c r="M44" s="599">
        <f>SUMIF($Z$40:$Z$42,"landbouw",M40:M42)</f>
        <v>0</v>
      </c>
      <c r="N44" s="599">
        <f>SUMIF($Z$40:$Z$42,"landbouw",N40:N42)</f>
        <v>0</v>
      </c>
      <c r="O44" s="599">
        <f>SUMIF($Z$40:$Z$42,"landbouw",O40:O42)</f>
        <v>0</v>
      </c>
      <c r="P44" s="599">
        <f>SUMIF($Z$40:$Z$42,"landbouw",P40:P42)</f>
        <v>0</v>
      </c>
      <c r="Q44" s="599">
        <f>SUMIF($Z$40:$Z$42,"landbouw",Q40:Q42)</f>
        <v>0</v>
      </c>
      <c r="R44" s="599">
        <f>SUMIF($Z$40:$Z$42,"landbouw",R40:R42)</f>
        <v>0</v>
      </c>
      <c r="S44" s="599">
        <f>SUMIF($Z$40:$Z$42,"landbouw",S40:S42)</f>
        <v>0</v>
      </c>
      <c r="T44" s="599">
        <f>SUMIF($Z$40:$Z$42,"landbouw",T40:T42)</f>
        <v>0</v>
      </c>
      <c r="U44" s="599">
        <f>SUMIF($Z$40:$Z$42,"landbouw",U40:U42)</f>
        <v>0</v>
      </c>
      <c r="V44" s="599">
        <f>SUMIF($Z$40:$Z$42,"landbouw",V40:V42)</f>
        <v>0</v>
      </c>
      <c r="W44" s="599">
        <f>SUMIF($Z$40:$Z$42,"landbouw",W40:W42)</f>
        <v>0</v>
      </c>
      <c r="X44" s="600"/>
      <c r="Y44" s="600"/>
      <c r="Z44" s="601"/>
    </row>
    <row r="45" spans="1:27" s="606" customForma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7" s="606" customFormat="1" ht="15.75" thickBot="1">
      <c r="A46" s="60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row>
    <row r="47" spans="1:27">
      <c r="A47" s="607" t="s">
        <v>277</v>
      </c>
      <c r="B47" s="608"/>
      <c r="C47" s="608"/>
      <c r="D47" s="608"/>
      <c r="E47" s="608"/>
      <c r="F47" s="608"/>
      <c r="G47" s="608"/>
      <c r="H47" s="608"/>
      <c r="I47" s="609"/>
      <c r="J47" s="610"/>
      <c r="K47" s="610"/>
      <c r="L47" s="611"/>
      <c r="M47" s="611"/>
      <c r="N47" s="611"/>
      <c r="O47" s="611"/>
      <c r="P47" s="611"/>
    </row>
    <row r="48" spans="1:27">
      <c r="A48" s="613"/>
      <c r="B48" s="603"/>
      <c r="C48" s="603"/>
      <c r="D48" s="603"/>
      <c r="E48" s="603"/>
      <c r="F48" s="603"/>
      <c r="G48" s="603"/>
      <c r="H48" s="603"/>
      <c r="I48" s="614"/>
      <c r="J48" s="603"/>
      <c r="K48" s="603"/>
      <c r="L48" s="611"/>
      <c r="M48" s="611"/>
      <c r="N48" s="611"/>
      <c r="O48" s="611"/>
      <c r="P48" s="611"/>
    </row>
    <row r="49" spans="1:16">
      <c r="A49" s="615"/>
      <c r="B49" s="616" t="s">
        <v>278</v>
      </c>
      <c r="C49" s="616" t="s">
        <v>279</v>
      </c>
      <c r="D49" s="616"/>
      <c r="E49" s="616"/>
      <c r="F49" s="616"/>
      <c r="G49" s="616"/>
      <c r="H49" s="616"/>
      <c r="I49" s="617"/>
      <c r="J49" s="616"/>
      <c r="K49" s="616"/>
      <c r="L49" s="616"/>
      <c r="M49" s="616"/>
      <c r="N49" s="616"/>
      <c r="O49" s="616"/>
      <c r="P49" s="611"/>
    </row>
    <row r="50" spans="1:16">
      <c r="A50" s="613" t="s">
        <v>275</v>
      </c>
      <c r="B50" s="618">
        <f>IF(ISERROR(O34/(O34+N34)),0,O34/(O34+N34))</f>
        <v>0.58823529411764708</v>
      </c>
      <c r="C50" s="619">
        <f>IF(ISERROR(N34/(O34+N34)),0,N34/(N34+O34))</f>
        <v>0.41176470588235298</v>
      </c>
      <c r="D50" s="586"/>
      <c r="E50" s="586"/>
      <c r="F50" s="586"/>
      <c r="G50" s="586"/>
      <c r="H50" s="586"/>
      <c r="I50" s="620"/>
      <c r="J50" s="586"/>
      <c r="K50" s="586"/>
      <c r="L50" s="621"/>
      <c r="M50" s="621"/>
      <c r="N50" s="621"/>
      <c r="O50" s="621"/>
      <c r="P50" s="611"/>
    </row>
    <row r="51" spans="1:16">
      <c r="A51" s="613"/>
      <c r="B51" s="622"/>
      <c r="C51" s="622"/>
      <c r="D51" s="622"/>
      <c r="E51" s="622"/>
      <c r="F51" s="622"/>
      <c r="G51" s="622"/>
      <c r="H51" s="622"/>
      <c r="I51" s="623"/>
      <c r="J51" s="622"/>
      <c r="K51" s="622"/>
      <c r="L51" s="624"/>
      <c r="M51" s="624"/>
      <c r="N51" s="624"/>
      <c r="O51" s="624"/>
      <c r="P51" s="611"/>
    </row>
    <row r="52" spans="1:16" ht="30">
      <c r="A52" s="625"/>
      <c r="B52" s="626" t="s">
        <v>517</v>
      </c>
      <c r="C52" s="626" t="s">
        <v>102</v>
      </c>
      <c r="D52" s="626" t="s">
        <v>103</v>
      </c>
      <c r="E52" s="626" t="s">
        <v>104</v>
      </c>
      <c r="F52" s="626" t="s">
        <v>105</v>
      </c>
      <c r="G52" s="626" t="s">
        <v>106</v>
      </c>
      <c r="H52" s="626" t="s">
        <v>107</v>
      </c>
      <c r="I52" s="627" t="s">
        <v>108</v>
      </c>
      <c r="J52" s="616"/>
      <c r="K52" s="616"/>
      <c r="L52" s="624"/>
      <c r="M52" s="624"/>
      <c r="N52" s="624"/>
      <c r="O52" s="611"/>
      <c r="P52" s="611"/>
    </row>
    <row r="53" spans="1:16">
      <c r="A53" s="615" t="s">
        <v>280</v>
      </c>
      <c r="B53" s="628">
        <f t="shared" ref="B53:I53" si="2">$C$50*P34</f>
        <v>57832.941176470595</v>
      </c>
      <c r="C53" s="628">
        <f t="shared" si="2"/>
        <v>1540.5882352941178</v>
      </c>
      <c r="D53" s="628">
        <f t="shared" si="2"/>
        <v>0</v>
      </c>
      <c r="E53" s="628">
        <f t="shared" si="2"/>
        <v>0</v>
      </c>
      <c r="F53" s="628">
        <f t="shared" si="2"/>
        <v>0</v>
      </c>
      <c r="G53" s="628">
        <f t="shared" si="2"/>
        <v>0</v>
      </c>
      <c r="H53" s="628">
        <f t="shared" si="2"/>
        <v>0</v>
      </c>
      <c r="I53" s="629">
        <f t="shared" si="2"/>
        <v>0</v>
      </c>
      <c r="J53" s="586"/>
      <c r="K53" s="586"/>
      <c r="L53" s="624"/>
      <c r="M53" s="624"/>
      <c r="N53" s="624"/>
      <c r="O53" s="611"/>
      <c r="P53" s="611"/>
    </row>
    <row r="54" spans="1:16" ht="15.75" thickBot="1">
      <c r="A54" s="630" t="s">
        <v>281</v>
      </c>
      <c r="B54" s="631">
        <f t="shared" ref="B54:I54" si="3">$B$50*P34</f>
        <v>82618.487394957992</v>
      </c>
      <c r="C54" s="631">
        <f t="shared" si="3"/>
        <v>2200.840336134454</v>
      </c>
      <c r="D54" s="631">
        <f t="shared" si="3"/>
        <v>0</v>
      </c>
      <c r="E54" s="631">
        <f t="shared" si="3"/>
        <v>0</v>
      </c>
      <c r="F54" s="631">
        <f t="shared" si="3"/>
        <v>0</v>
      </c>
      <c r="G54" s="631">
        <f t="shared" si="3"/>
        <v>0</v>
      </c>
      <c r="H54" s="631">
        <f t="shared" si="3"/>
        <v>0</v>
      </c>
      <c r="I54" s="632">
        <f t="shared" si="3"/>
        <v>0</v>
      </c>
      <c r="J54" s="586"/>
      <c r="K54" s="586"/>
      <c r="L54" s="624"/>
      <c r="M54" s="624"/>
      <c r="N54" s="624"/>
      <c r="O54" s="611"/>
      <c r="P54" s="611"/>
    </row>
    <row r="55" spans="1:16">
      <c r="J55" s="566"/>
      <c r="K55" s="566"/>
      <c r="L55" s="566"/>
      <c r="M55" s="566"/>
      <c r="N55" s="566"/>
    </row>
    <row r="56" spans="1:16">
      <c r="J56" s="566"/>
      <c r="K56" s="566"/>
      <c r="L56" s="566"/>
      <c r="M56" s="566"/>
      <c r="N56"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2021-06-29T14:18:19Z</dcterms:modified>
</cp:coreProperties>
</file>