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0" i="13"/>
  <c r="C12" i="13" s="1"/>
  <c r="D41" i="14" s="1"/>
  <c r="D46" i="14" s="1"/>
  <c r="D61" i="14" s="1"/>
  <c r="D63" i="14" s="1"/>
  <c r="C22" i="59"/>
  <c r="C17" i="19"/>
  <c r="C19" i="19" s="1"/>
  <c r="D39" i="14" s="1"/>
  <c r="C56" i="22"/>
  <c r="C58" i="22" s="1"/>
  <c r="D49" i="14" s="1"/>
  <c r="D52" i="14" s="1"/>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<sst xmlns="http://schemas.openxmlformats.org/spreadsheetml/2006/main" count="2463" uniqueCount="891">
  <si>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</si>
  <si>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</si>
  <si>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</si>
  <si>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</si>
  <si>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</si>
  <si>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</si>
  <si>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</si>
  <si>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</si>
  <si>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</si>
  <si>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</si>
  <si>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</si>
  <si>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</si>
  <si>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</si>
  <si>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</si>
  <si>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</si>
  <si>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</si>
  <si>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</si>
  <si>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</si>
  <si>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</si>
  <si>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</si>
  <si>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</si>
  <si>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</si>
  <si>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</si>
  <si>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</si>
  <si>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</si>
  <si>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</si>
  <si>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</si>
  <si>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</si>
  <si>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</si>
  <si>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</si>
  <si>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</si>
  <si>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</si>
  <si>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</si>
  <si>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</si>
  <si>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</si>
  <si>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</si>
  <si>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</si>
  <si>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</si>
  <si>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</si>
  <si>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</si>
  <si>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</si>
  <si>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</si>
  <si>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</si>
  <si>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</si>
  <si>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</si>
  <si>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</si>
  <si>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</si>
  <si>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</si>
  <si>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</si>
  <si>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</si>
  <si>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</si>
  <si>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</si>
  <si>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</si>
  <si>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</si>
  <si>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</si>
  <si>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</si>
  <si>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</si>
  <si>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</si>
  <si>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</si>
  <si>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</si>
  <si>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</si>
  <si>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</si>
  <si>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</si>
  <si>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</si>
  <si>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</si>
  <si>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</si>
  <si>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</si>
  <si>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</si>
  <si>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</si>
  <si>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</si>
  <si>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</si>
  <si>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</si>
  <si>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</si>
  <si>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</si>
  <si>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</si>
  <si>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</si>
  <si>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</si>
  <si>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</si>
  <si>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</si>
  <si>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</si>
  <si>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</si>
  <si>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</si>
  <si>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</si>
  <si>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</si>
  <si>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</si>
  <si>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</si>
  <si>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</si>
  <si>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</si>
  <si>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</si>
  <si>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</si>
  <si>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</si>
  <si>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</si>
  <si>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</si>
  <si>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</si>
  <si>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</si>
  <si>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</si>
  <si>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</si>
  <si>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</si>
  <si>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</si>
  <si>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</si>
  <si>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</si>
  <si>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</si>
  <si>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</si>
  <si>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</si>
  <si>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</si>
  <si>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</si>
  <si>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</si>
  <si>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</si>
  <si>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</si>
  <si>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</si>
  <si>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</si>
  <si>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</si>
  <si>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</si>
  <si>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</si>
  <si>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</si>
  <si>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</si>
  <si>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</si>
  <si>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</si>
  <si>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</si>
  <si>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</si>
  <si>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</si>
  <si>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</si>
  <si>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</si>
  <si>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</si>
  <si>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</si>
  <si>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</si>
  <si>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</si>
  <si>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</si>
  <si>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</si>
  <si>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</si>
  <si>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</si>
  <si>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</si>
  <si>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</si>
  <si>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</si>
  <si>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</si>
  <si>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</si>
  <si>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</si>
  <si>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</si>
  <si>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</si>
  <si>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</si>
  <si>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</si>
  <si>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</si>
  <si>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</si>
  <si>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</si>
  <si>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</si>
  <si>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</si>
  <si>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</si>
  <si>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</si>
  <si>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</si>
  <si>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</si>
  <si>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</si>
  <si>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</si>
  <si>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</si>
  <si>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</si>
  <si>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</si>
  <si>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</si>
  <si>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</si>
  <si>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</si>
  <si>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</si>
  <si>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</si>
  <si>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</si>
  <si>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</si>
  <si>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</si>
  <si>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</si>
  <si>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</si>
  <si>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</si>
  <si>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</si>
  <si>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</si>
  <si>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</si>
  <si>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</si>
  <si>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</si>
  <si>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</si>
  <si>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</si>
  <si>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</si>
  <si>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</si>
  <si>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</si>
  <si>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</si>
  <si>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</si>
  <si>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</si>
  <si>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</si>
  <si>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</si>
  <si>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</si>
  <si>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</si>
  <si>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</si>
  <si>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</si>
  <si>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</si>
  <si>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</si>
  <si>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</si>
  <si>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</si>
  <si>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</si>
  <si>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</si>
  <si>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</si>
  <si>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</si>
  <si>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</si>
  <si>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</si>
  <si>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</si>
  <si>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</si>
  <si>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</si>
  <si>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</si>
  <si>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</si>
  <si>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</si>
  <si>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</si>
  <si>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</si>
  <si>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</si>
  <si>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</si>
  <si>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</si>
  <si>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</si>
  <si>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</si>
  <si>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</si>
  <si>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</si>
  <si>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</si>
  <si>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</si>
  <si>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</si>
  <si>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</si>
  <si>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</si>
  <si>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</si>
  <si>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</si>
  <si>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</si>
  <si>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</si>
  <si>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</si>
  <si>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</si>
  <si>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</si>
  <si>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</si>
  <si>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</si>
  <si>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</si>
  <si>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</si>
  <si>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</si>
  <si>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</si>
  <si>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</si>
  <si>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</si>
  <si>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</si>
  <si>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</si>
  <si>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</si>
  <si>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</si>
  <si>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</si>
  <si>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</si>
  <si>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</si>
  <si>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</si>
  <si>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</si>
  <si>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</si>
  <si>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</si>
  <si>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</si>
  <si>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</si>
  <si>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</si>
  <si>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</si>
  <si>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</si>
  <si>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</si>
  <si>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</si>
  <si>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</si>
  <si>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</si>
  <si>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</si>
  <si>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</si>
  <si>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</si>
  <si>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</si>
  <si>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</si>
  <si>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</si>
  <si>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</si>
  <si>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</si>
  <si>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</si>
  <si>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</si>
  <si>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</si>
  <si>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</si>
  <si>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</si>
  <si>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</si>
  <si>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</si>
  <si>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</si>
  <si>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</si>
  <si>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</si>
  <si>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</si>
  <si>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</si>
  <si>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</si>
  <si>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</si>
  <si>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</si>
  <si>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</si>
  <si>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</si>
  <si>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</si>
  <si>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</si>
  <si>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</si>
  <si>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</si>
  <si>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</si>
  <si>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</si>
  <si>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</si>
  <si>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</si>
  <si>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</si>
  <si>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</si>
  <si>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</si>
  <si>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</si>
  <si>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</si>
  <si>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</si>
  <si>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</si>
  <si>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</si>
  <si>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</si>
  <si>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</si>
  <si>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</si>
  <si>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</si>
  <si>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</si>
  <si>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</si>
  <si>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</si>
  <si>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</si>
  <si>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</si>
  <si>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</si>
  <si>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</si>
  <si>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</si>
  <si>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</si>
  <si>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</si>
  <si>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</si>
  <si>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</si>
  <si>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</si>
  <si>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</si>
  <si>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</si>
  <si>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</si>
  <si>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</si>
  <si>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</si>
  <si>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</si>
  <si>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</si>
  <si>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</si>
  <si>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</si>
  <si>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</si>
  <si>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</si>
  <si>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</si>
  <si>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</si>
  <si>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</si>
  <si>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</si>
  <si>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</si>
  <si>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</si>
  <si>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</si>
  <si>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</si>
  <si>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</si>
  <si>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</si>
  <si>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</si>
  <si>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</si>
  <si>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</si>
  <si>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</si>
  <si>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</si>
  <si>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</si>
  <si>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</si>
  <si>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</si>
  <si>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</si>
  <si>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</si>
  <si>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</si>
  <si>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</si>
  <si>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</si>
  <si>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</si>
  <si>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</si>
  <si>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</si>
  <si>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</si>
  <si>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</si>
  <si>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</si>
  <si>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</si>
  <si>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</si>
  <si>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</si>
  <si>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</si>
  <si>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</si>
  <si>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</si>
  <si>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</si>
  <si>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</si>
  <si>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</si>
  <si>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</si>
  <si>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</si>
  <si>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</si>
  <si>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</si>
  <si>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</si>
  <si>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</si>
  <si>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</si>
  <si>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</si>
  <si>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</si>
  <si>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</si>
  <si>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</si>
  <si>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</si>
  <si>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</si>
  <si>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</si>
  <si>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</si>
  <si>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</si>
  <si>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</si>
  <si>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</si>
  <si>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</si>
  <si>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</si>
  <si>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</si>
  <si>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</si>
  <si>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</si>
  <si>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</si>
  <si>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</si>
  <si>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</si>
  <si>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</si>
  <si>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</si>
  <si>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</si>
  <si>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</si>
  <si>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</si>
  <si>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</si>
  <si>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</si>
  <si>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</si>
  <si>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</si>
  <si>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</si>
  <si>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</si>
  <si>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</si>
  <si>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</si>
  <si>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</si>
  <si>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</si>
  <si>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</si>
  <si>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</si>
  <si>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</si>
  <si>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</si>
  <si>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</si>
  <si>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</si>
  <si>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</si>
  <si>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</si>
  <si>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</si>
  <si>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</si>
  <si>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</si>
  <si>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</si>
  <si>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</si>
  <si>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</si>
  <si>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</si>
  <si>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</si>
  <si>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</si>
  <si>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</si>
  <si>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</si>
  <si>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</si>
  <si>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</si>
  <si>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</si>
  <si>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</si>
  <si>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</si>
  <si>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</si>
  <si>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</si>
  <si>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</si>
  <si>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</si>
  <si>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</si>
  <si>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</si>
  <si>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</si>
  <si>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</si>
  <si>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</si>
  <si>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</si>
  <si>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</si>
  <si>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</si>
  <si>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</si>
  <si>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</si>
  <si>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</si>
  <si>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</si>
  <si>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</si>
  <si>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</si>
  <si>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</si>
  <si>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</si>
  <si>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</si>
  <si>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</si>
  <si>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</si>
  <si>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</si>
  <si>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</si>
  <si>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</si>
  <si>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</si>
  <si>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</si>
  <si>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</si>
  <si>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</si>
  <si>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</si>
  <si>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</si>
  <si>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</si>
  <si>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</si>
  <si>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</si>
  <si>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</si>
  <si>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</si>
  <si>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</si>
  <si>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</si>
  <si>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</si>
  <si>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</si>
  <si>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</si>
  <si>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</si>
  <si>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</si>
  <si>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</si>
  <si>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</si>
  <si>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</si>
  <si>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</si>
  <si>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</si>
  <si>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</si>
  <si>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</si>
  <si>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</si>
  <si>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</si>
  <si>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</si>
  <si>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</si>
  <si>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</si>
  <si>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</si>
  <si>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</si>
  <si>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</si>
  <si>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</si>
  <si>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</si>
  <si>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</si>
  <si>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</si>
  <si>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</si>
  <si>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</si>
  <si>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</si>
  <si>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</si>
  <si>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</si>
  <si>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</si>
  <si>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</si>
  <si>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</si>
  <si>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</si>
  <si>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</si>
  <si>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</si>
  <si>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</si>
  <si>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</si>
  <si>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</si>
  <si>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</si>
  <si>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</si>
  <si>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</si>
  <si>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</si>
  <si>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</si>
  <si>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</si>
  <si>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</si>
  <si>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</si>
  <si>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</si>
  <si>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</si>
  <si>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</si>
  <si>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</si>
  <si>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</si>
  <si>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</si>
  <si>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</si>
  <si>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</si>
  <si>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</si>
  <si>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</si>
  <si>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</si>
  <si>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</si>
  <si>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</si>
  <si>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</si>
  <si>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</si>
  <si>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</si>
  <si>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</si>
  <si>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</si>
  <si>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</si>
  <si>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</si>
  <si>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</si>
  <si>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</si>
  <si>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</si>
  <si>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</si>
  <si>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</si>
  <si>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</si>
  <si>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</si>
  <si>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</si>
  <si>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</si>
  <si>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</si>
  <si>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</si>
  <si>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</si>
  <si>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</si>
  <si>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</si>
  <si>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</si>
  <si>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</si>
  <si>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</si>
  <si>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</si>
  <si>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</si>
  <si>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</si>
  <si>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</si>
  <si>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</si>
  <si>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</si>
  <si>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</si>
  <si>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</si>
  <si>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</si>
  <si>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</si>
  <si>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</si>
  <si>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</si>
  <si>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</si>
  <si>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</si>
  <si>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</si>
  <si>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</si>
  <si>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</si>
  <si>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</si>
  <si>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</si>
  <si>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</si>
  <si>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</si>
  <si>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</si>
  <si>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</si>
  <si>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</si>
  <si>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</si>
  <si>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</si>
  <si>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</si>
  <si>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</si>
  <si>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</si>
  <si>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</si>
  <si>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</si>
  <si>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</si>
  <si>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</si>
  <si>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</si>
  <si>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</si>
  <si>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</si>
  <si>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</si>
  <si>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</si>
  <si>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</si>
  <si>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</si>
  <si>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</si>
  <si>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</si>
  <si>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</si>
  <si>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</si>
  <si>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</si>
  <si>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</si>
  <si>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</si>
  <si>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</si>
  <si>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</si>
  <si>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</si>
  <si>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</si>
  <si>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</si>
  <si>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</si>
  <si>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</si>
  <si>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</si>
  <si>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</si>
  <si>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</si>
  <si>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</si>
  <si>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</si>
  <si>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</si>
  <si>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</si>
  <si>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</si>
  <si>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</si>
  <si>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</si>
  <si>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</si>
  <si>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</si>
  <si>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</si>
  <si>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</si>
  <si>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</si>
  <si>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</si>
  <si>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</si>
  <si>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</si>
  <si>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</si>
  <si>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</si>
  <si>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</si>
  <si>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</si>
  <si>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</si>
  <si>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</si>
  <si>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</si>
  <si>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</si>
  <si>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</si>
  <si>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</si>
  <si>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</si>
  <si>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</si>
  <si>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</si>
  <si>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</si>
  <si>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</si>
  <si>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</si>
  <si>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</si>
  <si>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</si>
  <si>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</si>
  <si>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</si>
  <si>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</si>
  <si>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</si>
  <si>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</si>
  <si>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</si>
  <si>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</si>
  <si>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</si>
  <si>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</si>
  <si>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</si>
  <si>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</si>
  <si>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</si>
  <si>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</si>
  <si>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</si>
  <si>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</si>
  <si>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</si>
  <si>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</si>
  <si>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</si>
  <si>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</si>
  <si>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</si>
  <si>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</si>
  <si>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</si>
  <si>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</si>
  <si>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</si>
  <si>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</si>
  <si>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</si>
  <si>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</si>
  <si>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</si>
  <si>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</si>
  <si>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</si>
  <si>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</si>
  <si>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</si>
  <si>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</si>
  <si>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</si>
  <si>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</si>
  <si>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</si>
  <si>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</si>
  <si>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</si>
  <si>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</si>
  <si>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</si>
  <si>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</si>
  <si>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</si>
  <si>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</si>
  <si>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</si>
  <si>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</si>
  <si>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</si>
  <si>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</si>
  <si>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</si>
  <si>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</si>
  <si>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</si>
  <si>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</si>
  <si>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</si>
  <si>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</si>
  <si>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</si>
  <si>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</si>
  <si>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</si>
  <si>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</si>
  <si>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</si>
  <si>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</si>
  <si>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</si>
  <si>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</si>
  <si>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</si>
  <si>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</si>
  <si>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</si>
  <si>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</si>
  <si>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</si>
  <si>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</si>
  <si>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</si>
  <si>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</si>
  <si>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</si>
  <si>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</si>
  <si>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</si>
  <si>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</si>
  <si>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</si>
  <si>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</si>
  <si>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</si>
  <si>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</si>
  <si>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</si>
  <si>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</si>
  <si>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</si>
  <si>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</si>
  <si>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</si>
  <si>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</si>
  <si>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</si>
  <si>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</si>
  <si>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</si>
  <si>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</si>
  <si>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</si>
  <si>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</si>
  <si>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</si>
  <si>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</si>
  <si>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</si>
  <si>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</si>
  <si>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</si>
  <si>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</si>
  <si>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</si>
  <si>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</si>
  <si>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</si>
  <si>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</si>
  <si>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</si>
  <si>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</si>
  <si>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</si>
  <si>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</si>
  <si>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</si>
  <si>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</si>
  <si>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</si>
  <si>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</si>
  <si>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</si>
  <si>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</si>
  <si>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</si>
  <si>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</si>
  <si>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</si>
  <si>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</si>
  <si>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</si>
  <si>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</si>
  <si>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</si>
  <si>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</si>
  <si>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</si>
  <si>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</si>
  <si>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</si>
  <si>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</si>
  <si>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</si>
  <si>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</si>
  <si>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</si>
  <si>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</si>
  <si>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</si>
  <si>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</si>
  <si>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</si>
  <si>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</si>
  <si>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</si>
  <si>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</si>
  <si>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</si>
  <si>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</si>
  <si>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</si>
  <si>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</si>
  <si>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</si>
  <si>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</si>
  <si>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</si>
  <si>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</si>
  <si>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</si>
  <si>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</si>
  <si>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</si>
  <si>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</si>
  <si>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</si>
  <si>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</si>
  <si>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</si>
  <si>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</si>
  <si>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</si>
  <si>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</si>
  <si>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</si>
  <si>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</si>
  <si>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</si>
  <si>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</si>
  <si>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</si>
  <si>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</si>
  <si>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</si>
  <si>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</si>
  <si>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</si>
  <si>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</si>
  <si>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</si>
  <si>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</si>
  <si>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</si>
  <si>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</si>
  <si>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</si>
  <si>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</si>
  <si>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</si>
  <si>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</si>
  <si>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</si>
  <si>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</si>
  <si>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</si>
  <si>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</si>
  <si>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</si>
  <si>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</si>
  <si>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</si>
  <si>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</si>
  <si>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</si>
  <si>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</si>
  <si>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</si>
  <si>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</si>
  <si>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</si>
  <si>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</si>
  <si>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</si>
  <si>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</si>
  <si>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</si>
  <si>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</si>
  <si>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</si>
  <si>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</si>
  <si>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</si>
  <si>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</si>
  <si>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</si>
  <si>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</si>
  <si>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</si>
  <si>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</si>
  <si>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</si>
  <si>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</si>
  <si>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</si>
  <si>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</si>
  <si>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</si>
  <si>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</si>
  <si>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</si>
  <si>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</si>
  <si>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</si>
  <si>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</si>
  <si>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</si>
  <si>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</si>
  <si>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</si>
  <si>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</si>
  <si>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</si>
  <si>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</si>
  <si>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</si>
  <si>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</si>
  <si>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</si>
  <si>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</si>
  <si>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</si>
  <si>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</si>
  <si>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</si>
  <si>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</si>
  <si>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</si>
  <si>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</si>
  <si>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</si>
  <si>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</si>
  <si>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</si>
  <si>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</si>
  <si>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</si>
  <si>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</si>
  <si>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</si>
  <si>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</si>
  <si>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</si>
  <si>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</si>
  <si>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</si>
  <si>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</si>
  <si>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</si>
  <si>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</si>
  <si>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</si>
  <si>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</si>
  <si>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</si>
  <si>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36006</t>
  </si>
  <si>
    <t>HOOGLEDE</t>
  </si>
  <si>
    <t>referentietaak LNE (2017); Jaarverslag De Lijn</t>
  </si>
  <si>
    <t>waterkracht</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</si>
  <si>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</si>
  <si>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</si>
  <si>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</si>
  <si>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</si>
  <si>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</si>
  <si>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</si>
  <si>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</si>
  <si>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</si>
  <si>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</si>
  <si>
    <t>Bostoen tuinbouwbedrijf</t>
  </si>
  <si>
    <t>WKK-0964</t>
  </si>
  <si>
    <t>Interne verbrandingsmotor</t>
  </si>
  <si>
    <t>Oude Rozebekestraat 70 / A</t>
  </si>
  <si>
    <t>W.V.E.M. (via INFRAX)</t>
  </si>
  <si>
    <t>Koen Saelens</t>
  </si>
  <si>
    <t>WKK-0979</t>
  </si>
  <si>
    <t>Grote Hazewindstraat 1 /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</si>
</sst>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80506.485594342128</c:v>
                </c:pt>
                <c:pt idx="1">
                  <c:v>46101.719165077273</c:v>
                </c:pt>
                <c:pt idx="2">
                  <c:v>672.89271600000006</c:v>
                </c:pt>
                <c:pt idx="3">
                  <c:v>32525.246148367154</c:v>
                </c:pt>
                <c:pt idx="4">
                  <c:v>104199.0848136998</c:v>
                </c:pt>
                <c:pt idx="5">
                  <c:v>61671.506711545117</c:v>
                </c:pt>
                <c:pt idx="6">
                  <c:v>509.25592634768702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80506.485594342128</c:v>
                </c:pt>
                <c:pt idx="1">
                  <c:v>46101.719165077273</c:v>
                </c:pt>
                <c:pt idx="2">
                  <c:v>672.89271600000006</c:v>
                </c:pt>
                <c:pt idx="3">
                  <c:v>32525.246148367154</c:v>
                </c:pt>
                <c:pt idx="4">
                  <c:v>104199.0848136998</c:v>
                </c:pt>
                <c:pt idx="5">
                  <c:v>61671.506711545117</c:v>
                </c:pt>
                <c:pt idx="6">
                  <c:v>509.25592634768702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16196.208354440725</c:v>
                </c:pt>
                <c:pt idx="1">
                  <c:v>8761.0812754698964</c:v>
                </c:pt>
                <c:pt idx="2">
                  <c:v>126.8075163433498</c:v>
                </c:pt>
                <c:pt idx="3">
                  <c:v>6896.0645006172153</c:v>
                </c:pt>
                <c:pt idx="4">
                  <c:v>21107.2926279065</c:v>
                </c:pt>
                <c:pt idx="5">
                  <c:v>15313.905596330424</c:v>
                </c:pt>
                <c:pt idx="6">
                  <c:v>128.1026822957582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16196.208354440725</c:v>
                </c:pt>
                <c:pt idx="1">
                  <c:v>8761.0812754698964</c:v>
                </c:pt>
                <c:pt idx="2">
                  <c:v>126.8075163433498</c:v>
                </c:pt>
                <c:pt idx="3">
                  <c:v>6896.0645006172153</c:v>
                </c:pt>
                <c:pt idx="4">
                  <c:v>21107.2926279065</c:v>
                </c:pt>
                <c:pt idx="5">
                  <c:v>15313.905596330424</c:v>
                </c:pt>
                <c:pt idx="6">
                  <c:v>128.1026822957582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36006</v>
      </c>
      <c r="B6" s="386"/>
      <c r="C6" s="387"/>
    </row>
    <row r="7" spans="1:7" s="384" customFormat="1" ht="15.75" customHeight="1">
      <c r="A7" s="388" t="str">
        <f>txtMunicipality</f>
        <v>HOOGLEDE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18545.616690999999</v>
      </c>
      <c r="D10" s="683">
        <f ca="1">tertiair!C16</f>
        <v>6955.7142857142853</v>
      </c>
      <c r="E10" s="683">
        <f ca="1">tertiair!D16</f>
        <v>16983.278513160429</v>
      </c>
      <c r="F10" s="683">
        <f>tertiair!E16</f>
        <v>77.368391799176692</v>
      </c>
      <c r="G10" s="683">
        <f ca="1">tertiair!F16</f>
        <v>3839.9295985861759</v>
      </c>
      <c r="H10" s="683">
        <f>tertiair!G16</f>
        <v>0</v>
      </c>
      <c r="I10" s="683">
        <f>tertiair!H16</f>
        <v>0</v>
      </c>
      <c r="J10" s="683">
        <f>tertiair!I16</f>
        <v>0</v>
      </c>
      <c r="K10" s="683">
        <f>tertiair!J16</f>
        <v>3.317190589721012E-2</v>
      </c>
      <c r="L10" s="683">
        <f>tertiair!K16</f>
        <v>0</v>
      </c>
      <c r="M10" s="683">
        <f ca="1">tertiair!L16</f>
        <v>0</v>
      </c>
      <c r="N10" s="683">
        <f>tertiair!M16</f>
        <v>0</v>
      </c>
      <c r="O10" s="683">
        <f ca="1">tertiair!N16</f>
        <v>0</v>
      </c>
      <c r="P10" s="683">
        <f>tertiair!O16</f>
        <v>4.8972607658411542</v>
      </c>
      <c r="Q10" s="684">
        <f>tertiair!P16</f>
        <v>367.77396814546512</v>
      </c>
      <c r="R10" s="686">
        <f ca="1">SUM(C10:Q10)</f>
        <v>46774.611881077268</v>
      </c>
      <c r="S10" s="67"/>
    </row>
    <row r="11" spans="1:19" s="445" customFormat="1">
      <c r="A11" s="804" t="s">
        <v>220</v>
      </c>
      <c r="B11" s="809"/>
      <c r="C11" s="683">
        <f>huishoudens!B8</f>
        <v>17242.575341239895</v>
      </c>
      <c r="D11" s="683">
        <f>huishoudens!C8</f>
        <v>0</v>
      </c>
      <c r="E11" s="683">
        <f>huishoudens!D8</f>
        <v>34361.704681814997</v>
      </c>
      <c r="F11" s="683">
        <f>huishoudens!E8</f>
        <v>981.29134717703448</v>
      </c>
      <c r="G11" s="683">
        <f>huishoudens!F8</f>
        <v>21496.762202878712</v>
      </c>
      <c r="H11" s="683">
        <f>huishoudens!G8</f>
        <v>0</v>
      </c>
      <c r="I11" s="683">
        <f>huishoudens!H8</f>
        <v>0</v>
      </c>
      <c r="J11" s="683">
        <f>huishoudens!I8</f>
        <v>0</v>
      </c>
      <c r="K11" s="683">
        <f>huishoudens!J8</f>
        <v>122.51239897587806</v>
      </c>
      <c r="L11" s="683">
        <f>huishoudens!K8</f>
        <v>0</v>
      </c>
      <c r="M11" s="683">
        <f>huishoudens!L8</f>
        <v>0</v>
      </c>
      <c r="N11" s="683">
        <f>huishoudens!M8</f>
        <v>0</v>
      </c>
      <c r="O11" s="683">
        <f>huishoudens!N8</f>
        <v>5356.043565406434</v>
      </c>
      <c r="P11" s="683">
        <f>huishoudens!O8</f>
        <v>482.10184731104874</v>
      </c>
      <c r="Q11" s="684">
        <f>huishoudens!P8</f>
        <v>463.49420953814104</v>
      </c>
      <c r="R11" s="686">
        <f>SUM(C11:Q11)</f>
        <v>80506.485594342128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53864.752381999999</v>
      </c>
      <c r="D13" s="683">
        <f>industrie!C18</f>
        <v>0</v>
      </c>
      <c r="E13" s="683">
        <f>industrie!D18</f>
        <v>34202.213714591999</v>
      </c>
      <c r="F13" s="683">
        <f>industrie!E18</f>
        <v>83.299817135455683</v>
      </c>
      <c r="G13" s="683">
        <f>industrie!F18</f>
        <v>15084.885023623974</v>
      </c>
      <c r="H13" s="683">
        <f>industrie!G18</f>
        <v>0</v>
      </c>
      <c r="I13" s="683">
        <f>industrie!H18</f>
        <v>0</v>
      </c>
      <c r="J13" s="683">
        <f>industrie!I18</f>
        <v>0</v>
      </c>
      <c r="K13" s="683">
        <f>industrie!J18</f>
        <v>2.79306928721499</v>
      </c>
      <c r="L13" s="683">
        <f>industrie!K18</f>
        <v>0</v>
      </c>
      <c r="M13" s="683">
        <f>industrie!L18</f>
        <v>0</v>
      </c>
      <c r="N13" s="683">
        <f>industrie!M18</f>
        <v>0</v>
      </c>
      <c r="O13" s="683">
        <f>industrie!N18</f>
        <v>961.14080706114396</v>
      </c>
      <c r="P13" s="683">
        <f>industrie!O18</f>
        <v>0</v>
      </c>
      <c r="Q13" s="684">
        <f>industrie!P18</f>
        <v>0</v>
      </c>
      <c r="R13" s="686">
        <f>SUM(C13:Q13)</f>
        <v>104199.0848136998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89652.944414239901</v>
      </c>
      <c r="D16" s="719">
        <f t="shared" ref="D16:R16" ca="1" si="0">SUM(D9:D15)</f>
        <v>6955.7142857142853</v>
      </c>
      <c r="E16" s="719">
        <f t="shared" ca="1" si="0"/>
        <v>85547.196909567429</v>
      </c>
      <c r="F16" s="719">
        <f t="shared" si="0"/>
        <v>1141.9595561116669</v>
      </c>
      <c r="G16" s="719">
        <f t="shared" ca="1" si="0"/>
        <v>40421.576825088865</v>
      </c>
      <c r="H16" s="719">
        <f t="shared" si="0"/>
        <v>0</v>
      </c>
      <c r="I16" s="719">
        <f t="shared" si="0"/>
        <v>0</v>
      </c>
      <c r="J16" s="719">
        <f t="shared" si="0"/>
        <v>0</v>
      </c>
      <c r="K16" s="719">
        <f t="shared" si="0"/>
        <v>125.33864016899025</v>
      </c>
      <c r="L16" s="719">
        <f t="shared" si="0"/>
        <v>0</v>
      </c>
      <c r="M16" s="719">
        <f t="shared" ca="1" si="0"/>
        <v>0</v>
      </c>
      <c r="N16" s="719">
        <f t="shared" si="0"/>
        <v>0</v>
      </c>
      <c r="O16" s="719">
        <f t="shared" ca="1" si="0"/>
        <v>6317.1843724675782</v>
      </c>
      <c r="P16" s="719">
        <f t="shared" si="0"/>
        <v>486.99910807688991</v>
      </c>
      <c r="Q16" s="719">
        <f t="shared" si="0"/>
        <v>831.26817768360615</v>
      </c>
      <c r="R16" s="719">
        <f t="shared" ca="1" si="0"/>
        <v>231480.1822891192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7.5784894677172145</v>
      </c>
      <c r="D19" s="683">
        <f>transport!C54</f>
        <v>0</v>
      </c>
      <c r="E19" s="683">
        <f>transport!D54</f>
        <v>0</v>
      </c>
      <c r="F19" s="683">
        <f>transport!E54</f>
        <v>0</v>
      </c>
      <c r="G19" s="683">
        <f>transport!F54</f>
        <v>0</v>
      </c>
      <c r="H19" s="683">
        <f>transport!G54</f>
        <v>474.43635205738747</v>
      </c>
      <c r="I19" s="683">
        <f>transport!H54</f>
        <v>0</v>
      </c>
      <c r="J19" s="683">
        <f>transport!I54</f>
        <v>0</v>
      </c>
      <c r="K19" s="683">
        <f>transport!J54</f>
        <v>0</v>
      </c>
      <c r="L19" s="683">
        <f>transport!K54</f>
        <v>0</v>
      </c>
      <c r="M19" s="683">
        <f>transport!L54</f>
        <v>0</v>
      </c>
      <c r="N19" s="683">
        <f>transport!M54</f>
        <v>27.241084822582359</v>
      </c>
      <c r="O19" s="683">
        <f>transport!N54</f>
        <v>0</v>
      </c>
      <c r="P19" s="683">
        <f>transport!O54</f>
        <v>0</v>
      </c>
      <c r="Q19" s="684">
        <f>transport!P54</f>
        <v>0</v>
      </c>
      <c r="R19" s="686">
        <f>SUM(C19:Q19)</f>
        <v>509.25592634768702</v>
      </c>
      <c r="S19" s="67"/>
    </row>
    <row r="20" spans="1:19" s="445" customFormat="1">
      <c r="A20" s="804" t="s">
        <v>302</v>
      </c>
      <c r="B20" s="809"/>
      <c r="C20" s="683">
        <f>transport!B14</f>
        <v>121.52214218011534</v>
      </c>
      <c r="D20" s="683">
        <f>transport!C14</f>
        <v>0</v>
      </c>
      <c r="E20" s="683">
        <f>transport!D14</f>
        <v>226.45301005555535</v>
      </c>
      <c r="F20" s="683">
        <f>transport!E14</f>
        <v>88.239177489935486</v>
      </c>
      <c r="G20" s="683">
        <f>transport!F14</f>
        <v>0</v>
      </c>
      <c r="H20" s="683">
        <f>transport!G14</f>
        <v>46705.263719568844</v>
      </c>
      <c r="I20" s="683">
        <f>transport!H14</f>
        <v>11063.957327471826</v>
      </c>
      <c r="J20" s="683">
        <f>transport!I14</f>
        <v>0</v>
      </c>
      <c r="K20" s="683">
        <f>transport!J14</f>
        <v>0</v>
      </c>
      <c r="L20" s="683">
        <f>transport!K14</f>
        <v>0</v>
      </c>
      <c r="M20" s="683">
        <f>transport!L14</f>
        <v>0</v>
      </c>
      <c r="N20" s="683">
        <f>transport!M14</f>
        <v>3466.0713347788424</v>
      </c>
      <c r="O20" s="683">
        <f>transport!N14</f>
        <v>0</v>
      </c>
      <c r="P20" s="683">
        <f>transport!O14</f>
        <v>0</v>
      </c>
      <c r="Q20" s="684">
        <f>transport!P14</f>
        <v>0</v>
      </c>
      <c r="R20" s="686">
        <f>SUM(C20:Q20)</f>
        <v>61671.506711545117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129.10063164783256</v>
      </c>
      <c r="D22" s="807">
        <f t="shared" ref="D22:R22" si="1">SUM(D18:D21)</f>
        <v>0</v>
      </c>
      <c r="E22" s="807">
        <f t="shared" si="1"/>
        <v>226.45301005555535</v>
      </c>
      <c r="F22" s="807">
        <f t="shared" si="1"/>
        <v>88.239177489935486</v>
      </c>
      <c r="G22" s="807">
        <f t="shared" si="1"/>
        <v>0</v>
      </c>
      <c r="H22" s="807">
        <f t="shared" si="1"/>
        <v>47179.700071626234</v>
      </c>
      <c r="I22" s="807">
        <f t="shared" si="1"/>
        <v>11063.957327471826</v>
      </c>
      <c r="J22" s="807">
        <f t="shared" si="1"/>
        <v>0</v>
      </c>
      <c r="K22" s="807">
        <f t="shared" si="1"/>
        <v>0</v>
      </c>
      <c r="L22" s="807">
        <f t="shared" si="1"/>
        <v>0</v>
      </c>
      <c r="M22" s="807">
        <f t="shared" si="1"/>
        <v>0</v>
      </c>
      <c r="N22" s="807">
        <f t="shared" si="1"/>
        <v>3493.3124196014246</v>
      </c>
      <c r="O22" s="807">
        <f t="shared" si="1"/>
        <v>0</v>
      </c>
      <c r="P22" s="807">
        <f t="shared" si="1"/>
        <v>0</v>
      </c>
      <c r="Q22" s="807">
        <f t="shared" si="1"/>
        <v>0</v>
      </c>
      <c r="R22" s="807">
        <f t="shared" si="1"/>
        <v>62180.762637892803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3957.4366660000001</v>
      </c>
      <c r="D24" s="683">
        <f>+landbouw!C8</f>
        <v>8458.3928571428569</v>
      </c>
      <c r="E24" s="683">
        <f>+landbouw!D8</f>
        <v>6462.6168507852817</v>
      </c>
      <c r="F24" s="683">
        <f>+landbouw!E8</f>
        <v>113.34768332320023</v>
      </c>
      <c r="G24" s="683">
        <f>+landbouw!F8</f>
        <v>12527.2002199295</v>
      </c>
      <c r="H24" s="683">
        <f>+landbouw!G8</f>
        <v>0</v>
      </c>
      <c r="I24" s="683">
        <f>+landbouw!H8</f>
        <v>0</v>
      </c>
      <c r="J24" s="683">
        <f>+landbouw!I8</f>
        <v>0</v>
      </c>
      <c r="K24" s="683">
        <f>+landbouw!J8</f>
        <v>1006.2518711863113</v>
      </c>
      <c r="L24" s="683">
        <f>+landbouw!K8</f>
        <v>0</v>
      </c>
      <c r="M24" s="683">
        <f>+landbouw!L8</f>
        <v>0</v>
      </c>
      <c r="N24" s="683">
        <f>+landbouw!M8</f>
        <v>0</v>
      </c>
      <c r="O24" s="683">
        <f>+landbouw!N8</f>
        <v>0</v>
      </c>
      <c r="P24" s="683">
        <f>+landbouw!O8</f>
        <v>0</v>
      </c>
      <c r="Q24" s="684">
        <f>+landbouw!P8</f>
        <v>0</v>
      </c>
      <c r="R24" s="686">
        <f>SUM(C24:Q24)</f>
        <v>32525.246148367154</v>
      </c>
      <c r="S24" s="67"/>
    </row>
    <row r="25" spans="1:19" s="445" customFormat="1" ht="15" thickBot="1">
      <c r="A25" s="826" t="s">
        <v>696</v>
      </c>
      <c r="B25" s="939"/>
      <c r="C25" s="940">
        <f>IF(Onbekend_ele_kWh="---",0,Onbekend_ele_kWh)/1000+IF(REST_rest_ele_kWh="---",0,REST_rest_ele_kWh)/1000</f>
        <v>549.44964399999992</v>
      </c>
      <c r="D25" s="940"/>
      <c r="E25" s="940">
        <f>IF(onbekend_gas_kWh="---",0,onbekend_gas_kWh)/1000+IF(REST_rest_gas_kWh="---",0,REST_rest_gas_kWh)/1000</f>
        <v>528.15404899999999</v>
      </c>
      <c r="F25" s="940"/>
      <c r="G25" s="940"/>
      <c r="H25" s="940"/>
      <c r="I25" s="940"/>
      <c r="J25" s="940"/>
      <c r="K25" s="940"/>
      <c r="L25" s="940"/>
      <c r="M25" s="940"/>
      <c r="N25" s="940"/>
      <c r="O25" s="940"/>
      <c r="P25" s="940"/>
      <c r="Q25" s="941"/>
      <c r="R25" s="686">
        <f>SUM(C25:Q25)</f>
        <v>1077.603693</v>
      </c>
      <c r="S25" s="67"/>
    </row>
    <row r="26" spans="1:19" s="445" customFormat="1" ht="15.75" thickBot="1">
      <c r="A26" s="691" t="s">
        <v>697</v>
      </c>
      <c r="B26" s="812"/>
      <c r="C26" s="807">
        <f>SUM(C24:C25)</f>
        <v>4506.8863099999999</v>
      </c>
      <c r="D26" s="807">
        <f t="shared" ref="D26:R26" si="2">SUM(D24:D25)</f>
        <v>8458.3928571428569</v>
      </c>
      <c r="E26" s="807">
        <f t="shared" si="2"/>
        <v>6990.7708997852815</v>
      </c>
      <c r="F26" s="807">
        <f t="shared" si="2"/>
        <v>113.34768332320023</v>
      </c>
      <c r="G26" s="807">
        <f t="shared" si="2"/>
        <v>12527.2002199295</v>
      </c>
      <c r="H26" s="807">
        <f t="shared" si="2"/>
        <v>0</v>
      </c>
      <c r="I26" s="807">
        <f t="shared" si="2"/>
        <v>0</v>
      </c>
      <c r="J26" s="807">
        <f t="shared" si="2"/>
        <v>0</v>
      </c>
      <c r="K26" s="807">
        <f t="shared" si="2"/>
        <v>1006.2518711863113</v>
      </c>
      <c r="L26" s="807">
        <f t="shared" si="2"/>
        <v>0</v>
      </c>
      <c r="M26" s="807">
        <f t="shared" si="2"/>
        <v>0</v>
      </c>
      <c r="N26" s="807">
        <f t="shared" si="2"/>
        <v>0</v>
      </c>
      <c r="O26" s="807">
        <f t="shared" si="2"/>
        <v>0</v>
      </c>
      <c r="P26" s="807">
        <f t="shared" si="2"/>
        <v>0</v>
      </c>
      <c r="Q26" s="807">
        <f t="shared" si="2"/>
        <v>0</v>
      </c>
      <c r="R26" s="807">
        <f t="shared" si="2"/>
        <v>33602.849841367155</v>
      </c>
      <c r="S26" s="67"/>
    </row>
    <row r="27" spans="1:19" s="445" customFormat="1" ht="17.25" thickTop="1" thickBot="1">
      <c r="A27" s="692" t="s">
        <v>115</v>
      </c>
      <c r="B27" s="799"/>
      <c r="C27" s="693">
        <f ca="1">C22+C16+C26</f>
        <v>94288.931355887733</v>
      </c>
      <c r="D27" s="693">
        <f t="shared" ref="D27:R27" ca="1" si="3">D22+D16+D26</f>
        <v>15414.107142857141</v>
      </c>
      <c r="E27" s="693">
        <f t="shared" ca="1" si="3"/>
        <v>92764.42081940826</v>
      </c>
      <c r="F27" s="693">
        <f t="shared" si="3"/>
        <v>1343.5464169248025</v>
      </c>
      <c r="G27" s="693">
        <f t="shared" ca="1" si="3"/>
        <v>52948.777045018367</v>
      </c>
      <c r="H27" s="693">
        <f t="shared" si="3"/>
        <v>47179.700071626234</v>
      </c>
      <c r="I27" s="693">
        <f t="shared" si="3"/>
        <v>11063.957327471826</v>
      </c>
      <c r="J27" s="693">
        <f t="shared" si="3"/>
        <v>0</v>
      </c>
      <c r="K27" s="693">
        <f t="shared" si="3"/>
        <v>1131.5905113553015</v>
      </c>
      <c r="L27" s="693">
        <f t="shared" si="3"/>
        <v>0</v>
      </c>
      <c r="M27" s="693">
        <f t="shared" ca="1" si="3"/>
        <v>0</v>
      </c>
      <c r="N27" s="693">
        <f t="shared" si="3"/>
        <v>3493.3124196014246</v>
      </c>
      <c r="O27" s="693">
        <f t="shared" ca="1" si="3"/>
        <v>6317.1843724675782</v>
      </c>
      <c r="P27" s="693">
        <f t="shared" si="3"/>
        <v>486.99910807688991</v>
      </c>
      <c r="Q27" s="693">
        <f t="shared" si="3"/>
        <v>831.26817768360615</v>
      </c>
      <c r="R27" s="693">
        <f t="shared" ca="1" si="3"/>
        <v>327263.79476837919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3494.9458297323631</v>
      </c>
      <c r="D40" s="683">
        <f ca="1">tertiair!C20</f>
        <v>919.48513180686712</v>
      </c>
      <c r="E40" s="683">
        <f ca="1">tertiair!D20</f>
        <v>3430.6222596584066</v>
      </c>
      <c r="F40" s="683">
        <f>tertiair!E20</f>
        <v>17.562624938413109</v>
      </c>
      <c r="G40" s="683">
        <f ca="1">tertiair!F20</f>
        <v>1025.2612028225089</v>
      </c>
      <c r="H40" s="683">
        <f>tertiair!G20</f>
        <v>0</v>
      </c>
      <c r="I40" s="683">
        <f>tertiair!H20</f>
        <v>0</v>
      </c>
      <c r="J40" s="683">
        <f>tertiair!I20</f>
        <v>0</v>
      </c>
      <c r="K40" s="683">
        <f>tertiair!J20</f>
        <v>1.1742854687612382E-2</v>
      </c>
      <c r="L40" s="683">
        <f>tertiair!K20</f>
        <v>0</v>
      </c>
      <c r="M40" s="683">
        <f ca="1">tertiair!L20</f>
        <v>0</v>
      </c>
      <c r="N40" s="683">
        <f>tertiair!M20</f>
        <v>0</v>
      </c>
      <c r="O40" s="683">
        <f ca="1">tertiair!N20</f>
        <v>0</v>
      </c>
      <c r="P40" s="683">
        <f>tertiair!O20</f>
        <v>0</v>
      </c>
      <c r="Q40" s="766">
        <f>tertiair!P20</f>
        <v>0</v>
      </c>
      <c r="R40" s="845">
        <f t="shared" ca="1" si="4"/>
        <v>8887.8887918132459</v>
      </c>
    </row>
    <row r="41" spans="1:18">
      <c r="A41" s="817" t="s">
        <v>220</v>
      </c>
      <c r="B41" s="824"/>
      <c r="C41" s="683">
        <f ca="1">huishoudens!B12</f>
        <v>3249.3859754988312</v>
      </c>
      <c r="D41" s="683">
        <f ca="1">huishoudens!C12</f>
        <v>0</v>
      </c>
      <c r="E41" s="683">
        <f>huishoudens!D12</f>
        <v>6941.0643457266297</v>
      </c>
      <c r="F41" s="683">
        <f>huishoudens!E12</f>
        <v>222.75313580918683</v>
      </c>
      <c r="G41" s="683">
        <f>huishoudens!F12</f>
        <v>5739.6355081686161</v>
      </c>
      <c r="H41" s="683">
        <f>huishoudens!G12</f>
        <v>0</v>
      </c>
      <c r="I41" s="683">
        <f>huishoudens!H12</f>
        <v>0</v>
      </c>
      <c r="J41" s="683">
        <f>huishoudens!I12</f>
        <v>0</v>
      </c>
      <c r="K41" s="683">
        <f>huishoudens!J12</f>
        <v>43.36938923746083</v>
      </c>
      <c r="L41" s="683">
        <f>huishoudens!K12</f>
        <v>0</v>
      </c>
      <c r="M41" s="683">
        <f>huishoudens!L12</f>
        <v>0</v>
      </c>
      <c r="N41" s="683">
        <f>huishoudens!M12</f>
        <v>0</v>
      </c>
      <c r="O41" s="683">
        <f>huishoudens!N12</f>
        <v>0</v>
      </c>
      <c r="P41" s="683">
        <f>huishoudens!O12</f>
        <v>0</v>
      </c>
      <c r="Q41" s="766">
        <f>huishoudens!P12</f>
        <v>0</v>
      </c>
      <c r="R41" s="845">
        <f t="shared" ca="1" si="4"/>
        <v>16196.208354440725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10150.88335123389</v>
      </c>
      <c r="D43" s="683">
        <f ca="1">industrie!C22</f>
        <v>0</v>
      </c>
      <c r="E43" s="683">
        <f>industrie!D22</f>
        <v>6908.8471703475843</v>
      </c>
      <c r="F43" s="683">
        <f>industrie!E22</f>
        <v>18.909058489748439</v>
      </c>
      <c r="G43" s="683">
        <f>industrie!F22</f>
        <v>4027.6643013076014</v>
      </c>
      <c r="H43" s="683">
        <f>industrie!G22</f>
        <v>0</v>
      </c>
      <c r="I43" s="683">
        <f>industrie!H22</f>
        <v>0</v>
      </c>
      <c r="J43" s="683">
        <f>industrie!I22</f>
        <v>0</v>
      </c>
      <c r="K43" s="683">
        <f>industrie!J22</f>
        <v>0.98874652767410642</v>
      </c>
      <c r="L43" s="683">
        <f>industrie!K22</f>
        <v>0</v>
      </c>
      <c r="M43" s="683">
        <f>industrie!L22</f>
        <v>0</v>
      </c>
      <c r="N43" s="683">
        <f>industrie!M22</f>
        <v>0</v>
      </c>
      <c r="O43" s="683">
        <f>industrie!N22</f>
        <v>0</v>
      </c>
      <c r="P43" s="683">
        <f>industrie!O22</f>
        <v>0</v>
      </c>
      <c r="Q43" s="766">
        <f>industrie!P22</f>
        <v>0</v>
      </c>
      <c r="R43" s="844">
        <f t="shared" ca="1" si="4"/>
        <v>21107.2926279065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16895.215156465085</v>
      </c>
      <c r="D46" s="719">
        <f t="shared" ref="D46:Q46" ca="1" si="5">SUM(D39:D45)</f>
        <v>919.48513180686712</v>
      </c>
      <c r="E46" s="719">
        <f t="shared" ca="1" si="5"/>
        <v>17280.53377573262</v>
      </c>
      <c r="F46" s="719">
        <f t="shared" si="5"/>
        <v>259.22481923734836</v>
      </c>
      <c r="G46" s="719">
        <f t="shared" ca="1" si="5"/>
        <v>10792.561012298725</v>
      </c>
      <c r="H46" s="719">
        <f t="shared" si="5"/>
        <v>0</v>
      </c>
      <c r="I46" s="719">
        <f t="shared" si="5"/>
        <v>0</v>
      </c>
      <c r="J46" s="719">
        <f t="shared" si="5"/>
        <v>0</v>
      </c>
      <c r="K46" s="719">
        <f t="shared" si="5"/>
        <v>44.369878619822551</v>
      </c>
      <c r="L46" s="719">
        <f t="shared" si="5"/>
        <v>0</v>
      </c>
      <c r="M46" s="719">
        <f t="shared" ca="1" si="5"/>
        <v>0</v>
      </c>
      <c r="N46" s="719">
        <f t="shared" si="5"/>
        <v>0</v>
      </c>
      <c r="O46" s="719">
        <f t="shared" ca="1" si="5"/>
        <v>0</v>
      </c>
      <c r="P46" s="719">
        <f t="shared" si="5"/>
        <v>0</v>
      </c>
      <c r="Q46" s="719">
        <f t="shared" si="5"/>
        <v>0</v>
      </c>
      <c r="R46" s="719">
        <f ca="1">SUM(R39:R45)</f>
        <v>46191.389774160474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1.4281762964357232</v>
      </c>
      <c r="D49" s="683">
        <f ca="1">transport!C58</f>
        <v>0</v>
      </c>
      <c r="E49" s="683">
        <f>transport!D58</f>
        <v>0</v>
      </c>
      <c r="F49" s="683">
        <f>transport!E58</f>
        <v>0</v>
      </c>
      <c r="G49" s="683">
        <f>transport!F58</f>
        <v>0</v>
      </c>
      <c r="H49" s="683">
        <f>transport!G58</f>
        <v>126.67450599932246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128.1026822957582</v>
      </c>
    </row>
    <row r="50" spans="1:18">
      <c r="A50" s="820" t="s">
        <v>302</v>
      </c>
      <c r="B50" s="830"/>
      <c r="C50" s="689">
        <f ca="1">transport!B18</f>
        <v>22.901007343619177</v>
      </c>
      <c r="D50" s="689">
        <f>transport!C18</f>
        <v>0</v>
      </c>
      <c r="E50" s="689">
        <f>transport!D18</f>
        <v>45.743508031222184</v>
      </c>
      <c r="F50" s="689">
        <f>transport!E18</f>
        <v>20.030293290215354</v>
      </c>
      <c r="G50" s="689">
        <f>transport!F18</f>
        <v>0</v>
      </c>
      <c r="H50" s="689">
        <f>transport!G18</f>
        <v>12470.305413124883</v>
      </c>
      <c r="I50" s="689">
        <f>transport!H18</f>
        <v>2754.9253745404844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15313.905596330424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24.3291836400549</v>
      </c>
      <c r="D52" s="719">
        <f t="shared" ref="D52:Q52" ca="1" si="6">SUM(D48:D51)</f>
        <v>0</v>
      </c>
      <c r="E52" s="719">
        <f t="shared" si="6"/>
        <v>45.743508031222184</v>
      </c>
      <c r="F52" s="719">
        <f t="shared" si="6"/>
        <v>20.030293290215354</v>
      </c>
      <c r="G52" s="719">
        <f t="shared" si="6"/>
        <v>0</v>
      </c>
      <c r="H52" s="719">
        <f t="shared" si="6"/>
        <v>12596.979919124205</v>
      </c>
      <c r="I52" s="719">
        <f t="shared" si="6"/>
        <v>2754.9253745404844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15442.008278626181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745.78413879214395</v>
      </c>
      <c r="D54" s="689">
        <f ca="1">+landbouw!C12</f>
        <v>1118.1262127309476</v>
      </c>
      <c r="E54" s="689">
        <f>+landbouw!D12</f>
        <v>1305.4486038586269</v>
      </c>
      <c r="F54" s="689">
        <f>+landbouw!E12</f>
        <v>25.729924114366455</v>
      </c>
      <c r="G54" s="689">
        <f>+landbouw!F12</f>
        <v>3344.7624587211767</v>
      </c>
      <c r="H54" s="689">
        <f>+landbouw!G12</f>
        <v>0</v>
      </c>
      <c r="I54" s="689">
        <f>+landbouw!H12</f>
        <v>0</v>
      </c>
      <c r="J54" s="689">
        <f>+landbouw!I12</f>
        <v>0</v>
      </c>
      <c r="K54" s="689">
        <f>+landbouw!J12</f>
        <v>356.21316239995417</v>
      </c>
      <c r="L54" s="689">
        <f>+landbouw!K12</f>
        <v>0</v>
      </c>
      <c r="M54" s="689">
        <f>+landbouw!L12</f>
        <v>0</v>
      </c>
      <c r="N54" s="689">
        <f>+landbouw!M12</f>
        <v>0</v>
      </c>
      <c r="O54" s="689">
        <f>+landbouw!N12</f>
        <v>0</v>
      </c>
      <c r="P54" s="689">
        <f>+landbouw!O12</f>
        <v>0</v>
      </c>
      <c r="Q54" s="690">
        <f>+landbouw!P12</f>
        <v>0</v>
      </c>
      <c r="R54" s="718">
        <f ca="1">SUM(C54:Q54)</f>
        <v>6896.0645006172153</v>
      </c>
    </row>
    <row r="55" spans="1:18" ht="15" thickBot="1">
      <c r="A55" s="820" t="s">
        <v>696</v>
      </c>
      <c r="B55" s="830"/>
      <c r="C55" s="689">
        <f ca="1">C25*'EF ele_warmte'!B12</f>
        <v>103.5445072515508</v>
      </c>
      <c r="D55" s="689"/>
      <c r="E55" s="689">
        <f>E25*EF_CO2_aardgas</f>
        <v>106.68711789800001</v>
      </c>
      <c r="F55" s="689"/>
      <c r="G55" s="689"/>
      <c r="H55" s="689"/>
      <c r="I55" s="689"/>
      <c r="J55" s="689"/>
      <c r="K55" s="689"/>
      <c r="L55" s="689"/>
      <c r="M55" s="689"/>
      <c r="N55" s="689"/>
      <c r="O55" s="689"/>
      <c r="P55" s="689"/>
      <c r="Q55" s="690"/>
      <c r="R55" s="718">
        <f ca="1">SUM(C55:Q55)</f>
        <v>210.23162514955081</v>
      </c>
    </row>
    <row r="56" spans="1:18" ht="15.75" thickBot="1">
      <c r="A56" s="818" t="s">
        <v>697</v>
      </c>
      <c r="B56" s="831"/>
      <c r="C56" s="719">
        <f ca="1">SUM(C54:C55)</f>
        <v>849.32864604369479</v>
      </c>
      <c r="D56" s="719">
        <f t="shared" ref="D56:Q56" ca="1" si="7">SUM(D54:D55)</f>
        <v>1118.1262127309476</v>
      </c>
      <c r="E56" s="719">
        <f t="shared" si="7"/>
        <v>1412.1357217566269</v>
      </c>
      <c r="F56" s="719">
        <f t="shared" si="7"/>
        <v>25.729924114366455</v>
      </c>
      <c r="G56" s="719">
        <f t="shared" si="7"/>
        <v>3344.7624587211767</v>
      </c>
      <c r="H56" s="719">
        <f t="shared" si="7"/>
        <v>0</v>
      </c>
      <c r="I56" s="719">
        <f t="shared" si="7"/>
        <v>0</v>
      </c>
      <c r="J56" s="719">
        <f t="shared" si="7"/>
        <v>0</v>
      </c>
      <c r="K56" s="719">
        <f t="shared" si="7"/>
        <v>356.21316239995417</v>
      </c>
      <c r="L56" s="719">
        <f t="shared" si="7"/>
        <v>0</v>
      </c>
      <c r="M56" s="719">
        <f t="shared" si="7"/>
        <v>0</v>
      </c>
      <c r="N56" s="719">
        <f t="shared" si="7"/>
        <v>0</v>
      </c>
      <c r="O56" s="719">
        <f t="shared" si="7"/>
        <v>0</v>
      </c>
      <c r="P56" s="719">
        <f t="shared" si="7"/>
        <v>0</v>
      </c>
      <c r="Q56" s="720">
        <f t="shared" si="7"/>
        <v>0</v>
      </c>
      <c r="R56" s="721">
        <f ca="1">SUM(R54:R55)</f>
        <v>7106.2961257667657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17768.872986148832</v>
      </c>
      <c r="D61" s="727">
        <f t="shared" ref="D61:Q61" ca="1" si="8">D46+D52+D56</f>
        <v>2037.6113445378146</v>
      </c>
      <c r="E61" s="727">
        <f t="shared" ca="1" si="8"/>
        <v>18738.413005520466</v>
      </c>
      <c r="F61" s="727">
        <f t="shared" si="8"/>
        <v>304.98503664193015</v>
      </c>
      <c r="G61" s="727">
        <f t="shared" ca="1" si="8"/>
        <v>14137.323471019903</v>
      </c>
      <c r="H61" s="727">
        <f t="shared" si="8"/>
        <v>12596.979919124205</v>
      </c>
      <c r="I61" s="727">
        <f t="shared" si="8"/>
        <v>2754.9253745404844</v>
      </c>
      <c r="J61" s="727">
        <f t="shared" si="8"/>
        <v>0</v>
      </c>
      <c r="K61" s="727">
        <f t="shared" si="8"/>
        <v>400.58304101977672</v>
      </c>
      <c r="L61" s="727">
        <f t="shared" si="8"/>
        <v>0</v>
      </c>
      <c r="M61" s="727">
        <f t="shared" ca="1" si="8"/>
        <v>0</v>
      </c>
      <c r="N61" s="727">
        <f t="shared" si="8"/>
        <v>0</v>
      </c>
      <c r="O61" s="727">
        <f t="shared" ca="1" si="8"/>
        <v>0</v>
      </c>
      <c r="P61" s="727">
        <f t="shared" si="8"/>
        <v>0</v>
      </c>
      <c r="Q61" s="727">
        <f t="shared" si="8"/>
        <v>0</v>
      </c>
      <c r="R61" s="727">
        <f ca="1">R46+R52+R56</f>
        <v>68739.694178553415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0.18845131375051141</v>
      </c>
      <c r="D63" s="773">
        <f t="shared" ca="1" si="9"/>
        <v>0.13219133133390984</v>
      </c>
      <c r="E63" s="965">
        <f t="shared" ca="1" si="9"/>
        <v>0.20199999999999999</v>
      </c>
      <c r="F63" s="773">
        <f t="shared" si="9"/>
        <v>0.22699999999999998</v>
      </c>
      <c r="G63" s="773">
        <f t="shared" ca="1" si="9"/>
        <v>0.26699999999999996</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9550.8887315784013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4788</v>
      </c>
      <c r="C76" s="740">
        <f>'lokale energieproductie'!B8*IFERROR(SUM(D76:H76)/SUM(D76:O76),0)</f>
        <v>6001.8749999999991</v>
      </c>
      <c r="D76" s="948">
        <f>'lokale energieproductie'!C8</f>
        <v>7061.0294117647054</v>
      </c>
      <c r="E76" s="949">
        <f>'lokale energieproductie'!D8</f>
        <v>0</v>
      </c>
      <c r="F76" s="949">
        <f>'lokale energieproductie'!E8</f>
        <v>0</v>
      </c>
      <c r="G76" s="949">
        <f>'lokale energieproductie'!F8</f>
        <v>0</v>
      </c>
      <c r="H76" s="949">
        <f>'lokale energieproductie'!G8</f>
        <v>0</v>
      </c>
      <c r="I76" s="949">
        <f>'lokale energieproductie'!I8</f>
        <v>0</v>
      </c>
      <c r="J76" s="949">
        <f>'lokale energieproductie'!J8</f>
        <v>5632.9411764705883</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1426.3279411764706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14338.888731578401</v>
      </c>
      <c r="C78" s="745">
        <f>SUM(C72:C77)</f>
        <v>6001.8749999999991</v>
      </c>
      <c r="D78" s="746">
        <f t="shared" ref="D78:H78" si="10">SUM(D76:D77)</f>
        <v>7061.0294117647054</v>
      </c>
      <c r="E78" s="746">
        <f t="shared" si="10"/>
        <v>0</v>
      </c>
      <c r="F78" s="746">
        <f t="shared" si="10"/>
        <v>0</v>
      </c>
      <c r="G78" s="746">
        <f t="shared" si="10"/>
        <v>0</v>
      </c>
      <c r="H78" s="746">
        <f t="shared" si="10"/>
        <v>0</v>
      </c>
      <c r="I78" s="746">
        <f>SUM(I76:I77)</f>
        <v>0</v>
      </c>
      <c r="J78" s="746">
        <f>SUM(J76:J77)</f>
        <v>5632.9411764705883</v>
      </c>
      <c r="K78" s="746">
        <f t="shared" ref="K78:L78" si="11">SUM(K76:K77)</f>
        <v>0</v>
      </c>
      <c r="L78" s="746">
        <f t="shared" si="11"/>
        <v>0</v>
      </c>
      <c r="M78" s="746">
        <f>SUM(M76:M77)</f>
        <v>0</v>
      </c>
      <c r="N78" s="746">
        <f>SUM(N76:N77)</f>
        <v>0</v>
      </c>
      <c r="O78" s="855">
        <f>SUM(O76:O77)</f>
        <v>0</v>
      </c>
      <c r="P78" s="747">
        <v>0</v>
      </c>
      <c r="Q78" s="747">
        <f>SUM(Q76:Q77)</f>
        <v>1426.3279411764706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6840</v>
      </c>
      <c r="C87" s="758">
        <f>'lokale energieproductie'!B17*IFERROR(SUM(D87:H87)/SUM(D87:O87),0)</f>
        <v>8574.1071428571413</v>
      </c>
      <c r="D87" s="769">
        <f>'lokale energieproductie'!C17</f>
        <v>10087.184873949578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8047.0588235294108</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2037.6113445378148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6840</v>
      </c>
      <c r="C90" s="745">
        <f>SUM(C87:C89)</f>
        <v>8574.1071428571413</v>
      </c>
      <c r="D90" s="745">
        <f t="shared" ref="D90:H90" si="12">SUM(D87:D89)</f>
        <v>10087.184873949578</v>
      </c>
      <c r="E90" s="745">
        <f t="shared" si="12"/>
        <v>0</v>
      </c>
      <c r="F90" s="745">
        <f t="shared" si="12"/>
        <v>0</v>
      </c>
      <c r="G90" s="745">
        <f t="shared" si="12"/>
        <v>0</v>
      </c>
      <c r="H90" s="745">
        <f t="shared" si="12"/>
        <v>0</v>
      </c>
      <c r="I90" s="745">
        <f>SUM(I87:I89)</f>
        <v>0</v>
      </c>
      <c r="J90" s="745">
        <f>SUM(J87:J89)</f>
        <v>8047.0588235294108</v>
      </c>
      <c r="K90" s="745">
        <f t="shared" ref="K90:L90" si="13">SUM(K87:K89)</f>
        <v>0</v>
      </c>
      <c r="L90" s="745">
        <f t="shared" si="13"/>
        <v>0</v>
      </c>
      <c r="M90" s="745">
        <f>SUM(M87:M89)</f>
        <v>0</v>
      </c>
      <c r="N90" s="745">
        <f>SUM(N87:N89)</f>
        <v>0</v>
      </c>
      <c r="O90" s="745">
        <f>SUM(O87:O89)</f>
        <v>0</v>
      </c>
      <c r="P90" s="745">
        <v>0</v>
      </c>
      <c r="Q90" s="745">
        <f>SUM(Q87:Q89)</f>
        <v>2037.6113445378148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17242.575341239895</v>
      </c>
      <c r="C4" s="449">
        <f>huishoudens!C8</f>
        <v>0</v>
      </c>
      <c r="D4" s="449">
        <f>huishoudens!D8</f>
        <v>34361.704681814997</v>
      </c>
      <c r="E4" s="449">
        <f>huishoudens!E8</f>
        <v>981.29134717703448</v>
      </c>
      <c r="F4" s="449">
        <f>huishoudens!F8</f>
        <v>21496.762202878712</v>
      </c>
      <c r="G4" s="449">
        <f>huishoudens!G8</f>
        <v>0</v>
      </c>
      <c r="H4" s="449">
        <f>huishoudens!H8</f>
        <v>0</v>
      </c>
      <c r="I4" s="449">
        <f>huishoudens!I8</f>
        <v>0</v>
      </c>
      <c r="J4" s="449">
        <f>huishoudens!J8</f>
        <v>122.51239897587806</v>
      </c>
      <c r="K4" s="449">
        <f>huishoudens!K8</f>
        <v>0</v>
      </c>
      <c r="L4" s="449">
        <f>huishoudens!L8</f>
        <v>0</v>
      </c>
      <c r="M4" s="449">
        <f>huishoudens!M8</f>
        <v>0</v>
      </c>
      <c r="N4" s="449">
        <f>huishoudens!N8</f>
        <v>5356.043565406434</v>
      </c>
      <c r="O4" s="449">
        <f>huishoudens!O8</f>
        <v>482.10184731104874</v>
      </c>
      <c r="P4" s="450">
        <f>huishoudens!P8</f>
        <v>463.49420953814104</v>
      </c>
      <c r="Q4" s="451">
        <f>SUM(B4:P4)</f>
        <v>80506.485594342128</v>
      </c>
    </row>
    <row r="5" spans="1:17">
      <c r="A5" s="448" t="s">
        <v>155</v>
      </c>
      <c r="B5" s="449">
        <f ca="1">tertiair!B16</f>
        <v>17872.723975000001</v>
      </c>
      <c r="C5" s="449">
        <f ca="1">tertiair!C16</f>
        <v>6955.7142857142853</v>
      </c>
      <c r="D5" s="449">
        <f ca="1">tertiair!D16</f>
        <v>16983.278513160429</v>
      </c>
      <c r="E5" s="449">
        <f>tertiair!E16</f>
        <v>77.368391799176692</v>
      </c>
      <c r="F5" s="449">
        <f ca="1">tertiair!F16</f>
        <v>3839.9295985861759</v>
      </c>
      <c r="G5" s="449">
        <f>tertiair!G16</f>
        <v>0</v>
      </c>
      <c r="H5" s="449">
        <f>tertiair!H16</f>
        <v>0</v>
      </c>
      <c r="I5" s="449">
        <f>tertiair!I16</f>
        <v>0</v>
      </c>
      <c r="J5" s="449">
        <f>tertiair!J16</f>
        <v>3.317190589721012E-2</v>
      </c>
      <c r="K5" s="449">
        <f>tertiair!K16</f>
        <v>0</v>
      </c>
      <c r="L5" s="449">
        <f ca="1">tertiair!L16</f>
        <v>0</v>
      </c>
      <c r="M5" s="449">
        <f>tertiair!M16</f>
        <v>0</v>
      </c>
      <c r="N5" s="449">
        <f ca="1">tertiair!N16</f>
        <v>0</v>
      </c>
      <c r="O5" s="449">
        <f>tertiair!O16</f>
        <v>4.8972607658411542</v>
      </c>
      <c r="P5" s="450">
        <f>tertiair!P16</f>
        <v>367.77396814546512</v>
      </c>
      <c r="Q5" s="448">
        <f t="shared" ref="Q5:Q14" ca="1" si="0">SUM(B5:P5)</f>
        <v>46101.719165077273</v>
      </c>
    </row>
    <row r="6" spans="1:17">
      <c r="A6" s="448" t="s">
        <v>193</v>
      </c>
      <c r="B6" s="449">
        <f>'openbare verlichting'!B8</f>
        <v>672.89271600000006</v>
      </c>
      <c r="C6" s="449"/>
      <c r="D6" s="449"/>
      <c r="E6" s="449"/>
      <c r="F6" s="449"/>
      <c r="G6" s="449"/>
      <c r="H6" s="449"/>
      <c r="I6" s="449"/>
      <c r="J6" s="449"/>
      <c r="K6" s="449"/>
      <c r="L6" s="449"/>
      <c r="M6" s="449"/>
      <c r="N6" s="449"/>
      <c r="O6" s="449"/>
      <c r="P6" s="450"/>
      <c r="Q6" s="448">
        <f t="shared" si="0"/>
        <v>672.89271600000006</v>
      </c>
    </row>
    <row r="7" spans="1:17">
      <c r="A7" s="448" t="s">
        <v>111</v>
      </c>
      <c r="B7" s="449">
        <f>landbouw!B8</f>
        <v>3957.4366660000001</v>
      </c>
      <c r="C7" s="449">
        <f>landbouw!C8</f>
        <v>8458.3928571428569</v>
      </c>
      <c r="D7" s="449">
        <f>landbouw!D8</f>
        <v>6462.6168507852817</v>
      </c>
      <c r="E7" s="449">
        <f>landbouw!E8</f>
        <v>113.34768332320023</v>
      </c>
      <c r="F7" s="449">
        <f>landbouw!F8</f>
        <v>12527.2002199295</v>
      </c>
      <c r="G7" s="449">
        <f>landbouw!G8</f>
        <v>0</v>
      </c>
      <c r="H7" s="449">
        <f>landbouw!H8</f>
        <v>0</v>
      </c>
      <c r="I7" s="449">
        <f>landbouw!I8</f>
        <v>0</v>
      </c>
      <c r="J7" s="449">
        <f>landbouw!J8</f>
        <v>1006.2518711863113</v>
      </c>
      <c r="K7" s="449">
        <f>landbouw!K8</f>
        <v>0</v>
      </c>
      <c r="L7" s="449">
        <f>landbouw!L8</f>
        <v>0</v>
      </c>
      <c r="M7" s="449">
        <f>landbouw!M8</f>
        <v>0</v>
      </c>
      <c r="N7" s="449">
        <f>landbouw!N8</f>
        <v>0</v>
      </c>
      <c r="O7" s="449">
        <f>landbouw!O8</f>
        <v>0</v>
      </c>
      <c r="P7" s="450">
        <f>landbouw!P8</f>
        <v>0</v>
      </c>
      <c r="Q7" s="448">
        <f t="shared" si="0"/>
        <v>32525.246148367154</v>
      </c>
    </row>
    <row r="8" spans="1:17">
      <c r="A8" s="448" t="s">
        <v>617</v>
      </c>
      <c r="B8" s="449">
        <f>industrie!B18</f>
        <v>53864.752381999999</v>
      </c>
      <c r="C8" s="449">
        <f>industrie!C18</f>
        <v>0</v>
      </c>
      <c r="D8" s="449">
        <f>industrie!D18</f>
        <v>34202.213714591999</v>
      </c>
      <c r="E8" s="449">
        <f>industrie!E18</f>
        <v>83.299817135455683</v>
      </c>
      <c r="F8" s="449">
        <f>industrie!F18</f>
        <v>15084.885023623974</v>
      </c>
      <c r="G8" s="449">
        <f>industrie!G18</f>
        <v>0</v>
      </c>
      <c r="H8" s="449">
        <f>industrie!H18</f>
        <v>0</v>
      </c>
      <c r="I8" s="449">
        <f>industrie!I18</f>
        <v>0</v>
      </c>
      <c r="J8" s="449">
        <f>industrie!J18</f>
        <v>2.79306928721499</v>
      </c>
      <c r="K8" s="449">
        <f>industrie!K18</f>
        <v>0</v>
      </c>
      <c r="L8" s="449">
        <f>industrie!L18</f>
        <v>0</v>
      </c>
      <c r="M8" s="449">
        <f>industrie!M18</f>
        <v>0</v>
      </c>
      <c r="N8" s="449">
        <f>industrie!N18</f>
        <v>961.14080706114396</v>
      </c>
      <c r="O8" s="449">
        <f>industrie!O18</f>
        <v>0</v>
      </c>
      <c r="P8" s="450">
        <f>industrie!P18</f>
        <v>0</v>
      </c>
      <c r="Q8" s="448">
        <f t="shared" si="0"/>
        <v>104199.0848136998</v>
      </c>
    </row>
    <row r="9" spans="1:17" s="454" customFormat="1">
      <c r="A9" s="452" t="s">
        <v>543</v>
      </c>
      <c r="B9" s="453">
        <f>transport!B14</f>
        <v>121.52214218011534</v>
      </c>
      <c r="C9" s="453">
        <f>transport!C14</f>
        <v>0</v>
      </c>
      <c r="D9" s="453">
        <f>transport!D14</f>
        <v>226.45301005555535</v>
      </c>
      <c r="E9" s="453">
        <f>transport!E14</f>
        <v>88.239177489935486</v>
      </c>
      <c r="F9" s="453">
        <f>transport!F14</f>
        <v>0</v>
      </c>
      <c r="G9" s="453">
        <f>transport!G14</f>
        <v>46705.263719568844</v>
      </c>
      <c r="H9" s="453">
        <f>transport!H14</f>
        <v>11063.957327471826</v>
      </c>
      <c r="I9" s="453">
        <f>transport!I14</f>
        <v>0</v>
      </c>
      <c r="J9" s="453">
        <f>transport!J14</f>
        <v>0</v>
      </c>
      <c r="K9" s="453">
        <f>transport!K14</f>
        <v>0</v>
      </c>
      <c r="L9" s="453">
        <f>transport!L14</f>
        <v>0</v>
      </c>
      <c r="M9" s="453">
        <f>transport!M14</f>
        <v>3466.0713347788424</v>
      </c>
      <c r="N9" s="453">
        <f>transport!N14</f>
        <v>0</v>
      </c>
      <c r="O9" s="453">
        <f>transport!O14</f>
        <v>0</v>
      </c>
      <c r="P9" s="453">
        <f>transport!P14</f>
        <v>0</v>
      </c>
      <c r="Q9" s="452">
        <f>SUM(B9:P9)</f>
        <v>61671.506711545117</v>
      </c>
    </row>
    <row r="10" spans="1:17">
      <c r="A10" s="448" t="s">
        <v>533</v>
      </c>
      <c r="B10" s="449">
        <f>transport!B54</f>
        <v>7.5784894677172145</v>
      </c>
      <c r="C10" s="449">
        <f>transport!C54</f>
        <v>0</v>
      </c>
      <c r="D10" s="449">
        <f>transport!D54</f>
        <v>0</v>
      </c>
      <c r="E10" s="449">
        <f>transport!E54</f>
        <v>0</v>
      </c>
      <c r="F10" s="449">
        <f>transport!F54</f>
        <v>0</v>
      </c>
      <c r="G10" s="449">
        <f>transport!G54</f>
        <v>474.43635205738747</v>
      </c>
      <c r="H10" s="449">
        <f>transport!H54</f>
        <v>0</v>
      </c>
      <c r="I10" s="449">
        <f>transport!I54</f>
        <v>0</v>
      </c>
      <c r="J10" s="449">
        <f>transport!J54</f>
        <v>0</v>
      </c>
      <c r="K10" s="449">
        <f>transport!K54</f>
        <v>0</v>
      </c>
      <c r="L10" s="449">
        <f>transport!L54</f>
        <v>0</v>
      </c>
      <c r="M10" s="449">
        <f>transport!M54</f>
        <v>27.241084822582359</v>
      </c>
      <c r="N10" s="449">
        <f>transport!N54</f>
        <v>0</v>
      </c>
      <c r="O10" s="449">
        <f>transport!O54</f>
        <v>0</v>
      </c>
      <c r="P10" s="450">
        <f>transport!P54</f>
        <v>0</v>
      </c>
      <c r="Q10" s="448">
        <f t="shared" si="0"/>
        <v>509.25592634768702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549.44964399999992</v>
      </c>
      <c r="C14" s="456"/>
      <c r="D14" s="456">
        <f>'SEAP template'!E25</f>
        <v>528.15404899999999</v>
      </c>
      <c r="E14" s="456"/>
      <c r="F14" s="456"/>
      <c r="G14" s="456"/>
      <c r="H14" s="456"/>
      <c r="I14" s="456"/>
      <c r="J14" s="456"/>
      <c r="K14" s="456"/>
      <c r="L14" s="456"/>
      <c r="M14" s="456"/>
      <c r="N14" s="456"/>
      <c r="O14" s="456"/>
      <c r="P14" s="457"/>
      <c r="Q14" s="448">
        <f t="shared" si="0"/>
        <v>1077.603693</v>
      </c>
    </row>
    <row r="15" spans="1:17" s="460" customFormat="1">
      <c r="A15" s="458" t="s">
        <v>537</v>
      </c>
      <c r="B15" s="459">
        <f ca="1">SUM(B4:B14)</f>
        <v>94288.931355887718</v>
      </c>
      <c r="C15" s="459">
        <f t="shared" ref="C15:Q15" ca="1" si="1">SUM(C4:C14)</f>
        <v>15414.107142857141</v>
      </c>
      <c r="D15" s="459">
        <f t="shared" ca="1" si="1"/>
        <v>92764.420819408275</v>
      </c>
      <c r="E15" s="459">
        <f t="shared" si="1"/>
        <v>1343.5464169248025</v>
      </c>
      <c r="F15" s="459">
        <f t="shared" ca="1" si="1"/>
        <v>52948.77704501836</v>
      </c>
      <c r="G15" s="459">
        <f t="shared" si="1"/>
        <v>47179.700071626234</v>
      </c>
      <c r="H15" s="459">
        <f t="shared" si="1"/>
        <v>11063.957327471826</v>
      </c>
      <c r="I15" s="459">
        <f t="shared" si="1"/>
        <v>0</v>
      </c>
      <c r="J15" s="459">
        <f t="shared" si="1"/>
        <v>1131.5905113553017</v>
      </c>
      <c r="K15" s="459">
        <f t="shared" si="1"/>
        <v>0</v>
      </c>
      <c r="L15" s="459">
        <f t="shared" ca="1" si="1"/>
        <v>0</v>
      </c>
      <c r="M15" s="459">
        <f t="shared" si="1"/>
        <v>3493.3124196014246</v>
      </c>
      <c r="N15" s="459">
        <f t="shared" ca="1" si="1"/>
        <v>6317.1843724675782</v>
      </c>
      <c r="O15" s="459">
        <f t="shared" si="1"/>
        <v>486.99910807688991</v>
      </c>
      <c r="P15" s="459">
        <f t="shared" si="1"/>
        <v>831.26817768360615</v>
      </c>
      <c r="Q15" s="459">
        <f t="shared" ca="1" si="1"/>
        <v>327263.79476837913</v>
      </c>
    </row>
    <row r="17" spans="1:17">
      <c r="A17" s="461" t="s">
        <v>538</v>
      </c>
      <c r="B17" s="778">
        <f ca="1">huishoudens!B10</f>
        <v>0.18845131375051144</v>
      </c>
      <c r="C17" s="778">
        <f ca="1">huishoudens!C10</f>
        <v>0.13219133133390984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3249.3859754988312</v>
      </c>
      <c r="C22" s="449">
        <f t="shared" ref="C22:C32" ca="1" si="3">C4*$C$17</f>
        <v>0</v>
      </c>
      <c r="D22" s="449">
        <f t="shared" ref="D22:D32" si="4">D4*$D$17</f>
        <v>6941.0643457266297</v>
      </c>
      <c r="E22" s="449">
        <f t="shared" ref="E22:E32" si="5">E4*$E$17</f>
        <v>222.75313580918683</v>
      </c>
      <c r="F22" s="449">
        <f t="shared" ref="F22:F32" si="6">F4*$F$17</f>
        <v>5739.6355081686161</v>
      </c>
      <c r="G22" s="449">
        <f t="shared" ref="G22:G32" si="7">G4*$G$17</f>
        <v>0</v>
      </c>
      <c r="H22" s="449">
        <f t="shared" ref="H22:H32" si="8">H4*$H$17</f>
        <v>0</v>
      </c>
      <c r="I22" s="449">
        <f t="shared" ref="I22:I32" si="9">I4*$I$17</f>
        <v>0</v>
      </c>
      <c r="J22" s="449">
        <f t="shared" ref="J22:J32" si="10">J4*$J$17</f>
        <v>43.36938923746083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16196.208354440725</v>
      </c>
    </row>
    <row r="23" spans="1:17">
      <c r="A23" s="448" t="s">
        <v>155</v>
      </c>
      <c r="B23" s="449">
        <f t="shared" ca="1" si="2"/>
        <v>3368.1383133890131</v>
      </c>
      <c r="C23" s="449">
        <f t="shared" ca="1" si="3"/>
        <v>919.48513180686712</v>
      </c>
      <c r="D23" s="449">
        <f t="shared" ca="1" si="4"/>
        <v>3430.6222596584066</v>
      </c>
      <c r="E23" s="449">
        <f t="shared" si="5"/>
        <v>17.562624938413109</v>
      </c>
      <c r="F23" s="449">
        <f t="shared" ca="1" si="6"/>
        <v>1025.2612028225089</v>
      </c>
      <c r="G23" s="449">
        <f t="shared" si="7"/>
        <v>0</v>
      </c>
      <c r="H23" s="449">
        <f t="shared" si="8"/>
        <v>0</v>
      </c>
      <c r="I23" s="449">
        <f t="shared" si="9"/>
        <v>0</v>
      </c>
      <c r="J23" s="449">
        <f t="shared" si="10"/>
        <v>1.1742854687612382E-2</v>
      </c>
      <c r="K23" s="449">
        <f t="shared" si="11"/>
        <v>0</v>
      </c>
      <c r="L23" s="449">
        <f t="shared" ca="1" si="12"/>
        <v>0</v>
      </c>
      <c r="M23" s="449">
        <f t="shared" si="13"/>
        <v>0</v>
      </c>
      <c r="N23" s="449">
        <f t="shared" ca="1" si="14"/>
        <v>0</v>
      </c>
      <c r="O23" s="449">
        <f t="shared" si="15"/>
        <v>0</v>
      </c>
      <c r="P23" s="450">
        <f t="shared" si="16"/>
        <v>0</v>
      </c>
      <c r="Q23" s="448">
        <f t="shared" ref="Q23:Q31" ca="1" si="17">SUM(B23:P23)</f>
        <v>8761.0812754698964</v>
      </c>
    </row>
    <row r="24" spans="1:17">
      <c r="A24" s="448" t="s">
        <v>193</v>
      </c>
      <c r="B24" s="449">
        <f t="shared" ca="1" si="2"/>
        <v>126.8075163433498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126.8075163433498</v>
      </c>
    </row>
    <row r="25" spans="1:17">
      <c r="A25" s="448" t="s">
        <v>111</v>
      </c>
      <c r="B25" s="449">
        <f t="shared" ca="1" si="2"/>
        <v>745.78413879214395</v>
      </c>
      <c r="C25" s="449">
        <f t="shared" ca="1" si="3"/>
        <v>1118.1262127309476</v>
      </c>
      <c r="D25" s="449">
        <f t="shared" si="4"/>
        <v>1305.4486038586269</v>
      </c>
      <c r="E25" s="449">
        <f t="shared" si="5"/>
        <v>25.729924114366455</v>
      </c>
      <c r="F25" s="449">
        <f t="shared" si="6"/>
        <v>3344.7624587211767</v>
      </c>
      <c r="G25" s="449">
        <f t="shared" si="7"/>
        <v>0</v>
      </c>
      <c r="H25" s="449">
        <f t="shared" si="8"/>
        <v>0</v>
      </c>
      <c r="I25" s="449">
        <f t="shared" si="9"/>
        <v>0</v>
      </c>
      <c r="J25" s="449">
        <f t="shared" si="10"/>
        <v>356.21316239995417</v>
      </c>
      <c r="K25" s="449">
        <f t="shared" si="11"/>
        <v>0</v>
      </c>
      <c r="L25" s="449">
        <f t="shared" si="12"/>
        <v>0</v>
      </c>
      <c r="M25" s="449">
        <f t="shared" si="13"/>
        <v>0</v>
      </c>
      <c r="N25" s="449">
        <f t="shared" si="14"/>
        <v>0</v>
      </c>
      <c r="O25" s="449">
        <f t="shared" si="15"/>
        <v>0</v>
      </c>
      <c r="P25" s="450">
        <f t="shared" si="16"/>
        <v>0</v>
      </c>
      <c r="Q25" s="448">
        <f t="shared" ca="1" si="17"/>
        <v>6896.0645006172153</v>
      </c>
    </row>
    <row r="26" spans="1:17">
      <c r="A26" s="448" t="s">
        <v>617</v>
      </c>
      <c r="B26" s="449">
        <f t="shared" ca="1" si="2"/>
        <v>10150.88335123389</v>
      </c>
      <c r="C26" s="449">
        <f t="shared" ca="1" si="3"/>
        <v>0</v>
      </c>
      <c r="D26" s="449">
        <f t="shared" si="4"/>
        <v>6908.8471703475843</v>
      </c>
      <c r="E26" s="449">
        <f t="shared" si="5"/>
        <v>18.909058489748439</v>
      </c>
      <c r="F26" s="449">
        <f t="shared" si="6"/>
        <v>4027.6643013076014</v>
      </c>
      <c r="G26" s="449">
        <f t="shared" si="7"/>
        <v>0</v>
      </c>
      <c r="H26" s="449">
        <f t="shared" si="8"/>
        <v>0</v>
      </c>
      <c r="I26" s="449">
        <f t="shared" si="9"/>
        <v>0</v>
      </c>
      <c r="J26" s="449">
        <f t="shared" si="10"/>
        <v>0.98874652767410642</v>
      </c>
      <c r="K26" s="449">
        <f t="shared" si="11"/>
        <v>0</v>
      </c>
      <c r="L26" s="449">
        <f t="shared" si="12"/>
        <v>0</v>
      </c>
      <c r="M26" s="449">
        <f t="shared" si="13"/>
        <v>0</v>
      </c>
      <c r="N26" s="449">
        <f t="shared" si="14"/>
        <v>0</v>
      </c>
      <c r="O26" s="449">
        <f t="shared" si="15"/>
        <v>0</v>
      </c>
      <c r="P26" s="450">
        <f t="shared" si="16"/>
        <v>0</v>
      </c>
      <c r="Q26" s="448">
        <f t="shared" ca="1" si="17"/>
        <v>21107.2926279065</v>
      </c>
    </row>
    <row r="27" spans="1:17" s="454" customFormat="1">
      <c r="A27" s="452" t="s">
        <v>543</v>
      </c>
      <c r="B27" s="772">
        <f t="shared" ca="1" si="2"/>
        <v>22.901007343619177</v>
      </c>
      <c r="C27" s="453">
        <f t="shared" ca="1" si="3"/>
        <v>0</v>
      </c>
      <c r="D27" s="453">
        <f t="shared" si="4"/>
        <v>45.743508031222184</v>
      </c>
      <c r="E27" s="453">
        <f t="shared" si="5"/>
        <v>20.030293290215354</v>
      </c>
      <c r="F27" s="453">
        <f t="shared" si="6"/>
        <v>0</v>
      </c>
      <c r="G27" s="453">
        <f t="shared" si="7"/>
        <v>12470.305413124883</v>
      </c>
      <c r="H27" s="453">
        <f t="shared" si="8"/>
        <v>2754.9253745404844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15313.905596330424</v>
      </c>
    </row>
    <row r="28" spans="1:17" ht="16.5" customHeight="1">
      <c r="A28" s="448" t="s">
        <v>533</v>
      </c>
      <c r="B28" s="449">
        <f t="shared" ca="1" si="2"/>
        <v>1.4281762964357232</v>
      </c>
      <c r="C28" s="449">
        <f t="shared" ca="1" si="3"/>
        <v>0</v>
      </c>
      <c r="D28" s="449">
        <f t="shared" si="4"/>
        <v>0</v>
      </c>
      <c r="E28" s="449">
        <f t="shared" si="5"/>
        <v>0</v>
      </c>
      <c r="F28" s="449">
        <f t="shared" si="6"/>
        <v>0</v>
      </c>
      <c r="G28" s="449">
        <f t="shared" si="7"/>
        <v>126.67450599932246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128.1026822957582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103.5445072515508</v>
      </c>
      <c r="C32" s="449">
        <f t="shared" ca="1" si="3"/>
        <v>0</v>
      </c>
      <c r="D32" s="449">
        <f t="shared" si="4"/>
        <v>106.68711789800001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210.23162514955081</v>
      </c>
    </row>
    <row r="33" spans="1:17" s="460" customFormat="1">
      <c r="A33" s="458" t="s">
        <v>537</v>
      </c>
      <c r="B33" s="459">
        <f ca="1">SUM(B22:B32)</f>
        <v>17768.872986148832</v>
      </c>
      <c r="C33" s="459">
        <f t="shared" ref="C33:Q33" ca="1" si="19">SUM(C22:C32)</f>
        <v>2037.6113445378146</v>
      </c>
      <c r="D33" s="459">
        <f t="shared" ca="1" si="19"/>
        <v>18738.413005520466</v>
      </c>
      <c r="E33" s="459">
        <f t="shared" si="19"/>
        <v>304.98503664193015</v>
      </c>
      <c r="F33" s="459">
        <f t="shared" ca="1" si="19"/>
        <v>14137.323471019901</v>
      </c>
      <c r="G33" s="459">
        <f t="shared" si="19"/>
        <v>12596.979919124205</v>
      </c>
      <c r="H33" s="459">
        <f t="shared" si="19"/>
        <v>2754.9253745404844</v>
      </c>
      <c r="I33" s="459">
        <f t="shared" si="19"/>
        <v>0</v>
      </c>
      <c r="J33" s="459">
        <f t="shared" si="19"/>
        <v>400.58304101977672</v>
      </c>
      <c r="K33" s="459">
        <f t="shared" si="19"/>
        <v>0</v>
      </c>
      <c r="L33" s="459">
        <f t="shared" ca="1" si="19"/>
        <v>0</v>
      </c>
      <c r="M33" s="459">
        <f t="shared" si="19"/>
        <v>0</v>
      </c>
      <c r="N33" s="459">
        <f t="shared" ca="1" si="19"/>
        <v>0</v>
      </c>
      <c r="O33" s="459">
        <f t="shared" si="19"/>
        <v>0</v>
      </c>
      <c r="P33" s="459">
        <f t="shared" si="19"/>
        <v>0</v>
      </c>
      <c r="Q33" s="459">
        <f t="shared" ca="1" si="19"/>
        <v>68739.694178553429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9550.8887315784013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4788</v>
      </c>
      <c r="C8" s="1016">
        <f>'SEAP template'!C76</f>
        <v>6001.8749999999991</v>
      </c>
      <c r="D8" s="1016">
        <f>'SEAP template'!D76</f>
        <v>7061.0294117647054</v>
      </c>
      <c r="E8" s="1016">
        <f>'SEAP template'!E76</f>
        <v>0</v>
      </c>
      <c r="F8" s="1016">
        <f>'SEAP template'!F76</f>
        <v>0</v>
      </c>
      <c r="G8" s="1016">
        <f>'SEAP template'!G76</f>
        <v>0</v>
      </c>
      <c r="H8" s="1016">
        <f>'SEAP template'!H76</f>
        <v>0</v>
      </c>
      <c r="I8" s="1016">
        <f>'SEAP template'!I76</f>
        <v>0</v>
      </c>
      <c r="J8" s="1016">
        <f>'SEAP template'!J76</f>
        <v>5632.9411764705883</v>
      </c>
      <c r="K8" s="1016">
        <f>'SEAP template'!K76</f>
        <v>0</v>
      </c>
      <c r="L8" s="1016">
        <f>'SEAP template'!L76</f>
        <v>0</v>
      </c>
      <c r="M8" s="1016">
        <f>'SEAP template'!M76</f>
        <v>0</v>
      </c>
      <c r="N8" s="1016">
        <f>'SEAP template'!N76</f>
        <v>0</v>
      </c>
      <c r="O8" s="1016">
        <f>'SEAP template'!O76</f>
        <v>0</v>
      </c>
      <c r="P8" s="1017">
        <f>'SEAP template'!Q76</f>
        <v>1426.3279411764706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14338.888731578401</v>
      </c>
      <c r="C10" s="1018">
        <f>SUM(C4:C9)</f>
        <v>6001.8749999999991</v>
      </c>
      <c r="D10" s="1018">
        <f t="shared" ref="D10:H10" si="0">SUM(D8:D9)</f>
        <v>7061.0294117647054</v>
      </c>
      <c r="E10" s="1018">
        <f t="shared" si="0"/>
        <v>0</v>
      </c>
      <c r="F10" s="1018">
        <f t="shared" si="0"/>
        <v>0</v>
      </c>
      <c r="G10" s="1018">
        <f t="shared" si="0"/>
        <v>0</v>
      </c>
      <c r="H10" s="1018">
        <f t="shared" si="0"/>
        <v>0</v>
      </c>
      <c r="I10" s="1018">
        <f>SUM(I8:I9)</f>
        <v>0</v>
      </c>
      <c r="J10" s="1018">
        <f>SUM(J8:J9)</f>
        <v>5632.9411764705883</v>
      </c>
      <c r="K10" s="1018">
        <f t="shared" ref="K10:L10" si="1">SUM(K8:K9)</f>
        <v>0</v>
      </c>
      <c r="L10" s="1018">
        <f t="shared" si="1"/>
        <v>0</v>
      </c>
      <c r="M10" s="1018">
        <f>SUM(M8:M9)</f>
        <v>0</v>
      </c>
      <c r="N10" s="1018">
        <f>SUM(N8:N9)</f>
        <v>0</v>
      </c>
      <c r="O10" s="1018">
        <f>SUM(O8:O9)</f>
        <v>0</v>
      </c>
      <c r="P10" s="1018">
        <f>SUM(P8:P9)</f>
        <v>1426.3279411764706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0.18845131375051144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6840</v>
      </c>
      <c r="C17" s="1019">
        <f>'SEAP template'!C87</f>
        <v>8574.1071428571413</v>
      </c>
      <c r="D17" s="1017">
        <f>'SEAP template'!D87</f>
        <v>10087.184873949578</v>
      </c>
      <c r="E17" s="1017">
        <f>'SEAP template'!E87</f>
        <v>0</v>
      </c>
      <c r="F17" s="1017">
        <f>'SEAP template'!F87</f>
        <v>0</v>
      </c>
      <c r="G17" s="1017">
        <f>'SEAP template'!G87</f>
        <v>0</v>
      </c>
      <c r="H17" s="1017">
        <f>'SEAP template'!H87</f>
        <v>0</v>
      </c>
      <c r="I17" s="1017">
        <f>'SEAP template'!I87</f>
        <v>0</v>
      </c>
      <c r="J17" s="1017">
        <f>'SEAP template'!J87</f>
        <v>8047.0588235294108</v>
      </c>
      <c r="K17" s="1017">
        <f>'SEAP template'!K87</f>
        <v>0</v>
      </c>
      <c r="L17" s="1017">
        <f>'SEAP template'!L87</f>
        <v>0</v>
      </c>
      <c r="M17" s="1017">
        <f>'SEAP template'!M87</f>
        <v>0</v>
      </c>
      <c r="N17" s="1017">
        <f>'SEAP template'!N87</f>
        <v>0</v>
      </c>
      <c r="O17" s="1017">
        <f>'SEAP template'!O87</f>
        <v>0</v>
      </c>
      <c r="P17" s="1017">
        <f>'SEAP template'!Q87</f>
        <v>2037.6113445378148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6840</v>
      </c>
      <c r="C20" s="1018">
        <f>SUM(C17:C19)</f>
        <v>8574.1071428571413</v>
      </c>
      <c r="D20" s="1018">
        <f t="shared" ref="D20:H20" si="2">SUM(D17:D19)</f>
        <v>10087.184873949578</v>
      </c>
      <c r="E20" s="1018">
        <f t="shared" si="2"/>
        <v>0</v>
      </c>
      <c r="F20" s="1018">
        <f t="shared" si="2"/>
        <v>0</v>
      </c>
      <c r="G20" s="1018">
        <f t="shared" si="2"/>
        <v>0</v>
      </c>
      <c r="H20" s="1018">
        <f t="shared" si="2"/>
        <v>0</v>
      </c>
      <c r="I20" s="1018">
        <f>SUM(I17:I19)</f>
        <v>0</v>
      </c>
      <c r="J20" s="1018">
        <f>SUM(J17:J19)</f>
        <v>8047.0588235294108</v>
      </c>
      <c r="K20" s="1018">
        <f t="shared" ref="K20:L20" si="3">SUM(K17:K19)</f>
        <v>0</v>
      </c>
      <c r="L20" s="1018">
        <f t="shared" si="3"/>
        <v>0</v>
      </c>
      <c r="M20" s="1018">
        <f>SUM(M17:M19)</f>
        <v>0</v>
      </c>
      <c r="N20" s="1018">
        <f>SUM(N17:N19)</f>
        <v>0</v>
      </c>
      <c r="O20" s="1018">
        <f>SUM(O17:O19)</f>
        <v>0</v>
      </c>
      <c r="P20" s="1018">
        <f>SUM(P17:P19)</f>
        <v>2037.6113445378148</v>
      </c>
    </row>
    <row r="21" spans="1:16">
      <c r="B21" s="883"/>
    </row>
    <row r="22" spans="1:16">
      <c r="A22" s="461" t="s">
        <v>755</v>
      </c>
      <c r="B22" s="778" t="s">
        <v>753</v>
      </c>
      <c r="C22" s="778">
        <f ca="1">'EF ele_warmte'!B22</f>
        <v>0.13219133133390984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0.18845131375051144</v>
      </c>
      <c r="C17" s="498">
        <f ca="1">'EF ele_warmte'!B22</f>
        <v>0.13219133133390984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0.18845131375051144</v>
      </c>
      <c r="C17" s="498">
        <f ca="1">'EF ele_warmte'!B22</f>
        <v>0.13219133133390984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0.18845131375051144</v>
      </c>
      <c r="C29" s="499">
        <f ca="1">'EF ele_warmte'!B22</f>
        <v>0.13219133133390984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4039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2649.38</v>
      </c>
      <c r="C14" s="326"/>
      <c r="D14" s="326"/>
      <c r="E14" s="326"/>
      <c r="F14" s="326"/>
    </row>
    <row r="15" spans="1:6">
      <c r="A15" s="1312" t="s">
        <v>183</v>
      </c>
      <c r="B15" s="1313">
        <v>28</v>
      </c>
      <c r="C15" s="326"/>
      <c r="D15" s="326"/>
      <c r="E15" s="326"/>
      <c r="F15" s="326"/>
    </row>
    <row r="16" spans="1:6">
      <c r="A16" s="1312" t="s">
        <v>6</v>
      </c>
      <c r="B16" s="1313">
        <v>642</v>
      </c>
      <c r="C16" s="326"/>
      <c r="D16" s="326"/>
      <c r="E16" s="326"/>
      <c r="F16" s="326"/>
    </row>
    <row r="17" spans="1:6">
      <c r="A17" s="1312" t="s">
        <v>7</v>
      </c>
      <c r="B17" s="1313">
        <v>650</v>
      </c>
      <c r="C17" s="326"/>
      <c r="D17" s="326"/>
      <c r="E17" s="326"/>
      <c r="F17" s="326"/>
    </row>
    <row r="18" spans="1:6">
      <c r="A18" s="1312" t="s">
        <v>8</v>
      </c>
      <c r="B18" s="1313">
        <v>747</v>
      </c>
      <c r="C18" s="326"/>
      <c r="D18" s="326"/>
      <c r="E18" s="326"/>
      <c r="F18" s="326"/>
    </row>
    <row r="19" spans="1:6">
      <c r="A19" s="1312" t="s">
        <v>9</v>
      </c>
      <c r="B19" s="1313">
        <v>678</v>
      </c>
      <c r="C19" s="326"/>
      <c r="D19" s="326"/>
      <c r="E19" s="326"/>
      <c r="F19" s="326"/>
    </row>
    <row r="20" spans="1:6">
      <c r="A20" s="1312" t="s">
        <v>10</v>
      </c>
      <c r="B20" s="1313">
        <v>530</v>
      </c>
      <c r="C20" s="326"/>
      <c r="D20" s="326"/>
      <c r="E20" s="326"/>
      <c r="F20" s="326"/>
    </row>
    <row r="21" spans="1:6">
      <c r="A21" s="1312" t="s">
        <v>11</v>
      </c>
      <c r="B21" s="1313">
        <v>19099</v>
      </c>
      <c r="C21" s="326"/>
      <c r="D21" s="326"/>
      <c r="E21" s="326"/>
      <c r="F21" s="326"/>
    </row>
    <row r="22" spans="1:6">
      <c r="A22" s="1312" t="s">
        <v>12</v>
      </c>
      <c r="B22" s="1313">
        <v>57085</v>
      </c>
      <c r="C22" s="326"/>
      <c r="D22" s="326"/>
      <c r="E22" s="326"/>
      <c r="F22" s="326"/>
    </row>
    <row r="23" spans="1:6">
      <c r="A23" s="1312" t="s">
        <v>13</v>
      </c>
      <c r="B23" s="1313">
        <v>835</v>
      </c>
      <c r="C23" s="326"/>
      <c r="D23" s="326"/>
      <c r="E23" s="326"/>
      <c r="F23" s="326"/>
    </row>
    <row r="24" spans="1:6">
      <c r="A24" s="1312" t="s">
        <v>14</v>
      </c>
      <c r="B24" s="1313">
        <v>43</v>
      </c>
      <c r="C24" s="326"/>
      <c r="D24" s="326"/>
      <c r="E24" s="326"/>
      <c r="F24" s="326"/>
    </row>
    <row r="25" spans="1:6">
      <c r="A25" s="1312" t="s">
        <v>15</v>
      </c>
      <c r="B25" s="1313">
        <v>5702</v>
      </c>
      <c r="C25" s="326"/>
      <c r="D25" s="326"/>
      <c r="E25" s="326"/>
      <c r="F25" s="326"/>
    </row>
    <row r="26" spans="1:6">
      <c r="A26" s="1312" t="s">
        <v>16</v>
      </c>
      <c r="B26" s="1313">
        <v>402</v>
      </c>
      <c r="C26" s="326"/>
      <c r="D26" s="326"/>
      <c r="E26" s="326"/>
      <c r="F26" s="326"/>
    </row>
    <row r="27" spans="1:6">
      <c r="A27" s="1312" t="s">
        <v>17</v>
      </c>
      <c r="B27" s="1313">
        <v>1308</v>
      </c>
      <c r="C27" s="326"/>
      <c r="D27" s="326"/>
      <c r="E27" s="326"/>
      <c r="F27" s="326"/>
    </row>
    <row r="28" spans="1:6" s="43" customFormat="1">
      <c r="A28" s="1314" t="s">
        <v>18</v>
      </c>
      <c r="B28" s="1315">
        <v>80985</v>
      </c>
      <c r="C28" s="332"/>
      <c r="D28" s="332"/>
      <c r="E28" s="332"/>
      <c r="F28" s="332"/>
    </row>
    <row r="29" spans="1:6">
      <c r="A29" s="1314" t="s">
        <v>684</v>
      </c>
      <c r="B29" s="1315">
        <v>155</v>
      </c>
      <c r="C29" s="332"/>
      <c r="D29" s="332"/>
      <c r="E29" s="332"/>
      <c r="F29" s="332"/>
    </row>
    <row r="30" spans="1:6">
      <c r="A30" s="1307" t="s">
        <v>685</v>
      </c>
      <c r="B30" s="1316">
        <v>52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12</v>
      </c>
      <c r="F36" s="1313">
        <v>83505.062999999995</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533.024</v>
      </c>
    </row>
    <row r="39" spans="1:6">
      <c r="A39" s="1312" t="s">
        <v>29</v>
      </c>
      <c r="B39" s="1312" t="s">
        <v>30</v>
      </c>
      <c r="C39" s="1313">
        <v>2578</v>
      </c>
      <c r="D39" s="1313">
        <v>38052829.104999997</v>
      </c>
      <c r="E39" s="1313">
        <v>3741</v>
      </c>
      <c r="F39" s="1313">
        <v>12630295.824999999</v>
      </c>
    </row>
    <row r="40" spans="1:6">
      <c r="A40" s="1312" t="s">
        <v>29</v>
      </c>
      <c r="B40" s="1312" t="s">
        <v>28</v>
      </c>
      <c r="C40" s="1313">
        <v>0</v>
      </c>
      <c r="D40" s="1313">
        <v>0</v>
      </c>
      <c r="E40" s="1313">
        <v>0</v>
      </c>
      <c r="F40" s="1313">
        <v>0</v>
      </c>
    </row>
    <row r="41" spans="1:6">
      <c r="A41" s="1312" t="s">
        <v>31</v>
      </c>
      <c r="B41" s="1312" t="s">
        <v>32</v>
      </c>
      <c r="C41" s="1313">
        <v>59</v>
      </c>
      <c r="D41" s="1313">
        <v>4724256.7189999996</v>
      </c>
      <c r="E41" s="1313">
        <v>146</v>
      </c>
      <c r="F41" s="1313">
        <v>23245854.228999998</v>
      </c>
    </row>
    <row r="42" spans="1:6">
      <c r="A42" s="1312" t="s">
        <v>31</v>
      </c>
      <c r="B42" s="1312" t="s">
        <v>33</v>
      </c>
      <c r="C42" s="1313">
        <v>0</v>
      </c>
      <c r="D42" s="1313">
        <v>0</v>
      </c>
      <c r="E42" s="1313">
        <v>0</v>
      </c>
      <c r="F42" s="1313">
        <v>0</v>
      </c>
    </row>
    <row r="43" spans="1:6">
      <c r="A43" s="1312" t="s">
        <v>31</v>
      </c>
      <c r="B43" s="1312" t="s">
        <v>34</v>
      </c>
      <c r="C43" s="1313">
        <v>0</v>
      </c>
      <c r="D43" s="1313">
        <v>0</v>
      </c>
      <c r="E43" s="1313">
        <v>3</v>
      </c>
      <c r="F43" s="1313">
        <v>20271330.541999999</v>
      </c>
    </row>
    <row r="44" spans="1:6">
      <c r="A44" s="1312" t="s">
        <v>31</v>
      </c>
      <c r="B44" s="1312" t="s">
        <v>35</v>
      </c>
      <c r="C44" s="1313">
        <v>11</v>
      </c>
      <c r="D44" s="1313">
        <v>304503.29300000001</v>
      </c>
      <c r="E44" s="1313">
        <v>37</v>
      </c>
      <c r="F44" s="1313">
        <v>573626.08900000004</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6</v>
      </c>
      <c r="D47" s="1313">
        <v>20651646.973999999</v>
      </c>
      <c r="E47" s="1313">
        <v>8</v>
      </c>
      <c r="F47" s="1313">
        <v>9520707.0380000006</v>
      </c>
    </row>
    <row r="48" spans="1:6">
      <c r="A48" s="1312" t="s">
        <v>31</v>
      </c>
      <c r="B48" s="1312" t="s">
        <v>28</v>
      </c>
      <c r="C48" s="1313">
        <v>2</v>
      </c>
      <c r="D48" s="1313">
        <v>11893779.181</v>
      </c>
      <c r="E48" s="1313">
        <v>3</v>
      </c>
      <c r="F48" s="1313">
        <v>81028.152000000002</v>
      </c>
    </row>
    <row r="49" spans="1:6">
      <c r="A49" s="1312" t="s">
        <v>31</v>
      </c>
      <c r="B49" s="1312" t="s">
        <v>39</v>
      </c>
      <c r="C49" s="1313">
        <v>0</v>
      </c>
      <c r="D49" s="1313">
        <v>0</v>
      </c>
      <c r="E49" s="1313">
        <v>0</v>
      </c>
      <c r="F49" s="1313">
        <v>0</v>
      </c>
    </row>
    <row r="50" spans="1:6">
      <c r="A50" s="1312" t="s">
        <v>31</v>
      </c>
      <c r="B50" s="1312" t="s">
        <v>40</v>
      </c>
      <c r="C50" s="1313">
        <v>5</v>
      </c>
      <c r="D50" s="1313">
        <v>302019.49699999997</v>
      </c>
      <c r="E50" s="1313">
        <v>6</v>
      </c>
      <c r="F50" s="1313">
        <v>172206.33199999999</v>
      </c>
    </row>
    <row r="51" spans="1:6">
      <c r="A51" s="1312" t="s">
        <v>41</v>
      </c>
      <c r="B51" s="1312" t="s">
        <v>42</v>
      </c>
      <c r="C51" s="1313">
        <v>30</v>
      </c>
      <c r="D51" s="1313">
        <v>25890811.256999999</v>
      </c>
      <c r="E51" s="1313">
        <v>173</v>
      </c>
      <c r="F51" s="1313">
        <v>3957436.6660000002</v>
      </c>
    </row>
    <row r="52" spans="1:6">
      <c r="A52" s="1312" t="s">
        <v>41</v>
      </c>
      <c r="B52" s="1312" t="s">
        <v>28</v>
      </c>
      <c r="C52" s="1313">
        <v>0</v>
      </c>
      <c r="D52" s="1313">
        <v>0</v>
      </c>
      <c r="E52" s="1313">
        <v>0</v>
      </c>
      <c r="F52" s="1313">
        <v>0</v>
      </c>
    </row>
    <row r="53" spans="1:6">
      <c r="A53" s="1312" t="s">
        <v>43</v>
      </c>
      <c r="B53" s="1312" t="s">
        <v>44</v>
      </c>
      <c r="C53" s="1313">
        <v>33</v>
      </c>
      <c r="D53" s="1313">
        <v>528154.049</v>
      </c>
      <c r="E53" s="1313">
        <v>72</v>
      </c>
      <c r="F53" s="1313">
        <v>549449.64399999997</v>
      </c>
    </row>
    <row r="54" spans="1:6">
      <c r="A54" s="1312" t="s">
        <v>45</v>
      </c>
      <c r="B54" s="1312" t="s">
        <v>46</v>
      </c>
      <c r="C54" s="1313">
        <v>0</v>
      </c>
      <c r="D54" s="1313">
        <v>0</v>
      </c>
      <c r="E54" s="1313">
        <v>1</v>
      </c>
      <c r="F54" s="1313">
        <v>672892.71600000001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61</v>
      </c>
      <c r="D57" s="1313">
        <v>2103556.9070000001</v>
      </c>
      <c r="E57" s="1313">
        <v>107</v>
      </c>
      <c r="F57" s="1313">
        <v>3279745.0460000001</v>
      </c>
    </row>
    <row r="58" spans="1:6">
      <c r="A58" s="1312" t="s">
        <v>48</v>
      </c>
      <c r="B58" s="1312" t="s">
        <v>50</v>
      </c>
      <c r="C58" s="1313">
        <v>32</v>
      </c>
      <c r="D58" s="1313">
        <v>2939377.3960000002</v>
      </c>
      <c r="E58" s="1313">
        <v>36</v>
      </c>
      <c r="F58" s="1313">
        <v>1593659.605</v>
      </c>
    </row>
    <row r="59" spans="1:6">
      <c r="A59" s="1312" t="s">
        <v>48</v>
      </c>
      <c r="B59" s="1312" t="s">
        <v>51</v>
      </c>
      <c r="C59" s="1313">
        <v>88</v>
      </c>
      <c r="D59" s="1313">
        <v>3353973.946</v>
      </c>
      <c r="E59" s="1313">
        <v>169</v>
      </c>
      <c r="F59" s="1313">
        <v>4318382.7510000002</v>
      </c>
    </row>
    <row r="60" spans="1:6">
      <c r="A60" s="1312" t="s">
        <v>48</v>
      </c>
      <c r="B60" s="1312" t="s">
        <v>52</v>
      </c>
      <c r="C60" s="1313">
        <v>27</v>
      </c>
      <c r="D60" s="1313">
        <v>1664330.4609999999</v>
      </c>
      <c r="E60" s="1313">
        <v>33</v>
      </c>
      <c r="F60" s="1313">
        <v>1005459.8909999999</v>
      </c>
    </row>
    <row r="61" spans="1:6">
      <c r="A61" s="1312" t="s">
        <v>48</v>
      </c>
      <c r="B61" s="1312" t="s">
        <v>53</v>
      </c>
      <c r="C61" s="1313">
        <v>93</v>
      </c>
      <c r="D61" s="1313">
        <v>3377677.074</v>
      </c>
      <c r="E61" s="1313">
        <v>163</v>
      </c>
      <c r="F61" s="1313">
        <v>1379243.159</v>
      </c>
    </row>
    <row r="62" spans="1:6">
      <c r="A62" s="1312" t="s">
        <v>48</v>
      </c>
      <c r="B62" s="1312" t="s">
        <v>54</v>
      </c>
      <c r="C62" s="1313">
        <v>10</v>
      </c>
      <c r="D62" s="1313">
        <v>5624990.1789999995</v>
      </c>
      <c r="E62" s="1313">
        <v>12</v>
      </c>
      <c r="F62" s="1313">
        <v>1427233.523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74085.410999999993</v>
      </c>
      <c r="E65" s="1313">
        <v>0</v>
      </c>
      <c r="F65" s="1313">
        <v>0</v>
      </c>
    </row>
    <row r="66" spans="1:6">
      <c r="A66" s="1312" t="s">
        <v>55</v>
      </c>
      <c r="B66" s="1312" t="s">
        <v>57</v>
      </c>
      <c r="C66" s="1313">
        <v>0</v>
      </c>
      <c r="D66" s="1313">
        <v>0</v>
      </c>
      <c r="E66" s="1313">
        <v>5</v>
      </c>
      <c r="F66" s="1313">
        <v>162851.201</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54352.707999999999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41589913</v>
      </c>
      <c r="E73" s="447"/>
      <c r="F73" s="326"/>
    </row>
    <row r="74" spans="1:6">
      <c r="A74" s="1312" t="s">
        <v>63</v>
      </c>
      <c r="B74" s="1312" t="s">
        <v>638</v>
      </c>
      <c r="C74" s="1326" t="s">
        <v>640</v>
      </c>
      <c r="D74" s="1327">
        <v>5192946.3324685581</v>
      </c>
      <c r="E74" s="447"/>
      <c r="F74" s="326"/>
    </row>
    <row r="75" spans="1:6">
      <c r="A75" s="1312" t="s">
        <v>64</v>
      </c>
      <c r="B75" s="1312" t="s">
        <v>637</v>
      </c>
      <c r="C75" s="1326" t="s">
        <v>641</v>
      </c>
      <c r="D75" s="1327">
        <v>16465834</v>
      </c>
      <c r="E75" s="447"/>
      <c r="F75" s="326"/>
    </row>
    <row r="76" spans="1:6">
      <c r="A76" s="1312" t="s">
        <v>64</v>
      </c>
      <c r="B76" s="1312" t="s">
        <v>638</v>
      </c>
      <c r="C76" s="1326" t="s">
        <v>642</v>
      </c>
      <c r="D76" s="1327">
        <v>2072748.3324685586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141355.33506288301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4612.2795162398952</v>
      </c>
      <c r="C91" s="326"/>
      <c r="D91" s="326"/>
      <c r="E91" s="326"/>
      <c r="F91" s="326"/>
    </row>
    <row r="92" spans="1:6">
      <c r="A92" s="1307" t="s">
        <v>68</v>
      </c>
      <c r="B92" s="1308">
        <v>4938.6092153385052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1600</v>
      </c>
      <c r="C97" s="326"/>
      <c r="D97" s="326"/>
      <c r="E97" s="326"/>
      <c r="F97" s="326"/>
    </row>
    <row r="98" spans="1:6">
      <c r="A98" s="1312" t="s">
        <v>71</v>
      </c>
      <c r="B98" s="1313">
        <v>0</v>
      </c>
      <c r="C98" s="326"/>
      <c r="D98" s="326"/>
      <c r="E98" s="326"/>
      <c r="F98" s="326"/>
    </row>
    <row r="99" spans="1:6">
      <c r="A99" s="1312" t="s">
        <v>72</v>
      </c>
      <c r="B99" s="1313">
        <v>132</v>
      </c>
      <c r="C99" s="326"/>
      <c r="D99" s="326"/>
      <c r="E99" s="326"/>
      <c r="F99" s="326"/>
    </row>
    <row r="100" spans="1:6">
      <c r="A100" s="1312" t="s">
        <v>73</v>
      </c>
      <c r="B100" s="1313">
        <v>309</v>
      </c>
      <c r="C100" s="326"/>
      <c r="D100" s="326"/>
      <c r="E100" s="326"/>
      <c r="F100" s="326"/>
    </row>
    <row r="101" spans="1:6">
      <c r="A101" s="1312" t="s">
        <v>74</v>
      </c>
      <c r="B101" s="1313">
        <v>104</v>
      </c>
      <c r="C101" s="326"/>
      <c r="D101" s="326"/>
      <c r="E101" s="326"/>
      <c r="F101" s="326"/>
    </row>
    <row r="102" spans="1:6">
      <c r="A102" s="1312" t="s">
        <v>75</v>
      </c>
      <c r="B102" s="1313">
        <v>64</v>
      </c>
      <c r="C102" s="326"/>
      <c r="D102" s="326"/>
      <c r="E102" s="326"/>
      <c r="F102" s="326"/>
    </row>
    <row r="103" spans="1:6">
      <c r="A103" s="1312" t="s">
        <v>76</v>
      </c>
      <c r="B103" s="1313">
        <v>98</v>
      </c>
      <c r="C103" s="326"/>
      <c r="D103" s="326"/>
      <c r="E103" s="326"/>
      <c r="F103" s="326"/>
    </row>
    <row r="104" spans="1:6">
      <c r="A104" s="1312" t="s">
        <v>77</v>
      </c>
      <c r="B104" s="1313">
        <v>1210</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23</v>
      </c>
      <c r="C123" s="1313">
        <v>33</v>
      </c>
      <c r="D123" s="326"/>
      <c r="E123" s="326"/>
      <c r="F123" s="326"/>
    </row>
    <row r="124" spans="1:6" s="43" customFormat="1">
      <c r="A124" s="1314" t="s">
        <v>88</v>
      </c>
      <c r="B124" s="1335">
        <v>1</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208</v>
      </c>
      <c r="C129" s="326"/>
      <c r="D129" s="326"/>
      <c r="E129" s="326"/>
      <c r="F129" s="326"/>
    </row>
    <row r="130" spans="1:6">
      <c r="A130" s="1312" t="s">
        <v>290</v>
      </c>
      <c r="B130" s="1313">
        <v>1</v>
      </c>
      <c r="C130" s="326"/>
      <c r="D130" s="326"/>
      <c r="E130" s="326"/>
      <c r="F130" s="326"/>
    </row>
    <row r="131" spans="1:6">
      <c r="A131" s="1312" t="s">
        <v>291</v>
      </c>
      <c r="B131" s="1313">
        <v>5</v>
      </c>
      <c r="C131" s="326"/>
      <c r="D131" s="326"/>
      <c r="E131" s="326"/>
      <c r="F131" s="326"/>
    </row>
    <row r="132" spans="1:6">
      <c r="A132" s="1307" t="s">
        <v>292</v>
      </c>
      <c r="B132" s="1308">
        <v>20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94288.931355887733</v>
      </c>
      <c r="C3" s="43" t="s">
        <v>169</v>
      </c>
      <c r="D3" s="43"/>
      <c r="E3" s="154"/>
      <c r="F3" s="43"/>
      <c r="G3" s="43"/>
      <c r="H3" s="43"/>
      <c r="I3" s="43"/>
      <c r="J3" s="43"/>
      <c r="K3" s="96"/>
    </row>
    <row r="4" spans="1:11">
      <c r="A4" s="354" t="s">
        <v>170</v>
      </c>
      <c r="B4" s="49">
        <f>IF(ISERROR('SEAP template'!B78+'SEAP template'!C78),0,'SEAP template'!B78+'SEAP template'!C78)</f>
        <v>20340.763731578401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1426.3279411764706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0.18845131375051144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2037.6113445378148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15414.107142857141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0.13219133133390984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672.89271600000006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672.89271600000006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0.18845131375051144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126.8075163433498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12630.295824999999</v>
      </c>
      <c r="C5" s="17">
        <f>IF(ISERROR('Eigen informatie GS &amp; warmtenet'!B59),0,'Eigen informatie GS &amp; warmtenet'!B59)</f>
        <v>0</v>
      </c>
      <c r="D5" s="30">
        <f>(SUM(HH_hh_gas_kWh,HH_rest_gas_kWh)/1000)*0.903</f>
        <v>34361.704681814997</v>
      </c>
      <c r="E5" s="17">
        <f>B32*B41</f>
        <v>981.29134717703448</v>
      </c>
      <c r="F5" s="17">
        <f>B36*B45</f>
        <v>21496.762202878712</v>
      </c>
      <c r="G5" s="18"/>
      <c r="H5" s="17"/>
      <c r="I5" s="17"/>
      <c r="J5" s="17">
        <f>B35*B44+C35*C44</f>
        <v>122.51239897587806</v>
      </c>
      <c r="K5" s="17"/>
      <c r="L5" s="17"/>
      <c r="M5" s="17"/>
      <c r="N5" s="17">
        <f>B34*B43+C34*C43</f>
        <v>5356.043565406434</v>
      </c>
      <c r="O5" s="17">
        <f>B52*B53*B54</f>
        <v>482.10184731104874</v>
      </c>
      <c r="P5" s="17">
        <f>B60*B61*B62/1000-B60*B61*B62/1000/B63</f>
        <v>463.49420953814104</v>
      </c>
    </row>
    <row r="6" spans="1:16">
      <c r="A6" s="16" t="s">
        <v>603</v>
      </c>
      <c r="B6" s="780">
        <f>kWh_PV_kleiner_dan_10kW</f>
        <v>4612.2795162398952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17242.575341239895</v>
      </c>
      <c r="C8" s="21">
        <f>C5</f>
        <v>0</v>
      </c>
      <c r="D8" s="21">
        <f>D5</f>
        <v>34361.704681814997</v>
      </c>
      <c r="E8" s="21">
        <f>E5</f>
        <v>981.29134717703448</v>
      </c>
      <c r="F8" s="21">
        <f>F5</f>
        <v>21496.762202878712</v>
      </c>
      <c r="G8" s="21"/>
      <c r="H8" s="21"/>
      <c r="I8" s="21"/>
      <c r="J8" s="21">
        <f>J5</f>
        <v>122.51239897587806</v>
      </c>
      <c r="K8" s="21"/>
      <c r="L8" s="21">
        <f>L5</f>
        <v>0</v>
      </c>
      <c r="M8" s="21">
        <f>M5</f>
        <v>0</v>
      </c>
      <c r="N8" s="21">
        <f>N5</f>
        <v>5356.043565406434</v>
      </c>
      <c r="O8" s="21">
        <f>O5</f>
        <v>482.10184731104874</v>
      </c>
      <c r="P8" s="21">
        <f>P5</f>
        <v>463.49420953814104</v>
      </c>
    </row>
    <row r="9" spans="1:16">
      <c r="B9" s="19"/>
      <c r="C9" s="19"/>
      <c r="D9" s="254"/>
      <c r="E9" s="19"/>
      <c r="F9" s="19"/>
      <c r="G9" s="19"/>
      <c r="H9" s="19"/>
      <c r="I9" s="19"/>
      <c r="J9" s="19"/>
      <c r="K9" s="19"/>
      <c r="L9" s="19"/>
      <c r="M9" s="19"/>
      <c r="N9" s="19"/>
      <c r="O9" s="19"/>
      <c r="P9" s="19"/>
    </row>
    <row r="10" spans="1:16">
      <c r="A10" s="24" t="s">
        <v>213</v>
      </c>
      <c r="B10" s="25">
        <f ca="1">'EF ele_warmte'!B12</f>
        <v>0.18845131375051144</v>
      </c>
      <c r="C10" s="25">
        <f ca="1">'EF ele_warmte'!B22</f>
        <v>0.13219133133390984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3249.3859754988312</v>
      </c>
      <c r="C12" s="23">
        <f ca="1">C10*C8</f>
        <v>0</v>
      </c>
      <c r="D12" s="23">
        <f>D8*D10</f>
        <v>6941.0643457266297</v>
      </c>
      <c r="E12" s="23">
        <f>E10*E8</f>
        <v>222.75313580918683</v>
      </c>
      <c r="F12" s="23">
        <f>F10*F8</f>
        <v>5739.6355081686161</v>
      </c>
      <c r="G12" s="23"/>
      <c r="H12" s="23"/>
      <c r="I12" s="23"/>
      <c r="J12" s="23">
        <f>J10*J8</f>
        <v>43.36938923746083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4039</v>
      </c>
      <c r="C26" s="36"/>
      <c r="D26" s="225"/>
    </row>
    <row r="27" spans="1:5" s="15" customFormat="1">
      <c r="A27" s="227" t="s">
        <v>866</v>
      </c>
      <c r="B27" s="37">
        <f>SUM(HH_hh_gas_aantal,HH_rest_gas_aantal)</f>
        <v>2578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2449.1</v>
      </c>
      <c r="C31" s="34" t="s">
        <v>110</v>
      </c>
      <c r="D31" s="171"/>
    </row>
    <row r="32" spans="1:5">
      <c r="A32" s="168" t="s">
        <v>72</v>
      </c>
      <c r="B32" s="33">
        <f>IF((B21*($B$26-($B$27-0.05*$B$27)-$B$60))&lt;0,0,(B21*($B$26-($B$27-0.05*$B$27)-$B$60)))</f>
        <v>24.541469660953652</v>
      </c>
      <c r="C32" s="34" t="s">
        <v>110</v>
      </c>
      <c r="D32" s="171"/>
    </row>
    <row r="33" spans="1:6">
      <c r="A33" s="168" t="s">
        <v>73</v>
      </c>
      <c r="B33" s="33">
        <f>IF((B22*($B$26-($B$27-0.05*$B$27)-$B$60))&lt;0,0,B22*($B$26-($B$27-0.05*$B$27)-$B$60))</f>
        <v>398.50486237974167</v>
      </c>
      <c r="C33" s="34" t="s">
        <v>110</v>
      </c>
      <c r="D33" s="171"/>
    </row>
    <row r="34" spans="1:6">
      <c r="A34" s="168" t="s">
        <v>74</v>
      </c>
      <c r="B34" s="33">
        <f>IF((B24*($B$26-($B$27-0.05*$B$27)-$B$60))&lt;0,0,B24*($B$26-($B$27-0.05*$B$27)-$B$60))</f>
        <v>76.398715095209326</v>
      </c>
      <c r="C34" s="33">
        <f>B26*C24</f>
        <v>827.61509087863192</v>
      </c>
      <c r="D34" s="230"/>
    </row>
    <row r="35" spans="1:6">
      <c r="A35" s="168" t="s">
        <v>76</v>
      </c>
      <c r="B35" s="33">
        <f>IF((B19*($B$26-($B$27-0.05*$B$27)-$B$60))&lt;0,0,B19*($B$26-($B$27-0.05*$B$27)-$B$60))</f>
        <v>10.668118353151423</v>
      </c>
      <c r="C35" s="33">
        <f>B35/2</f>
        <v>5.3340591765757113</v>
      </c>
      <c r="D35" s="230"/>
    </row>
    <row r="36" spans="1:6">
      <c r="A36" s="168" t="s">
        <v>77</v>
      </c>
      <c r="B36" s="33">
        <f>IF((B18*($B$26-($B$27-0.05*$B$27)-$B$60))&lt;0,0,B18*($B$26-($B$27-0.05*$B$27)-$B$60))</f>
        <v>1035.7868345109437</v>
      </c>
      <c r="C36" s="34" t="s">
        <v>110</v>
      </c>
      <c r="D36" s="171"/>
    </row>
    <row r="37" spans="1:6">
      <c r="A37" s="168" t="s">
        <v>78</v>
      </c>
      <c r="B37" s="33">
        <f>B60</f>
        <v>44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13003.723975000001</v>
      </c>
      <c r="C5" s="17">
        <f>IF(ISERROR('Eigen informatie GS &amp; warmtenet'!B60),0,'Eigen informatie GS &amp; warmtenet'!B60)</f>
        <v>0</v>
      </c>
      <c r="D5" s="30">
        <f>SUM(D6:D12)</f>
        <v>17214.707084589001</v>
      </c>
      <c r="E5" s="17">
        <f>SUM(E6:E12)</f>
        <v>77.368391799176692</v>
      </c>
      <c r="F5" s="17">
        <f>SUM(F6:F12)</f>
        <v>3839.9295985861759</v>
      </c>
      <c r="G5" s="18"/>
      <c r="H5" s="17"/>
      <c r="I5" s="17"/>
      <c r="J5" s="17">
        <f>SUM(J6:J12)</f>
        <v>3.317190589721012E-2</v>
      </c>
      <c r="K5" s="17"/>
      <c r="L5" s="17"/>
      <c r="M5" s="17"/>
      <c r="N5" s="17">
        <f>SUM(N6:N12)</f>
        <v>1274.1987399440543</v>
      </c>
      <c r="O5" s="17">
        <f>B38*B39*B40</f>
        <v>4.8972607658411542</v>
      </c>
      <c r="P5" s="17">
        <f>B46*B47*B48/1000-B46*B47*B48/1000/B49</f>
        <v>367.77396814546512</v>
      </c>
      <c r="R5" s="32"/>
    </row>
    <row r="6" spans="1:18">
      <c r="A6" s="32" t="s">
        <v>53</v>
      </c>
      <c r="B6" s="37">
        <f>B26</f>
        <v>1379.2431589999999</v>
      </c>
      <c r="C6" s="33"/>
      <c r="D6" s="37">
        <f>IF(ISERROR(TER_kantoor_gas_kWh/1000),0,TER_kantoor_gas_kWh/1000)*0.903</f>
        <v>3050.0423978220001</v>
      </c>
      <c r="E6" s="33">
        <f>$C$26*'E Balans VL '!I12/100/3.6*1000000</f>
        <v>0.32863299204209656</v>
      </c>
      <c r="F6" s="33">
        <f>$C$26*('E Balans VL '!L12+'E Balans VL '!N12)/100/3.6*1000000</f>
        <v>119.80077963057322</v>
      </c>
      <c r="G6" s="34"/>
      <c r="H6" s="33"/>
      <c r="I6" s="33"/>
      <c r="J6" s="33">
        <f>$C$26*('E Balans VL '!D12+'E Balans VL '!E12)/100/3.6*1000000</f>
        <v>0</v>
      </c>
      <c r="K6" s="33"/>
      <c r="L6" s="33"/>
      <c r="M6" s="33"/>
      <c r="N6" s="33">
        <f>$C$26*'E Balans VL '!Y12/100/3.6*1000000</f>
        <v>1.8435514383959839</v>
      </c>
      <c r="O6" s="33"/>
      <c r="P6" s="33"/>
      <c r="R6" s="32"/>
    </row>
    <row r="7" spans="1:18">
      <c r="A7" s="32" t="s">
        <v>52</v>
      </c>
      <c r="B7" s="37">
        <f t="shared" ref="B7:B12" si="0">B27</f>
        <v>1005.459891</v>
      </c>
      <c r="C7" s="33"/>
      <c r="D7" s="37">
        <f>IF(ISERROR(TER_horeca_gas_kWh/1000),0,TER_horeca_gas_kWh/1000)*0.903</f>
        <v>1502.8904062829999</v>
      </c>
      <c r="E7" s="33">
        <f>$C$27*'E Balans VL '!I9/100/3.6*1000000</f>
        <v>0</v>
      </c>
      <c r="F7" s="33">
        <f>$C$27*('E Balans VL '!L9+'E Balans VL '!N9)/100/3.6*1000000</f>
        <v>81.92678489174456</v>
      </c>
      <c r="G7" s="34"/>
      <c r="H7" s="33"/>
      <c r="I7" s="33"/>
      <c r="J7" s="33">
        <f>$C$27*('E Balans VL '!D9+'E Balans VL '!E9)/100/3.6*1000000</f>
        <v>0</v>
      </c>
      <c r="K7" s="33"/>
      <c r="L7" s="33"/>
      <c r="M7" s="33"/>
      <c r="N7" s="33">
        <f>$C$27*'E Balans VL '!Y9/100/3.6*1000000</f>
        <v>0.2784936708075213</v>
      </c>
      <c r="O7" s="33"/>
      <c r="P7" s="33"/>
      <c r="R7" s="32"/>
    </row>
    <row r="8" spans="1:18">
      <c r="A8" s="6" t="s">
        <v>51</v>
      </c>
      <c r="B8" s="37">
        <f t="shared" si="0"/>
        <v>4318.3827510000001</v>
      </c>
      <c r="C8" s="33"/>
      <c r="D8" s="37">
        <f>IF(ISERROR(TER_handel_gas_kWh/1000),0,TER_handel_gas_kWh/1000)*0.903</f>
        <v>3028.6384732380002</v>
      </c>
      <c r="E8" s="33">
        <f>$C$28*'E Balans VL '!I13/100/3.6*1000000</f>
        <v>34.519487400820296</v>
      </c>
      <c r="F8" s="33">
        <f>$C$28*('E Balans VL '!L13+'E Balans VL '!N13)/100/3.6*1000000</f>
        <v>429.0044816784245</v>
      </c>
      <c r="G8" s="34"/>
      <c r="H8" s="33"/>
      <c r="I8" s="33"/>
      <c r="J8" s="33">
        <f>$C$28*('E Balans VL '!D13+'E Balans VL '!E13)/100/3.6*1000000</f>
        <v>0</v>
      </c>
      <c r="K8" s="33"/>
      <c r="L8" s="33"/>
      <c r="M8" s="33"/>
      <c r="N8" s="33">
        <f>$C$28*'E Balans VL '!Y13/100/3.6*1000000</f>
        <v>1.613173004749803</v>
      </c>
      <c r="O8" s="33"/>
      <c r="P8" s="33"/>
      <c r="R8" s="32"/>
    </row>
    <row r="9" spans="1:18">
      <c r="A9" s="32" t="s">
        <v>50</v>
      </c>
      <c r="B9" s="37">
        <f t="shared" si="0"/>
        <v>1593.6596050000001</v>
      </c>
      <c r="C9" s="33"/>
      <c r="D9" s="37">
        <f>IF(ISERROR(TER_gezond_gas_kWh/1000),0,TER_gezond_gas_kWh/1000)*0.903</f>
        <v>2654.2577885880005</v>
      </c>
      <c r="E9" s="33">
        <f>$C$29*'E Balans VL '!I10/100/3.6*1000000</f>
        <v>0</v>
      </c>
      <c r="F9" s="33">
        <f>$C$29*('E Balans VL '!L10+'E Balans VL '!N10)/100/3.6*1000000</f>
        <v>145.28804278924224</v>
      </c>
      <c r="G9" s="34"/>
      <c r="H9" s="33"/>
      <c r="I9" s="33"/>
      <c r="J9" s="33">
        <f>$C$29*('E Balans VL '!D10+'E Balans VL '!E10)/100/3.6*1000000</f>
        <v>0</v>
      </c>
      <c r="K9" s="33"/>
      <c r="L9" s="33"/>
      <c r="M9" s="33"/>
      <c r="N9" s="33">
        <f>$C$29*'E Balans VL '!Y10/100/3.6*1000000</f>
        <v>11.648223538488672</v>
      </c>
      <c r="O9" s="33"/>
      <c r="P9" s="33"/>
      <c r="R9" s="32"/>
    </row>
    <row r="10" spans="1:18">
      <c r="A10" s="32" t="s">
        <v>49</v>
      </c>
      <c r="B10" s="37">
        <f t="shared" si="0"/>
        <v>3279.745046</v>
      </c>
      <c r="C10" s="33"/>
      <c r="D10" s="37">
        <f>IF(ISERROR(TER_ander_gas_kWh/1000),0,TER_ander_gas_kWh/1000)*0.903</f>
        <v>1899.5118870210001</v>
      </c>
      <c r="E10" s="33">
        <f>$C$30*'E Balans VL '!I14/100/3.6*1000000</f>
        <v>42.520271406314293</v>
      </c>
      <c r="F10" s="33">
        <f>$C$30*('E Balans VL '!L14+'E Balans VL '!N14)/100/3.6*1000000</f>
        <v>3007.9866921297821</v>
      </c>
      <c r="G10" s="34"/>
      <c r="H10" s="33"/>
      <c r="I10" s="33"/>
      <c r="J10" s="33">
        <f>$C$30*('E Balans VL '!D14+'E Balans VL '!E14)/100/3.6*1000000</f>
        <v>3.317190589721012E-2</v>
      </c>
      <c r="K10" s="33"/>
      <c r="L10" s="33"/>
      <c r="M10" s="33"/>
      <c r="N10" s="33">
        <f>$C$30*'E Balans VL '!Y14/100/3.6*1000000</f>
        <v>1254.320587297065</v>
      </c>
      <c r="O10" s="33"/>
      <c r="P10" s="33"/>
      <c r="R10" s="32"/>
    </row>
    <row r="11" spans="1:18">
      <c r="A11" s="32" t="s">
        <v>54</v>
      </c>
      <c r="B11" s="37">
        <f t="shared" si="0"/>
        <v>1427.2335230000001</v>
      </c>
      <c r="C11" s="33"/>
      <c r="D11" s="37">
        <f>IF(ISERROR(TER_onderwijs_gas_kWh/1000),0,TER_onderwijs_gas_kWh/1000)*0.903</f>
        <v>5079.3661316369999</v>
      </c>
      <c r="E11" s="33">
        <f>$C$31*'E Balans VL '!I11/100/3.6*1000000</f>
        <v>0</v>
      </c>
      <c r="F11" s="33">
        <f>$C$31*('E Balans VL '!L11+'E Balans VL '!N11)/100/3.6*1000000</f>
        <v>55.922817466409228</v>
      </c>
      <c r="G11" s="34"/>
      <c r="H11" s="33"/>
      <c r="I11" s="33"/>
      <c r="J11" s="33">
        <f>$C$31*('E Balans VL '!D11+'E Balans VL '!E11)/100/3.6*1000000</f>
        <v>0</v>
      </c>
      <c r="K11" s="33"/>
      <c r="L11" s="33"/>
      <c r="M11" s="33"/>
      <c r="N11" s="33">
        <f>$C$31*'E Balans VL '!Y11/100/3.6*1000000</f>
        <v>4.4947109945474555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4869</v>
      </c>
      <c r="C13" s="243">
        <f ca="1">'lokale energieproductie'!O41+'lokale energieproductie'!O34</f>
        <v>6955.7142857142853</v>
      </c>
      <c r="D13" s="304">
        <f ca="1">('lokale energieproductie'!P34+'lokale energieproductie'!P41)*(-1)</f>
        <v>-231.42857142857144</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-13680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17872.723975000001</v>
      </c>
      <c r="C16" s="21">
        <f t="shared" ca="1" si="1"/>
        <v>6955.7142857142853</v>
      </c>
      <c r="D16" s="21">
        <f t="shared" ca="1" si="1"/>
        <v>16983.278513160429</v>
      </c>
      <c r="E16" s="21">
        <f t="shared" si="1"/>
        <v>77.368391799176692</v>
      </c>
      <c r="F16" s="21">
        <f t="shared" ca="1" si="1"/>
        <v>3839.9295985861759</v>
      </c>
      <c r="G16" s="21">
        <f t="shared" si="1"/>
        <v>0</v>
      </c>
      <c r="H16" s="21">
        <f t="shared" si="1"/>
        <v>0</v>
      </c>
      <c r="I16" s="21">
        <f t="shared" si="1"/>
        <v>0</v>
      </c>
      <c r="J16" s="21">
        <f t="shared" si="1"/>
        <v>3.317190589721012E-2</v>
      </c>
      <c r="K16" s="21">
        <f t="shared" si="1"/>
        <v>0</v>
      </c>
      <c r="L16" s="21">
        <f t="shared" ca="1" si="1"/>
        <v>0</v>
      </c>
      <c r="M16" s="21">
        <f t="shared" si="1"/>
        <v>0</v>
      </c>
      <c r="N16" s="21">
        <f t="shared" ca="1" si="1"/>
        <v>0</v>
      </c>
      <c r="O16" s="21">
        <f>O5</f>
        <v>4.8972607658411542</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0.18845131375051144</v>
      </c>
      <c r="C18" s="25">
        <f ca="1">'EF ele_warmte'!B22</f>
        <v>0.13219133133390984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3368.1383133890131</v>
      </c>
      <c r="C20" s="23">
        <f t="shared" ref="C20:P20" ca="1" si="2">C16*C18</f>
        <v>919.48513180686712</v>
      </c>
      <c r="D20" s="23">
        <f t="shared" ca="1" si="2"/>
        <v>3430.6222596584066</v>
      </c>
      <c r="E20" s="23">
        <f t="shared" si="2"/>
        <v>17.562624938413109</v>
      </c>
      <c r="F20" s="23">
        <f t="shared" ca="1" si="2"/>
        <v>1025.2612028225089</v>
      </c>
      <c r="G20" s="23">
        <f t="shared" si="2"/>
        <v>0</v>
      </c>
      <c r="H20" s="23">
        <f t="shared" si="2"/>
        <v>0</v>
      </c>
      <c r="I20" s="23">
        <f t="shared" si="2"/>
        <v>0</v>
      </c>
      <c r="J20" s="23">
        <f t="shared" si="2"/>
        <v>1.1742854687612382E-2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1379.2431589999999</v>
      </c>
      <c r="C26" s="39">
        <f>IF(ISERROR(B26*3.6/1000000/'E Balans VL '!Z12*100),0,B26*3.6/1000000/'E Balans VL '!Z12*100)</f>
        <v>3.9570356437885847E-2</v>
      </c>
      <c r="D26" s="233" t="s">
        <v>841</v>
      </c>
      <c r="F26" s="6"/>
    </row>
    <row r="27" spans="1:18" ht="30">
      <c r="A27" s="228" t="s">
        <v>52</v>
      </c>
      <c r="B27" s="33">
        <f>IF(ISERROR(TER_horeca_ele_kWh/1000),0,TER_horeca_ele_kWh/1000)</f>
        <v>1005.459891</v>
      </c>
      <c r="C27" s="39">
        <f>IF(ISERROR(B27*3.6/1000000/'E Balans VL '!Z9*100),0,B27*3.6/1000000/'E Balans VL '!Z9*100)</f>
        <v>7.3660347583215602E-2</v>
      </c>
      <c r="D27" s="233" t="s">
        <v>841</v>
      </c>
      <c r="F27" s="6"/>
    </row>
    <row r="28" spans="1:18" ht="30">
      <c r="A28" s="168" t="s">
        <v>51</v>
      </c>
      <c r="B28" s="33">
        <f>IF(ISERROR(TER_handel_ele_kWh/1000),0,TER_handel_ele_kWh/1000)</f>
        <v>4318.3827510000001</v>
      </c>
      <c r="C28" s="39">
        <f>IF(ISERROR(B28*3.6/1000000/'E Balans VL '!Z13*100),0,B28*3.6/1000000/'E Balans VL '!Z13*100)</f>
        <v>0.13344166935160368</v>
      </c>
      <c r="D28" s="233" t="s">
        <v>841</v>
      </c>
      <c r="F28" s="6"/>
    </row>
    <row r="29" spans="1:18" ht="30">
      <c r="A29" s="228" t="s">
        <v>50</v>
      </c>
      <c r="B29" s="33">
        <f>IF(ISERROR(TER_gezond_ele_kWh/1000),0,TER_gezond_ele_kWh/1000)</f>
        <v>1593.6596050000001</v>
      </c>
      <c r="C29" s="39">
        <f>IF(ISERROR(B29*3.6/1000000/'E Balans VL '!Z10*100),0,B29*3.6/1000000/'E Balans VL '!Z10*100)</f>
        <v>0.15618844063119444</v>
      </c>
      <c r="D29" s="233" t="s">
        <v>841</v>
      </c>
      <c r="F29" s="6"/>
    </row>
    <row r="30" spans="1:18" ht="30">
      <c r="A30" s="228" t="s">
        <v>49</v>
      </c>
      <c r="B30" s="33">
        <f>IF(ISERROR(TER_ander_ele_kWh/1000),0,TER_ander_ele_kWh/1000)</f>
        <v>3279.745046</v>
      </c>
      <c r="C30" s="39">
        <f>IF(ISERROR(B30*3.6/1000000/'E Balans VL '!Z14*100),0,B30*3.6/1000000/'E Balans VL '!Z14*100)</f>
        <v>0.13585763507389811</v>
      </c>
      <c r="D30" s="233" t="s">
        <v>841</v>
      </c>
      <c r="F30" s="6"/>
    </row>
    <row r="31" spans="1:18" ht="30">
      <c r="A31" s="228" t="s">
        <v>54</v>
      </c>
      <c r="B31" s="33">
        <f>IF(ISERROR(TER_onderwijs_ele_kWh/1000),0,TER_onderwijs_ele_kWh/1000)</f>
        <v>1427.2335230000001</v>
      </c>
      <c r="C31" s="39">
        <f>IF(ISERROR(B31*3.6/1000000/'E Balans VL '!Z11*100),0,B31*3.6/1000000/'E Balans VL '!Z11*100)</f>
        <v>0.43854546997932714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53864.752381999999</v>
      </c>
      <c r="C5" s="17">
        <f>IF(ISERROR('Eigen informatie GS &amp; warmtenet'!B61),0,'Eigen informatie GS &amp; warmtenet'!B61)</f>
        <v>0</v>
      </c>
      <c r="D5" s="30">
        <f>SUM(D6:D15)</f>
        <v>34202.213714591999</v>
      </c>
      <c r="E5" s="17">
        <f>SUM(E6:E15)</f>
        <v>83.299817135455683</v>
      </c>
      <c r="F5" s="17">
        <f>SUM(F6:F15)</f>
        <v>15084.885023623974</v>
      </c>
      <c r="G5" s="18"/>
      <c r="H5" s="17"/>
      <c r="I5" s="17"/>
      <c r="J5" s="17">
        <f>SUM(J6:J15)</f>
        <v>2.79306928721499</v>
      </c>
      <c r="K5" s="17"/>
      <c r="L5" s="17"/>
      <c r="M5" s="17"/>
      <c r="N5" s="17">
        <f>SUM(N6:N15)</f>
        <v>961.14080706114396</v>
      </c>
      <c r="O5" s="17">
        <f>B43*B44*B45</f>
        <v>0</v>
      </c>
      <c r="P5" s="17">
        <f>B51*B52*B53/1000-B51*B52*B53/1000/B54</f>
        <v>0</v>
      </c>
      <c r="R5" s="32"/>
    </row>
    <row r="6" spans="1:18">
      <c r="A6" s="6" t="s">
        <v>34</v>
      </c>
      <c r="B6" s="37">
        <f>IF( ISERROR(IND_ijzer_ele_kWh/1000),0,IND_ijzer_ele_kWh/1000)</f>
        <v>20271.330542</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573.62608900000009</v>
      </c>
      <c r="C8" s="33"/>
      <c r="D8" s="37">
        <f>IF( ISERROR(IND_metaal_Gas_kWH/1000),0,IND_metaal_Gas_kWH/1000)*0.903</f>
        <v>274.96647357899997</v>
      </c>
      <c r="E8" s="33">
        <f>C30*'E Balans VL '!I18/100/3.6*1000000</f>
        <v>3.1269252724137271</v>
      </c>
      <c r="F8" s="33">
        <f>C30*'E Balans VL '!L18/100/3.6*1000000+C30*'E Balans VL '!N18/100/3.6*1000000</f>
        <v>36.941563946710353</v>
      </c>
      <c r="G8" s="34"/>
      <c r="H8" s="33"/>
      <c r="I8" s="33"/>
      <c r="J8" s="40">
        <f>C30*'E Balans VL '!D18/100/3.6*1000000+C30*'E Balans VL '!E18/100/3.6*1000000</f>
        <v>0.46986973688813066</v>
      </c>
      <c r="K8" s="33"/>
      <c r="L8" s="33"/>
      <c r="M8" s="33"/>
      <c r="N8" s="33">
        <f>C30*'E Balans VL '!Y18/100/3.6*1000000</f>
        <v>12.39281260250508</v>
      </c>
      <c r="O8" s="33"/>
      <c r="P8" s="33"/>
      <c r="R8" s="32"/>
    </row>
    <row r="9" spans="1:18">
      <c r="A9" s="6" t="s">
        <v>32</v>
      </c>
      <c r="B9" s="37">
        <f t="shared" si="0"/>
        <v>23245.854228999997</v>
      </c>
      <c r="C9" s="33"/>
      <c r="D9" s="37">
        <f>IF( ISERROR(IND_andere_gas_kWh/1000),0,IND_andere_gas_kWh/1000)*0.903</f>
        <v>4266.0038172570003</v>
      </c>
      <c r="E9" s="33">
        <f>C31*'E Balans VL '!I19/100/3.6*1000000</f>
        <v>75.041576233103441</v>
      </c>
      <c r="F9" s="33">
        <f>C31*'E Balans VL '!L19/100/3.6*1000000+C31*'E Balans VL '!N19/100/3.6*1000000</f>
        <v>15030.951825854825</v>
      </c>
      <c r="G9" s="34"/>
      <c r="H9" s="33"/>
      <c r="I9" s="33"/>
      <c r="J9" s="40">
        <f>C31*'E Balans VL '!D19/100/3.6*1000000+C31*'E Balans VL '!E19/100/3.6*1000000</f>
        <v>0</v>
      </c>
      <c r="K9" s="33"/>
      <c r="L9" s="33"/>
      <c r="M9" s="33"/>
      <c r="N9" s="33">
        <f>C31*'E Balans VL '!Y19/100/3.6*1000000</f>
        <v>939.3381180773971</v>
      </c>
      <c r="O9" s="33"/>
      <c r="P9" s="33"/>
      <c r="R9" s="32"/>
    </row>
    <row r="10" spans="1:18">
      <c r="A10" s="6" t="s">
        <v>40</v>
      </c>
      <c r="B10" s="37">
        <f t="shared" si="0"/>
        <v>172.206332</v>
      </c>
      <c r="C10" s="33"/>
      <c r="D10" s="37">
        <f>IF( ISERROR(IND_voed_gas_kWh/1000),0,IND_voed_gas_kWh/1000)*0.903</f>
        <v>272.72360579100001</v>
      </c>
      <c r="E10" s="33">
        <f>C32*'E Balans VL '!I20/100/3.6*1000000</f>
        <v>0.36098667509072518</v>
      </c>
      <c r="F10" s="33">
        <f>C32*'E Balans VL '!L20/100/3.6*1000000+C32*'E Balans VL '!N20/100/3.6*1000000</f>
        <v>3.3551744712889282</v>
      </c>
      <c r="G10" s="34"/>
      <c r="H10" s="33"/>
      <c r="I10" s="33"/>
      <c r="J10" s="40">
        <f>C32*'E Balans VL '!D20/100/3.6*1000000+C32*'E Balans VL '!E20/100/3.6*1000000</f>
        <v>0</v>
      </c>
      <c r="K10" s="33"/>
      <c r="L10" s="33"/>
      <c r="M10" s="33"/>
      <c r="N10" s="33">
        <f>C32*'E Balans VL '!Y20/100/3.6*1000000</f>
        <v>6.8498904610371323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9520.7070380000005</v>
      </c>
      <c r="C13" s="33"/>
      <c r="D13" s="37">
        <f>IF( ISERROR(IND_papier_gas_kWh/1000),0,IND_papier_gas_kWh/1000)*0.903</f>
        <v>18648.437217522001</v>
      </c>
      <c r="E13" s="33">
        <f>C35*'E Balans VL '!I23/100/3.6*1000000</f>
        <v>0</v>
      </c>
      <c r="F13" s="33">
        <f>C35*'E Balans VL '!L23/100/3.6*1000000+C35*'E Balans VL '!N23/100/3.6*1000000</f>
        <v>1.2753287233414736</v>
      </c>
      <c r="G13" s="34"/>
      <c r="H13" s="33"/>
      <c r="I13" s="33"/>
      <c r="J13" s="40">
        <f>C35*'E Balans VL '!D23/100/3.6*1000000+C35*'E Balans VL '!E23/100/3.6*1000000</f>
        <v>1.8832557561253567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81.028152000000006</v>
      </c>
      <c r="C15" s="33"/>
      <c r="D15" s="37">
        <f>IF( ISERROR(IND_rest_gas_kWh/1000),0,IND_rest_gas_kWh/1000)*0.903</f>
        <v>10740.082600443</v>
      </c>
      <c r="E15" s="33">
        <f>C37*'E Balans VL '!I15/100/3.6*1000000</f>
        <v>4.7703289548477814</v>
      </c>
      <c r="F15" s="33">
        <f>C37*'E Balans VL '!L15/100/3.6*1000000+C37*'E Balans VL '!N15/100/3.6*1000000</f>
        <v>12.361130627809228</v>
      </c>
      <c r="G15" s="34"/>
      <c r="H15" s="33"/>
      <c r="I15" s="33"/>
      <c r="J15" s="40">
        <f>C37*'E Balans VL '!D15/100/3.6*1000000+C37*'E Balans VL '!E15/100/3.6*1000000</f>
        <v>0.43994379420150276</v>
      </c>
      <c r="K15" s="33"/>
      <c r="L15" s="33"/>
      <c r="M15" s="33"/>
      <c r="N15" s="33">
        <f>C37*'E Balans VL '!Y15/100/3.6*1000000</f>
        <v>2.5599859202046704</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53864.752381999999</v>
      </c>
      <c r="C18" s="21">
        <f>C5+C16</f>
        <v>0</v>
      </c>
      <c r="D18" s="21">
        <f>MAX((D5+D16),0)</f>
        <v>34202.213714591999</v>
      </c>
      <c r="E18" s="21">
        <f>MAX((E5+E16),0)</f>
        <v>83.299817135455683</v>
      </c>
      <c r="F18" s="21">
        <f>MAX((F5+F16),0)</f>
        <v>15084.885023623974</v>
      </c>
      <c r="G18" s="21"/>
      <c r="H18" s="21"/>
      <c r="I18" s="21"/>
      <c r="J18" s="21">
        <f>MAX((J5+J16),0)</f>
        <v>2.79306928721499</v>
      </c>
      <c r="K18" s="21"/>
      <c r="L18" s="21">
        <f>MAX((L5+L16),0)</f>
        <v>0</v>
      </c>
      <c r="M18" s="21"/>
      <c r="N18" s="21">
        <f>MAX((N5+N16),0)</f>
        <v>961.14080706114396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0.18845131375051144</v>
      </c>
      <c r="C20" s="25">
        <f ca="1">'EF ele_warmte'!B22</f>
        <v>0.13219133133390984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10150.88335123389</v>
      </c>
      <c r="C22" s="23">
        <f ca="1">C18*C20</f>
        <v>0</v>
      </c>
      <c r="D22" s="23">
        <f>D18*D20</f>
        <v>6908.8471703475843</v>
      </c>
      <c r="E22" s="23">
        <f>E18*E20</f>
        <v>18.909058489748439</v>
      </c>
      <c r="F22" s="23">
        <f>F18*F20</f>
        <v>4027.6643013076014</v>
      </c>
      <c r="G22" s="23"/>
      <c r="H22" s="23"/>
      <c r="I22" s="23"/>
      <c r="J22" s="23">
        <f>J18*J20</f>
        <v>0.98874652767410642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573.62608900000009</v>
      </c>
      <c r="C30" s="39">
        <f>IF(ISERROR(B30*3.6/1000000/'E Balans VL '!Z18*100),0,B30*3.6/1000000/'E Balans VL '!Z18*100)</f>
        <v>3.4542190173520025E-2</v>
      </c>
      <c r="D30" s="233" t="s">
        <v>841</v>
      </c>
    </row>
    <row r="31" spans="1:18" ht="30">
      <c r="A31" s="6" t="s">
        <v>32</v>
      </c>
      <c r="B31" s="37">
        <f>IF( ISERROR(IND_ander_ele_kWh/1000),0,IND_ander_ele_kWh/1000)</f>
        <v>23245.854228999997</v>
      </c>
      <c r="C31" s="39">
        <f>IF(ISERROR(B31*3.6/1000000/'E Balans VL '!Z19*100),0,B31*3.6/1000000/'E Balans VL '!Z19*100)</f>
        <v>0.94708422574593765</v>
      </c>
      <c r="D31" s="233" t="s">
        <v>841</v>
      </c>
    </row>
    <row r="32" spans="1:18" ht="30">
      <c r="A32" s="168" t="s">
        <v>40</v>
      </c>
      <c r="B32" s="37">
        <f>IF( ISERROR(IND_voed_ele_kWh/1000),0,IND_voed_ele_kWh/1000)</f>
        <v>172.206332</v>
      </c>
      <c r="C32" s="39">
        <f>IF(ISERROR(B32*3.6/1000000/'E Balans VL '!Z20*100),0,B32*3.6/1000000/'E Balans VL '!Z20*100)</f>
        <v>4.9791780681836019E-3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9520.7070380000005</v>
      </c>
      <c r="C35" s="39">
        <f>IF(ISERROR(B35*3.6/1000000/'E Balans VL '!Z22*100),0,B35*3.6/1000000/'E Balans VL '!Z22*100)</f>
        <v>4.0652534364489723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81.028152000000006</v>
      </c>
      <c r="C37" s="39">
        <f>IF(ISERROR(B37*3.6/1000000/'E Balans VL '!Z15*100),0,B37*3.6/1000000/'E Balans VL '!Z15*100)</f>
        <v>6.6530250039020073E-4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3957.4366660000001</v>
      </c>
      <c r="C5" s="17">
        <f>'Eigen informatie GS &amp; warmtenet'!B62</f>
        <v>0</v>
      </c>
      <c r="D5" s="30">
        <f>IF(ISERROR(SUM(LB_lb_gas_kWh,LB_rest_gas_kWh)/1000),0,SUM(LB_lb_gas_kWh,LB_rest_gas_kWh)/1000)*0.903</f>
        <v>23379.402565070999</v>
      </c>
      <c r="E5" s="17">
        <f>B17*'E Balans VL '!I25/3.6*1000000/100</f>
        <v>113.34768332320023</v>
      </c>
      <c r="F5" s="17">
        <f>B17*('E Balans VL '!L25/3.6*1000000+'E Balans VL '!N25/3.6*1000000)/100</f>
        <v>12527.2002199295</v>
      </c>
      <c r="G5" s="18"/>
      <c r="H5" s="17"/>
      <c r="I5" s="17"/>
      <c r="J5" s="17">
        <f>('E Balans VL '!D25+'E Balans VL '!E25)/3.6*1000000*landbouw!B17/100</f>
        <v>1006.2518711863113</v>
      </c>
      <c r="K5" s="17"/>
      <c r="L5" s="17">
        <f>L6*(-1)</f>
        <v>0</v>
      </c>
      <c r="M5" s="17"/>
      <c r="N5" s="17">
        <f>N6*(-1)</f>
        <v>0</v>
      </c>
      <c r="O5" s="17"/>
      <c r="P5" s="17"/>
      <c r="R5" s="32"/>
    </row>
    <row r="6" spans="1:18">
      <c r="A6" s="16" t="s">
        <v>473</v>
      </c>
      <c r="B6" s="17" t="s">
        <v>210</v>
      </c>
      <c r="C6" s="17">
        <f>'lokale energieproductie'!O42+'lokale energieproductie'!O35</f>
        <v>8458.3928571428569</v>
      </c>
      <c r="D6" s="304">
        <f>('lokale energieproductie'!P35+'lokale energieproductie'!P42)*(-1)</f>
        <v>-16916.785714285717</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3957.4366660000001</v>
      </c>
      <c r="C8" s="21">
        <f>C5+C6</f>
        <v>8458.3928571428569</v>
      </c>
      <c r="D8" s="21">
        <f>MAX((D5+D6),0)</f>
        <v>6462.6168507852817</v>
      </c>
      <c r="E8" s="21">
        <f>MAX((E5+E6),0)</f>
        <v>113.34768332320023</v>
      </c>
      <c r="F8" s="21">
        <f>MAX((F5+F6),0)</f>
        <v>12527.2002199295</v>
      </c>
      <c r="G8" s="21"/>
      <c r="H8" s="21"/>
      <c r="I8" s="21"/>
      <c r="J8" s="21">
        <f>MAX((J5+J6),0)</f>
        <v>1006.2518711863113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0.18845131375051144</v>
      </c>
      <c r="C10" s="31">
        <f ca="1">'EF ele_warmte'!B22</f>
        <v>0.13219133133390984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745.78413879214395</v>
      </c>
      <c r="C12" s="23">
        <f ca="1">C8*C10</f>
        <v>1118.1262127309476</v>
      </c>
      <c r="D12" s="23">
        <f>D8*D10</f>
        <v>1305.4486038586269</v>
      </c>
      <c r="E12" s="23">
        <f>E8*E10</f>
        <v>25.729924114366455</v>
      </c>
      <c r="F12" s="23">
        <f>F8*F10</f>
        <v>3344.7624587211767</v>
      </c>
      <c r="G12" s="23"/>
      <c r="H12" s="23"/>
      <c r="I12" s="23"/>
      <c r="J12" s="23">
        <f>J8*J10</f>
        <v>356.21316239995417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0.54801520181248298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347.04806525896606</v>
      </c>
      <c r="C26" s="243">
        <f>B26*'GWP N2O_CH4'!B5</f>
        <v>7288.0093704382871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413.24377964042742</v>
      </c>
      <c r="C27" s="243">
        <f>B27*'GWP N2O_CH4'!B5</f>
        <v>8678.1193724489749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5.7258882096599555</v>
      </c>
      <c r="C28" s="243">
        <f>B28*'GWP N2O_CH4'!B4</f>
        <v>1775.0253449945862</v>
      </c>
      <c r="D28" s="50"/>
    </row>
    <row r="29" spans="1:4">
      <c r="A29" s="41" t="s">
        <v>272</v>
      </c>
      <c r="B29" s="243">
        <f>B34*'ha_N2O bodem landbouw'!B4</f>
        <v>17.278468089856105</v>
      </c>
      <c r="C29" s="243">
        <f>B29*'GWP N2O_CH4'!B4</f>
        <v>5356.3251078553922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3.9253587124738077E-3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4.3747971184841518E-4</v>
      </c>
      <c r="C5" s="434" t="s">
        <v>210</v>
      </c>
      <c r="D5" s="419">
        <f>SUM(D6:D11)</f>
        <v>8.1523083619999934E-4</v>
      </c>
      <c r="E5" s="419">
        <f>SUM(E6:E11)</f>
        <v>3.1766103896376777E-4</v>
      </c>
      <c r="F5" s="432" t="s">
        <v>210</v>
      </c>
      <c r="G5" s="419">
        <f>SUM(G6:G11)</f>
        <v>0.16813894939044782</v>
      </c>
      <c r="H5" s="419">
        <f>SUM(H6:H11)</f>
        <v>3.9830246378898579E-2</v>
      </c>
      <c r="I5" s="434" t="s">
        <v>210</v>
      </c>
      <c r="J5" s="434" t="s">
        <v>210</v>
      </c>
      <c r="K5" s="434" t="s">
        <v>210</v>
      </c>
      <c r="L5" s="434" t="s">
        <v>210</v>
      </c>
      <c r="M5" s="419">
        <f>SUM(M6:M11)</f>
        <v>1.2477856805203833E-2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2.916370130095119E-4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4.8624238698120518E-4</v>
      </c>
      <c r="E6" s="886">
        <f>vkm_GW_PW*SUMIFS(TableVerdeelsleutelVkm[LPG],TableVerdeelsleutelVkm[Voertuigtype],"Lichte voertuigen")*SUMIFS(TableECFTransport[EnergieConsumptieFactor (PJ per km)],TableECFTransport[Index],CONCATENATE($A6,"_LPG_LPG"))</f>
        <v>1.9277532990000034E-4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5.7933829236104586E-2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2.3846177701419412E-2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5.016962249116538E-3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1.2634349226893253E-6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5.0083356691996157E-2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3.6954267917728785E-7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2.8757016430764229E-3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1.4407496780731465E-4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3.2898844921879416E-4</v>
      </c>
      <c r="E8" s="422">
        <f>vkm_NGW_PW*SUMIFS(TableVerdeelsleutelVkm[LPG],TableVerdeelsleutelVkm[Voertuigtype],"Lichte voertuigen")*SUMIFS(TableECFTransport[EnergieConsumptieFactor (PJ per km)],TableECFTransport[Index],CONCATENATE($A8,"_LPG_LPG"))</f>
        <v>1.248857090637674E-4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3.4378548171851597E-2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1.5983521096356226E-2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3.107061870801787E-3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5.0429610889931092E-7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2.5743215290495489E-2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1.7803844376532313E-7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1.4781310422090849E-3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121.52214218011534</v>
      </c>
      <c r="C14" s="21"/>
      <c r="D14" s="21">
        <f t="shared" ref="D14:M14" si="0">((D5)*10^9/3600)+D12</f>
        <v>226.45301005555535</v>
      </c>
      <c r="E14" s="21">
        <f t="shared" si="0"/>
        <v>88.239177489935486</v>
      </c>
      <c r="F14" s="21"/>
      <c r="G14" s="21">
        <f t="shared" si="0"/>
        <v>46705.263719568844</v>
      </c>
      <c r="H14" s="21">
        <f t="shared" si="0"/>
        <v>11063.957327471826</v>
      </c>
      <c r="I14" s="21"/>
      <c r="J14" s="21"/>
      <c r="K14" s="21"/>
      <c r="L14" s="21"/>
      <c r="M14" s="21">
        <f t="shared" si="0"/>
        <v>3466.0713347788424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0.18845131375051144</v>
      </c>
      <c r="C16" s="56">
        <f ca="1">'EF ele_warmte'!B22</f>
        <v>0.13219133133390984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22.901007343619177</v>
      </c>
      <c r="C18" s="23"/>
      <c r="D18" s="23">
        <f t="shared" ref="D18:M18" si="1">D14*D16</f>
        <v>45.743508031222184</v>
      </c>
      <c r="E18" s="23">
        <f t="shared" si="1"/>
        <v>20.030293290215354</v>
      </c>
      <c r="F18" s="23"/>
      <c r="G18" s="23">
        <f t="shared" si="1"/>
        <v>12470.305413124883</v>
      </c>
      <c r="H18" s="23">
        <f t="shared" si="1"/>
        <v>2754.9253745404844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2.7282562083781975E-5</v>
      </c>
      <c r="C50" s="315">
        <f t="shared" ref="C50:P50" si="2">SUM(C51:C52)</f>
        <v>0</v>
      </c>
      <c r="D50" s="315">
        <f t="shared" si="2"/>
        <v>0</v>
      </c>
      <c r="E50" s="315">
        <f t="shared" si="2"/>
        <v>0</v>
      </c>
      <c r="F50" s="315">
        <f t="shared" si="2"/>
        <v>0</v>
      </c>
      <c r="G50" s="315">
        <f t="shared" si="2"/>
        <v>1.7079708674065947E-3</v>
      </c>
      <c r="H50" s="315">
        <f t="shared" si="2"/>
        <v>0</v>
      </c>
      <c r="I50" s="315">
        <f t="shared" si="2"/>
        <v>0</v>
      </c>
      <c r="J50" s="315">
        <f t="shared" si="2"/>
        <v>0</v>
      </c>
      <c r="K50" s="315">
        <f t="shared" si="2"/>
        <v>0</v>
      </c>
      <c r="L50" s="315">
        <f t="shared" si="2"/>
        <v>0</v>
      </c>
      <c r="M50" s="315">
        <f t="shared" si="2"/>
        <v>9.8067905361296493E-5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2.7282562083781975E-5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1.7079708674065947E-3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9.8067905361296493E-5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7.5784894677172145</v>
      </c>
      <c r="C54" s="21">
        <f t="shared" ref="C54:P54" si="3">(C50)*10^9/3600</f>
        <v>0</v>
      </c>
      <c r="D54" s="21">
        <f t="shared" si="3"/>
        <v>0</v>
      </c>
      <c r="E54" s="21">
        <f t="shared" si="3"/>
        <v>0</v>
      </c>
      <c r="F54" s="21">
        <f t="shared" si="3"/>
        <v>0</v>
      </c>
      <c r="G54" s="21">
        <f t="shared" si="3"/>
        <v>474.43635205738747</v>
      </c>
      <c r="H54" s="21">
        <f t="shared" si="3"/>
        <v>0</v>
      </c>
      <c r="I54" s="21">
        <f t="shared" si="3"/>
        <v>0</v>
      </c>
      <c r="J54" s="21">
        <f t="shared" si="3"/>
        <v>0</v>
      </c>
      <c r="K54" s="21">
        <f t="shared" si="3"/>
        <v>0</v>
      </c>
      <c r="L54" s="21">
        <f t="shared" si="3"/>
        <v>0</v>
      </c>
      <c r="M54" s="21">
        <f t="shared" si="3"/>
        <v>27.241084822582359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0.18845131375051144</v>
      </c>
      <c r="C56" s="56">
        <f ca="1">'EF ele_warmte'!B22</f>
        <v>0.13219133133390984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1.4281762964357232</v>
      </c>
      <c r="C58" s="23">
        <f t="shared" ref="C58:P58" ca="1" si="4">C54*C56</f>
        <v>0</v>
      </c>
      <c r="D58" s="23">
        <f t="shared" si="4"/>
        <v>0</v>
      </c>
      <c r="E58" s="23">
        <f t="shared" si="4"/>
        <v>0</v>
      </c>
      <c r="F58" s="23">
        <f t="shared" si="4"/>
        <v>0</v>
      </c>
      <c r="G58" s="23">
        <f t="shared" si="4"/>
        <v>126.67450599932246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9550.8887315784013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10789.875</v>
      </c>
      <c r="C8" s="545">
        <f>B51</f>
        <v>7061.0294117647054</v>
      </c>
      <c r="D8" s="546"/>
      <c r="E8" s="546">
        <f>E51</f>
        <v>0</v>
      </c>
      <c r="F8" s="547"/>
      <c r="G8" s="548"/>
      <c r="H8" s="546">
        <f>I51</f>
        <v>0</v>
      </c>
      <c r="I8" s="546">
        <f>G51+F51</f>
        <v>0</v>
      </c>
      <c r="J8" s="546">
        <f>H51+D51+C51</f>
        <v>5632.9411764705883</v>
      </c>
      <c r="K8" s="546"/>
      <c r="L8" s="546"/>
      <c r="M8" s="546"/>
      <c r="N8" s="549"/>
      <c r="O8" s="550">
        <f>C8*$C$12+D8*$D$12+E8*$E$12+F8*$F$12+G8*$G$12+H8*$H$12+I8*$I$12+J8*$J$12</f>
        <v>1426.3279411764706</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20340.763731578401</v>
      </c>
      <c r="C10" s="560">
        <f t="shared" ref="C10:L10" si="0">SUM(C8:C9)</f>
        <v>7061.0294117647054</v>
      </c>
      <c r="D10" s="560">
        <f t="shared" si="0"/>
        <v>0</v>
      </c>
      <c r="E10" s="560">
        <f t="shared" si="0"/>
        <v>0</v>
      </c>
      <c r="F10" s="560">
        <f t="shared" si="0"/>
        <v>0</v>
      </c>
      <c r="G10" s="560">
        <f t="shared" si="0"/>
        <v>0</v>
      </c>
      <c r="H10" s="560">
        <f t="shared" si="0"/>
        <v>0</v>
      </c>
      <c r="I10" s="560">
        <f t="shared" si="0"/>
        <v>0</v>
      </c>
      <c r="J10" s="560">
        <f t="shared" si="0"/>
        <v>5632.9411764705883</v>
      </c>
      <c r="K10" s="560">
        <f t="shared" si="0"/>
        <v>0</v>
      </c>
      <c r="L10" s="560">
        <f t="shared" si="0"/>
        <v>0</v>
      </c>
      <c r="M10" s="961"/>
      <c r="N10" s="961"/>
      <c r="O10" s="561">
        <f>SUM(O4:O9)</f>
        <v>1426.3279411764706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15414.107142857143</v>
      </c>
      <c r="C17" s="576">
        <f>B52</f>
        <v>10087.184873949578</v>
      </c>
      <c r="D17" s="577"/>
      <c r="E17" s="577">
        <f>E52</f>
        <v>0</v>
      </c>
      <c r="F17" s="578"/>
      <c r="G17" s="579"/>
      <c r="H17" s="576">
        <f>I52</f>
        <v>0</v>
      </c>
      <c r="I17" s="577">
        <f>G52+F52</f>
        <v>0</v>
      </c>
      <c r="J17" s="577">
        <f>H52+D52+C52</f>
        <v>8047.0588235294108</v>
      </c>
      <c r="K17" s="577"/>
      <c r="L17" s="577"/>
      <c r="M17" s="577"/>
      <c r="N17" s="962"/>
      <c r="O17" s="580">
        <f>C17*$C$22+E17*$E$22+H17*$H$22+I17*$I$22+J17*$J$22+D17*$D$22+F17*$F$22+G17*$G$22+K17*$K$22+L17*$L$22</f>
        <v>2037.6113445378148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15414.107142857143</v>
      </c>
      <c r="C20" s="559">
        <f>SUM(C17:C19)</f>
        <v>10087.184873949578</v>
      </c>
      <c r="D20" s="559">
        <f t="shared" ref="D20:L20" si="1">SUM(D17:D19)</f>
        <v>0</v>
      </c>
      <c r="E20" s="559">
        <f t="shared" si="1"/>
        <v>0</v>
      </c>
      <c r="F20" s="559">
        <f t="shared" si="1"/>
        <v>0</v>
      </c>
      <c r="G20" s="559">
        <f t="shared" si="1"/>
        <v>0</v>
      </c>
      <c r="H20" s="559">
        <f t="shared" si="1"/>
        <v>0</v>
      </c>
      <c r="I20" s="559">
        <f t="shared" si="1"/>
        <v>0</v>
      </c>
      <c r="J20" s="559">
        <f t="shared" si="1"/>
        <v>8047.0588235294108</v>
      </c>
      <c r="K20" s="559">
        <f t="shared" si="1"/>
        <v>0</v>
      </c>
      <c r="L20" s="559">
        <f t="shared" si="1"/>
        <v>0</v>
      </c>
      <c r="M20" s="559"/>
      <c r="N20" s="559"/>
      <c r="O20" s="585">
        <f>SUM(O17:O19)</f>
        <v>2037.6113445378148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36006</v>
      </c>
      <c r="C28" s="787">
        <v>8830</v>
      </c>
      <c r="D28" s="637" t="s">
        <v>874</v>
      </c>
      <c r="E28" s="636" t="s">
        <v>875</v>
      </c>
      <c r="F28" s="636" t="s">
        <v>876</v>
      </c>
      <c r="G28" s="636" t="s">
        <v>877</v>
      </c>
      <c r="H28" s="636" t="s">
        <v>878</v>
      </c>
      <c r="I28" s="636" t="s">
        <v>875</v>
      </c>
      <c r="J28" s="786">
        <v>40711</v>
      </c>
      <c r="K28" s="786">
        <v>39083</v>
      </c>
      <c r="L28" s="636" t="s">
        <v>879</v>
      </c>
      <c r="M28" s="636">
        <v>1064</v>
      </c>
      <c r="N28" s="636">
        <v>4788</v>
      </c>
      <c r="O28" s="636">
        <v>6840</v>
      </c>
      <c r="P28" s="636">
        <v>0</v>
      </c>
      <c r="Q28" s="636">
        <v>13680</v>
      </c>
      <c r="R28" s="636">
        <v>0</v>
      </c>
      <c r="S28" s="636">
        <v>0</v>
      </c>
      <c r="T28" s="636">
        <v>0</v>
      </c>
      <c r="U28" s="636">
        <v>0</v>
      </c>
      <c r="V28" s="636">
        <v>0</v>
      </c>
      <c r="W28" s="636">
        <v>0</v>
      </c>
      <c r="X28" s="636">
        <v>1600</v>
      </c>
      <c r="Y28" s="636" t="s">
        <v>49</v>
      </c>
      <c r="Z28" s="638" t="s">
        <v>155</v>
      </c>
    </row>
    <row r="29" spans="1:26" s="590" customFormat="1" ht="63.75">
      <c r="A29" s="589"/>
      <c r="B29" s="787">
        <v>36006</v>
      </c>
      <c r="C29" s="787">
        <v>8830</v>
      </c>
      <c r="D29" s="637" t="s">
        <v>880</v>
      </c>
      <c r="E29" s="636" t="s">
        <v>881</v>
      </c>
      <c r="F29" s="636" t="s">
        <v>882</v>
      </c>
      <c r="G29" s="636" t="s">
        <v>877</v>
      </c>
      <c r="H29" s="636" t="s">
        <v>878</v>
      </c>
      <c r="I29" s="636" t="s">
        <v>881</v>
      </c>
      <c r="J29" s="786">
        <v>40673</v>
      </c>
      <c r="K29" s="786">
        <v>40725</v>
      </c>
      <c r="L29" s="636" t="s">
        <v>879</v>
      </c>
      <c r="M29" s="636">
        <v>18</v>
      </c>
      <c r="N29" s="636">
        <v>81</v>
      </c>
      <c r="O29" s="636">
        <v>115.71428571428572</v>
      </c>
      <c r="P29" s="636">
        <v>231.42857142857144</v>
      </c>
      <c r="Q29" s="636">
        <v>0</v>
      </c>
      <c r="R29" s="636">
        <v>0</v>
      </c>
      <c r="S29" s="636">
        <v>0</v>
      </c>
      <c r="T29" s="636">
        <v>0</v>
      </c>
      <c r="U29" s="636">
        <v>0</v>
      </c>
      <c r="V29" s="636">
        <v>0</v>
      </c>
      <c r="W29" s="636">
        <v>0</v>
      </c>
      <c r="X29" s="636">
        <v>1600</v>
      </c>
      <c r="Y29" s="636" t="s">
        <v>49</v>
      </c>
      <c r="Z29" s="638" t="s">
        <v>155</v>
      </c>
    </row>
    <row r="30" spans="1:26" s="590" customFormat="1" ht="25.5">
      <c r="A30" s="589"/>
      <c r="B30" s="787">
        <v>36006</v>
      </c>
      <c r="C30" s="787">
        <v>8830</v>
      </c>
      <c r="D30" s="637" t="s">
        <v>883</v>
      </c>
      <c r="E30" s="636"/>
      <c r="F30" s="636" t="s">
        <v>884</v>
      </c>
      <c r="G30" s="636" t="s">
        <v>885</v>
      </c>
      <c r="H30" s="636" t="s">
        <v>878</v>
      </c>
      <c r="I30" s="636" t="s">
        <v>886</v>
      </c>
      <c r="J30" s="786">
        <v>43609</v>
      </c>
      <c r="K30" s="786">
        <v>43612</v>
      </c>
      <c r="L30" s="636" t="s">
        <v>887</v>
      </c>
      <c r="M30" s="636">
        <v>2027</v>
      </c>
      <c r="N30" s="636">
        <v>5320.875</v>
      </c>
      <c r="O30" s="636">
        <v>7601.25</v>
      </c>
      <c r="P30" s="636">
        <v>15202.500000000002</v>
      </c>
      <c r="Q30" s="636">
        <v>0</v>
      </c>
      <c r="R30" s="636">
        <v>0</v>
      </c>
      <c r="S30" s="636">
        <v>0</v>
      </c>
      <c r="T30" s="636">
        <v>0</v>
      </c>
      <c r="U30" s="636">
        <v>0</v>
      </c>
      <c r="V30" s="636">
        <v>0</v>
      </c>
      <c r="W30" s="636">
        <v>0</v>
      </c>
      <c r="X30" s="636">
        <v>10</v>
      </c>
      <c r="Y30" s="636" t="s">
        <v>111</v>
      </c>
      <c r="Z30" s="638" t="s">
        <v>111</v>
      </c>
    </row>
    <row r="31" spans="1:26" s="590" customFormat="1" ht="25.5">
      <c r="A31" s="589"/>
      <c r="B31" s="787">
        <v>36006</v>
      </c>
      <c r="C31" s="787">
        <v>8830</v>
      </c>
      <c r="D31" s="637" t="s">
        <v>888</v>
      </c>
      <c r="E31" s="636"/>
      <c r="F31" s="636" t="s">
        <v>889</v>
      </c>
      <c r="G31" s="636" t="s">
        <v>885</v>
      </c>
      <c r="H31" s="636" t="s">
        <v>878</v>
      </c>
      <c r="I31" s="636" t="s">
        <v>890</v>
      </c>
      <c r="J31" s="786">
        <v>43755</v>
      </c>
      <c r="K31" s="786">
        <v>43756</v>
      </c>
      <c r="L31" s="636" t="s">
        <v>887</v>
      </c>
      <c r="M31" s="636">
        <v>800</v>
      </c>
      <c r="N31" s="636">
        <v>600</v>
      </c>
      <c r="O31" s="636">
        <v>857.14285714285711</v>
      </c>
      <c r="P31" s="636">
        <v>1714.2857142857144</v>
      </c>
      <c r="Q31" s="636">
        <v>0</v>
      </c>
      <c r="R31" s="636">
        <v>0</v>
      </c>
      <c r="S31" s="636">
        <v>0</v>
      </c>
      <c r="T31" s="636">
        <v>0</v>
      </c>
      <c r="U31" s="636">
        <v>0</v>
      </c>
      <c r="V31" s="636">
        <v>0</v>
      </c>
      <c r="W31" s="636">
        <v>0</v>
      </c>
      <c r="X31" s="636">
        <v>10</v>
      </c>
      <c r="Y31" s="636" t="s">
        <v>111</v>
      </c>
      <c r="Z31" s="638" t="s">
        <v>111</v>
      </c>
    </row>
    <row r="32" spans="1:26" s="570" customFormat="1">
      <c r="A32" s="592" t="s">
        <v>275</v>
      </c>
      <c r="B32" s="593"/>
      <c r="C32" s="593"/>
      <c r="D32" s="593"/>
      <c r="E32" s="593"/>
      <c r="F32" s="593"/>
      <c r="G32" s="593"/>
      <c r="H32" s="593"/>
      <c r="I32" s="593"/>
      <c r="J32" s="593"/>
      <c r="K32" s="593"/>
      <c r="L32" s="594"/>
      <c r="M32" s="594">
        <f>SUM(M28:M31)</f>
        <v>3909</v>
      </c>
      <c r="N32" s="594">
        <f>SUM(N28:N31)</f>
        <v>10789.875</v>
      </c>
      <c r="O32" s="594">
        <f>SUM(O28:O31)</f>
        <v>15414.107142857143</v>
      </c>
      <c r="P32" s="594">
        <f>SUM(P28:P31)</f>
        <v>17148.214285714286</v>
      </c>
      <c r="Q32" s="594">
        <f>SUM(Q28:Q31)</f>
        <v>13680</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1082</v>
      </c>
      <c r="N34" s="594">
        <f ca="1">SUMIF($Z$28:AD31,"tertiair",N28:N31)</f>
        <v>4869</v>
      </c>
      <c r="O34" s="594">
        <f ca="1">SUMIF($Z$28:AE31,"tertiair",O28:O31)</f>
        <v>6955.7142857142853</v>
      </c>
      <c r="P34" s="594">
        <f ca="1">SUMIF($Z$28:AF31,"tertiair",P28:P31)</f>
        <v>231.42857142857144</v>
      </c>
      <c r="Q34" s="594">
        <f ca="1">SUMIF($Z$28:AG31,"tertiair",Q28:Q31)</f>
        <v>13680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2827</v>
      </c>
      <c r="N35" s="599">
        <f>SUMIF($Z$28:$Z$31,"landbouw",N28:N31)</f>
        <v>5920.875</v>
      </c>
      <c r="O35" s="599">
        <f>SUMIF($Z$28:$Z$31,"landbouw",O28:O31)</f>
        <v>8458.3928571428569</v>
      </c>
      <c r="P35" s="599">
        <f>SUMIF($Z$28:$Z$31,"landbouw",P28:P31)</f>
        <v>16916.785714285717</v>
      </c>
      <c r="Q35" s="599">
        <f>SUMIF($Z$28:$Z$31,"landbouw",Q28:Q31)</f>
        <v>0</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0.58823529411764697</v>
      </c>
      <c r="C48" s="619">
        <f>IF(ISERROR(N32/(O32+N32)),0,N32/(N32+O32))</f>
        <v>0.41176470588235292</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7061.0294117647054</v>
      </c>
      <c r="C51" s="628">
        <f t="shared" si="2"/>
        <v>5632.9411764705883</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10087.184873949578</v>
      </c>
      <c r="C52" s="631">
        <f t="shared" si="3"/>
        <v>8047.0588235294108</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2021-06-29T14:18:03Z</dcterms:modified>
</cp:coreProperties>
</file>