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G9" i="48" s="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I76" i="14" l="1"/>
  <c r="I8" i="59" s="1"/>
  <c r="I10" i="59" s="1"/>
  <c r="O33" i="48"/>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<sst xmlns="http://schemas.openxmlformats.org/spreadsheetml/2006/main" count="2438" uniqueCount="881">
  <si>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</si>
  <si>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</si>
  <si>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</si>
  <si>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</si>
  <si>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</si>
  <si>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</si>
  <si>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</si>
  <si>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</si>
  <si>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</si>
  <si>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</si>
  <si>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</si>
  <si>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</si>
  <si>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</si>
  <si>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</si>
  <si>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</si>
  <si>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</si>
  <si>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</si>
  <si>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</si>
  <si>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</si>
  <si>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</si>
  <si>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</si>
  <si>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</si>
  <si>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</si>
  <si>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</si>
  <si>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</si>
  <si>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</si>
  <si>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</si>
  <si>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</si>
  <si>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</si>
  <si>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</si>
  <si>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</si>
  <si>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</si>
  <si>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</si>
  <si>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</si>
  <si>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</si>
  <si>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</si>
  <si>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</si>
  <si>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</si>
  <si>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</si>
  <si>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</si>
  <si>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</si>
  <si>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</si>
  <si>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</si>
  <si>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</si>
  <si>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</si>
  <si>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</si>
  <si>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</si>
  <si>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</si>
  <si>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</si>
  <si>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</si>
  <si>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</si>
  <si>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</si>
  <si>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</si>
  <si>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</si>
  <si>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</si>
  <si>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</si>
  <si>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</si>
  <si>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</si>
  <si>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</si>
  <si>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</si>
  <si>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</si>
  <si>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</si>
  <si>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</si>
  <si>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</si>
  <si>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</si>
  <si>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</si>
  <si>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</si>
  <si>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</si>
  <si>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</si>
  <si>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</si>
  <si>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</si>
  <si>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</si>
  <si>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</si>
  <si>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</si>
  <si>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</si>
  <si>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</si>
  <si>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</si>
  <si>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</si>
  <si>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</si>
  <si>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</si>
  <si>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</si>
  <si>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</si>
  <si>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</si>
  <si>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</si>
  <si>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</si>
  <si>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</si>
  <si>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</si>
  <si>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</si>
  <si>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</si>
  <si>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</si>
  <si>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</si>
  <si>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</si>
  <si>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</si>
  <si>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</si>
  <si>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</si>
  <si>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</si>
  <si>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</si>
  <si>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</si>
  <si>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</si>
  <si>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</si>
  <si>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</si>
  <si>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</si>
  <si>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</si>
  <si>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</si>
  <si>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</si>
  <si>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</si>
  <si>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</si>
  <si>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</si>
  <si>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</si>
  <si>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</si>
  <si>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</si>
  <si>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</si>
  <si>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</si>
  <si>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</si>
  <si>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</si>
  <si>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</si>
  <si>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</si>
  <si>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</si>
  <si>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</si>
  <si>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</si>
  <si>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</si>
  <si>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</si>
  <si>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</si>
  <si>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</si>
  <si>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</si>
  <si>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</si>
  <si>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</si>
  <si>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</si>
  <si>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</si>
  <si>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</si>
  <si>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</si>
  <si>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</si>
  <si>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</si>
  <si>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</si>
  <si>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</si>
  <si>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</si>
  <si>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</si>
  <si>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</si>
  <si>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</si>
  <si>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</si>
  <si>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</si>
  <si>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</si>
  <si>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</si>
  <si>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</si>
  <si>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</si>
  <si>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</si>
  <si>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</si>
  <si>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</si>
  <si>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</si>
  <si>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</si>
  <si>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</si>
  <si>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</si>
  <si>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</si>
  <si>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</si>
  <si>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</si>
  <si>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</si>
  <si>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</si>
  <si>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</si>
  <si>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</si>
  <si>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</si>
  <si>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</si>
  <si>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</si>
  <si>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</si>
  <si>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</si>
  <si>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</si>
  <si>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</si>
  <si>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</si>
  <si>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</si>
  <si>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</si>
  <si>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</si>
  <si>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</si>
  <si>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</si>
  <si>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</si>
  <si>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</si>
  <si>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</si>
  <si>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</si>
  <si>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</si>
  <si>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</si>
  <si>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</si>
  <si>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</si>
  <si>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</si>
  <si>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</si>
  <si>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</si>
  <si>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</si>
  <si>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</si>
  <si>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</si>
  <si>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</si>
  <si>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</si>
  <si>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</si>
  <si>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</si>
  <si>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</si>
  <si>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</si>
  <si>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</si>
  <si>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</si>
  <si>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</si>
  <si>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</si>
  <si>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</si>
  <si>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</si>
  <si>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</si>
  <si>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</si>
  <si>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</si>
  <si>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</si>
  <si>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</si>
  <si>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</si>
  <si>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</si>
  <si>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</si>
  <si>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</si>
  <si>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</si>
  <si>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</si>
  <si>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</si>
  <si>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</si>
  <si>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</si>
  <si>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</si>
  <si>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</si>
  <si>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</si>
  <si>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</si>
  <si>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</si>
  <si>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</si>
  <si>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</si>
  <si>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</si>
  <si>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</si>
  <si>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</si>
  <si>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</si>
  <si>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</si>
  <si>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</si>
  <si>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</si>
  <si>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</si>
  <si>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</si>
  <si>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</si>
  <si>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</si>
  <si>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</si>
  <si>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</si>
  <si>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</si>
  <si>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</si>
  <si>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</si>
  <si>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</si>
  <si>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</si>
  <si>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</si>
  <si>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</si>
  <si>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</si>
  <si>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</si>
  <si>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</si>
  <si>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</si>
  <si>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</si>
  <si>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</si>
  <si>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</si>
  <si>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</si>
  <si>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</si>
  <si>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</si>
  <si>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</si>
  <si>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</si>
  <si>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</si>
  <si>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</si>
  <si>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</si>
  <si>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</si>
  <si>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</si>
  <si>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</si>
  <si>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</si>
  <si>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</si>
  <si>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</si>
  <si>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</si>
  <si>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</si>
  <si>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</si>
  <si>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</si>
  <si>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</si>
  <si>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</si>
  <si>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</si>
  <si>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</si>
  <si>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</si>
  <si>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</si>
  <si>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</si>
  <si>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</si>
  <si>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</si>
  <si>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</si>
  <si>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</si>
  <si>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</si>
  <si>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</si>
  <si>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</si>
  <si>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</si>
  <si>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</si>
  <si>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</si>
  <si>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</si>
  <si>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</si>
  <si>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</si>
  <si>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</si>
  <si>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</si>
  <si>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</si>
  <si>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</si>
  <si>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</si>
  <si>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</si>
  <si>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</si>
  <si>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</si>
  <si>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</si>
  <si>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</si>
  <si>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</si>
  <si>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</si>
  <si>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</si>
  <si>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</si>
  <si>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</si>
  <si>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</si>
  <si>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</si>
  <si>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</si>
  <si>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</si>
  <si>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</si>
  <si>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</si>
  <si>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</si>
  <si>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</si>
  <si>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</si>
  <si>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</si>
  <si>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</si>
  <si>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</si>
  <si>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</si>
  <si>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</si>
  <si>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</si>
  <si>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</si>
  <si>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</si>
  <si>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</si>
  <si>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</si>
  <si>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</si>
  <si>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</si>
  <si>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</si>
  <si>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</si>
  <si>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</si>
  <si>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</si>
  <si>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</si>
  <si>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</si>
  <si>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</si>
  <si>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</si>
  <si>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</si>
  <si>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</si>
  <si>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</si>
  <si>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</si>
  <si>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</si>
  <si>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</si>
  <si>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</si>
  <si>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</si>
  <si>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</si>
  <si>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</si>
  <si>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</si>
  <si>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</si>
  <si>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</si>
  <si>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</si>
  <si>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</si>
  <si>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</si>
  <si>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</si>
  <si>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</si>
  <si>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</si>
  <si>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</si>
  <si>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</si>
  <si>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</si>
  <si>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</si>
  <si>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</si>
  <si>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</si>
  <si>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</si>
  <si>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</si>
  <si>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</si>
  <si>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</si>
  <si>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</si>
  <si>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</si>
  <si>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</si>
  <si>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</si>
  <si>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</si>
  <si>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</si>
  <si>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</si>
  <si>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</si>
  <si>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</si>
  <si>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</si>
  <si>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</si>
  <si>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</si>
  <si>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</si>
  <si>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</si>
  <si>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</si>
  <si>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</si>
  <si>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</si>
  <si>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</si>
  <si>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</si>
  <si>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</si>
  <si>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</si>
  <si>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</si>
  <si>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</si>
  <si>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</si>
  <si>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</si>
  <si>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</si>
  <si>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</si>
  <si>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</si>
  <si>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</si>
  <si>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</si>
  <si>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</si>
  <si>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</si>
  <si>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</si>
  <si>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</si>
  <si>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</si>
  <si>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</si>
  <si>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</si>
  <si>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</si>
  <si>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</si>
  <si>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</si>
  <si>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</si>
  <si>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</si>
  <si>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</si>
  <si>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</si>
  <si>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</si>
  <si>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</si>
  <si>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</si>
  <si>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</si>
  <si>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</si>
  <si>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</si>
  <si>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</si>
  <si>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</si>
  <si>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</si>
  <si>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</si>
  <si>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</si>
  <si>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</si>
  <si>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</si>
  <si>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</si>
  <si>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</si>
  <si>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</si>
  <si>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</si>
  <si>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</si>
  <si>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</si>
  <si>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</si>
  <si>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</si>
  <si>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</si>
  <si>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</si>
  <si>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</si>
  <si>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</si>
  <si>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</si>
  <si>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</si>
  <si>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</si>
  <si>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</si>
  <si>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</si>
  <si>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</si>
  <si>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</si>
  <si>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</si>
  <si>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</si>
  <si>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</si>
  <si>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</si>
  <si>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</si>
  <si>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</si>
  <si>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</si>
  <si>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</si>
  <si>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</si>
  <si>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</si>
  <si>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</si>
  <si>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</si>
  <si>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</si>
  <si>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</si>
  <si>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</si>
  <si>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</si>
  <si>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</si>
  <si>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</si>
  <si>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</si>
  <si>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</si>
  <si>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</si>
  <si>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</si>
  <si>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</si>
  <si>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</si>
  <si>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</si>
  <si>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</si>
  <si>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</si>
  <si>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</si>
  <si>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</si>
  <si>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</si>
  <si>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</si>
  <si>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</si>
  <si>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</si>
  <si>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</si>
  <si>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</si>
  <si>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</si>
  <si>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</si>
  <si>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</si>
  <si>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</si>
  <si>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</si>
  <si>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</si>
  <si>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</si>
  <si>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</si>
  <si>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</si>
  <si>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</si>
  <si>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</si>
  <si>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</si>
  <si>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</si>
  <si>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</si>
  <si>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</si>
  <si>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</si>
  <si>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</si>
  <si>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</si>
  <si>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</si>
  <si>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</si>
  <si>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</si>
  <si>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</si>
  <si>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</si>
  <si>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</si>
  <si>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</si>
  <si>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</si>
  <si>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</si>
  <si>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</si>
  <si>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</si>
  <si>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</si>
  <si>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</si>
  <si>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</si>
  <si>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</si>
  <si>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</si>
  <si>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</si>
  <si>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</si>
  <si>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</si>
  <si>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</si>
  <si>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</si>
  <si>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</si>
  <si>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</si>
  <si>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</si>
  <si>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</si>
  <si>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</si>
  <si>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</si>
  <si>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</si>
  <si>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</si>
  <si>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</si>
  <si>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</si>
  <si>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</si>
  <si>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</si>
  <si>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</si>
  <si>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</si>
  <si>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</si>
  <si>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</si>
  <si>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</si>
  <si>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</si>
  <si>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</si>
  <si>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</si>
  <si>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</si>
  <si>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</si>
  <si>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</si>
  <si>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</si>
  <si>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</si>
  <si>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</si>
  <si>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</si>
  <si>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</si>
  <si>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</si>
  <si>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</si>
  <si>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</si>
  <si>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</si>
  <si>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</si>
  <si>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</si>
  <si>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</si>
  <si>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</si>
  <si>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</si>
  <si>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</si>
  <si>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</si>
  <si>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</si>
  <si>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</si>
  <si>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</si>
  <si>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</si>
  <si>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</si>
  <si>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</si>
  <si>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</si>
  <si>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</si>
  <si>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</si>
  <si>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</si>
  <si>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</si>
  <si>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</si>
  <si>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</si>
  <si>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</si>
  <si>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</si>
  <si>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</si>
  <si>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</si>
  <si>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</si>
  <si>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</si>
  <si>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</si>
  <si>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</si>
  <si>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</si>
  <si>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</si>
  <si>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</si>
  <si>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</si>
  <si>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</si>
  <si>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</si>
  <si>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</si>
  <si>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</si>
  <si>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</si>
  <si>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</si>
  <si>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</si>
  <si>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</si>
  <si>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</si>
  <si>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</si>
  <si>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</si>
  <si>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</si>
  <si>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</si>
  <si>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</si>
  <si>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</si>
  <si>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</si>
  <si>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</si>
  <si>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</si>
  <si>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</si>
  <si>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</si>
  <si>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</si>
  <si>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</si>
  <si>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</si>
  <si>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</si>
  <si>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</si>
  <si>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</si>
  <si>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</si>
  <si>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</si>
  <si>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</si>
  <si>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</si>
  <si>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</si>
  <si>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</si>
  <si>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</si>
  <si>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</si>
  <si>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</si>
  <si>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</si>
  <si>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</si>
  <si>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</si>
  <si>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</si>
  <si>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</si>
  <si>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</si>
  <si>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</si>
  <si>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</si>
  <si>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</si>
  <si>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</si>
  <si>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</si>
  <si>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</si>
  <si>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</si>
  <si>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</si>
  <si>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</si>
  <si>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</si>
  <si>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</si>
  <si>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</si>
  <si>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</si>
  <si>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</si>
  <si>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</si>
  <si>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</si>
  <si>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</si>
  <si>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</si>
  <si>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</si>
  <si>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</si>
  <si>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</si>
  <si>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</si>
  <si>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</si>
  <si>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</si>
  <si>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</si>
  <si>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</si>
  <si>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</si>
  <si>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</si>
  <si>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</si>
  <si>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</si>
  <si>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</si>
  <si>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</si>
  <si>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</si>
  <si>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</si>
  <si>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</si>
  <si>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</si>
  <si>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</si>
  <si>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</si>
  <si>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</si>
  <si>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</si>
  <si>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</si>
  <si>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</si>
  <si>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</si>
  <si>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</si>
  <si>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</si>
  <si>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</si>
  <si>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</si>
  <si>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</si>
  <si>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</si>
  <si>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</si>
  <si>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</si>
  <si>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</si>
  <si>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</si>
  <si>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</si>
  <si>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</si>
  <si>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</si>
  <si>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</si>
  <si>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</si>
  <si>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</si>
  <si>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</si>
  <si>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</si>
  <si>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</si>
  <si>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</si>
  <si>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</si>
  <si>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</si>
  <si>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</si>
  <si>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</si>
  <si>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</si>
  <si>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</si>
  <si>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</si>
  <si>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</si>
  <si>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</si>
  <si>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</si>
  <si>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</si>
  <si>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</si>
  <si>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</si>
  <si>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</si>
  <si>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</si>
  <si>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</si>
  <si>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</si>
  <si>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</si>
  <si>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</si>
  <si>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</si>
  <si>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</si>
  <si>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</si>
  <si>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</si>
  <si>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</si>
  <si>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</si>
  <si>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</si>
  <si>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</si>
  <si>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</si>
  <si>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</si>
  <si>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</si>
  <si>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</si>
  <si>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</si>
  <si>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</si>
  <si>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</si>
  <si>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</si>
  <si>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</si>
  <si>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</si>
  <si>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</si>
  <si>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</si>
  <si>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</si>
  <si>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</si>
  <si>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</si>
  <si>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</si>
  <si>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</si>
  <si>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</si>
  <si>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</si>
  <si>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</si>
  <si>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</si>
  <si>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</si>
  <si>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</si>
  <si>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</si>
  <si>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</si>
  <si>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</si>
  <si>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</si>
  <si>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</si>
  <si>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</si>
  <si>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</si>
  <si>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</si>
  <si>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</si>
  <si>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</si>
  <si>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</si>
  <si>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</si>
  <si>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</si>
  <si>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</si>
  <si>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</si>
  <si>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</si>
  <si>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</si>
  <si>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</si>
  <si>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</si>
  <si>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</si>
  <si>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</si>
  <si>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</si>
  <si>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</si>
  <si>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</si>
  <si>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</si>
  <si>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</si>
  <si>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</si>
  <si>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</si>
  <si>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</si>
  <si>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</si>
  <si>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</si>
  <si>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</si>
  <si>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</si>
  <si>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</si>
  <si>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</si>
  <si>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</si>
  <si>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</si>
  <si>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</si>
  <si>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</si>
  <si>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</si>
  <si>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</si>
  <si>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</si>
  <si>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</si>
  <si>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</si>
  <si>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</si>
  <si>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</si>
  <si>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</si>
  <si>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</si>
  <si>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</si>
  <si>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</si>
  <si>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</si>
  <si>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</si>
  <si>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</si>
  <si>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</si>
  <si>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</si>
  <si>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</si>
  <si>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</si>
  <si>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</si>
  <si>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</si>
  <si>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</si>
  <si>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</si>
  <si>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</si>
  <si>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</si>
  <si>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</si>
  <si>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</si>
  <si>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</si>
  <si>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</si>
  <si>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</si>
  <si>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</si>
  <si>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</si>
  <si>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</si>
  <si>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</si>
  <si>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</si>
  <si>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</si>
  <si>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</si>
  <si>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</si>
  <si>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</si>
  <si>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</si>
  <si>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</si>
  <si>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</si>
  <si>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</si>
  <si>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</si>
  <si>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</si>
  <si>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</si>
  <si>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</si>
  <si>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</si>
  <si>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</si>
  <si>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</si>
  <si>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</si>
  <si>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</si>
  <si>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</si>
  <si>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</si>
  <si>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</si>
  <si>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</si>
  <si>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</si>
  <si>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</si>
  <si>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</si>
  <si>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</si>
  <si>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</si>
  <si>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</si>
  <si>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</si>
  <si>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</si>
  <si>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</si>
  <si>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</si>
  <si>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</si>
  <si>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</si>
  <si>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</si>
  <si>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</si>
  <si>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</si>
  <si>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</si>
  <si>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</si>
  <si>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</si>
  <si>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</si>
  <si>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</si>
  <si>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</si>
  <si>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</si>
  <si>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</si>
  <si>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</si>
  <si>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</si>
  <si>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</si>
  <si>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</si>
  <si>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</si>
  <si>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</si>
  <si>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</si>
  <si>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</si>
  <si>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</si>
  <si>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</si>
  <si>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</si>
  <si>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</si>
  <si>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</si>
  <si>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</si>
  <si>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</si>
  <si>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</si>
  <si>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</si>
  <si>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</si>
  <si>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</si>
  <si>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</si>
  <si>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</si>
  <si>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</si>
  <si>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</si>
  <si>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</si>
  <si>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</si>
  <si>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</si>
  <si>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</si>
  <si>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</si>
  <si>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34025</t>
  </si>
  <si>
    <t>LENDELEDE</t>
  </si>
  <si>
    <t>referentietaak LNE (2017); Jaarverslag De Lijn</t>
  </si>
  <si>
    <t>waterkracht</t>
  </si>
  <si>
    <t>Aspiravi NV</t>
  </si>
  <si>
    <t>Vaarnewijkstraat 17 , 8530 Harelbeke</t>
  </si>
  <si>
    <t>BGS-0032 Stevan Stort (GSC rest)</t>
  </si>
  <si>
    <t>biogas - stortgas</t>
  </si>
  <si>
    <t>niet WKK interne verbrandingsmotor (gas)</t>
  </si>
  <si>
    <t>Heulsestraat 87 , 8860 Lendelede</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</si>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</sst>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46593.546308866986</c:v>
                </c:pt>
                <c:pt idx="1">
                  <c:v>12646.624500838998</c:v>
                </c:pt>
                <c:pt idx="2">
                  <c:v>279.83969400000001</c:v>
                </c:pt>
                <c:pt idx="3">
                  <c:v>5599.0949178408964</c:v>
                </c:pt>
                <c:pt idx="4">
                  <c:v>42203.211603608914</c:v>
                </c:pt>
                <c:pt idx="5">
                  <c:v>32768.673299950802</c:v>
                </c:pt>
                <c:pt idx="6">
                  <c:v>153.16042977953134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46593.546308866986</c:v>
                </c:pt>
                <c:pt idx="1">
                  <c:v>12646.624500838998</c:v>
                </c:pt>
                <c:pt idx="2">
                  <c:v>279.83969400000001</c:v>
                </c:pt>
                <c:pt idx="3">
                  <c:v>5599.0949178408964</c:v>
                </c:pt>
                <c:pt idx="4">
                  <c:v>42203.211603608914</c:v>
                </c:pt>
                <c:pt idx="5">
                  <c:v>32768.673299950802</c:v>
                </c:pt>
                <c:pt idx="6">
                  <c:v>153.16042977953134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9363.4159775545759</c:v>
                </c:pt>
                <c:pt idx="1">
                  <c:v>2561.3805704008455</c:v>
                </c:pt>
                <c:pt idx="2">
                  <c:v>54.736391933292495</c:v>
                </c:pt>
                <c:pt idx="3">
                  <c:v>1408.6641297854733</c:v>
                </c:pt>
                <c:pt idx="4">
                  <c:v>8291.6139152906726</c:v>
                </c:pt>
                <c:pt idx="5">
                  <c:v>8118.5705129947964</c:v>
                </c:pt>
                <c:pt idx="6">
                  <c:v>38.54360346417252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9363.4159775545759</c:v>
                </c:pt>
                <c:pt idx="1">
                  <c:v>2561.3805704008455</c:v>
                </c:pt>
                <c:pt idx="2">
                  <c:v>54.736391933292495</c:v>
                </c:pt>
                <c:pt idx="3">
                  <c:v>1408.6641297854733</c:v>
                </c:pt>
                <c:pt idx="4">
                  <c:v>8291.6139152906726</c:v>
                </c:pt>
                <c:pt idx="5">
                  <c:v>8118.5705129947964</c:v>
                </c:pt>
                <c:pt idx="6">
                  <c:v>38.54360346417252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34025</v>
      </c>
      <c r="B6" s="386"/>
      <c r="C6" s="387"/>
    </row>
    <row r="7" spans="1:7" s="384" customFormat="1" ht="15.75" customHeight="1">
      <c r="A7" s="388" t="str">
        <f>txtMunicipality</f>
        <v>LENDELEDE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6029.729472</v>
      </c>
      <c r="D10" s="683">
        <f ca="1">tertiair!C16</f>
        <v>0</v>
      </c>
      <c r="E10" s="683">
        <f ca="1">tertiair!D16</f>
        <v>5976.0747057899998</v>
      </c>
      <c r="F10" s="683">
        <f>tertiair!E16</f>
        <v>23.523871885165153</v>
      </c>
      <c r="G10" s="683">
        <f ca="1">tertiair!F16</f>
        <v>839.694339492881</v>
      </c>
      <c r="H10" s="683">
        <f>tertiair!G16</f>
        <v>0</v>
      </c>
      <c r="I10" s="683">
        <f>tertiair!H16</f>
        <v>0</v>
      </c>
      <c r="J10" s="683">
        <f>tertiair!I16</f>
        <v>0</v>
      </c>
      <c r="K10" s="683">
        <f>tertiair!J16</f>
        <v>5.4065986168815427E-3</v>
      </c>
      <c r="L10" s="683">
        <f>tertiair!K16</f>
        <v>0</v>
      </c>
      <c r="M10" s="683">
        <f ca="1">tertiair!L16</f>
        <v>0</v>
      </c>
      <c r="N10" s="683">
        <f>tertiair!M16</f>
        <v>0</v>
      </c>
      <c r="O10" s="683">
        <f ca="1">tertiair!N16</f>
        <v>0</v>
      </c>
      <c r="P10" s="683">
        <f>tertiair!O16</f>
        <v>4.8972607658411542</v>
      </c>
      <c r="Q10" s="684">
        <f>tertiair!P16</f>
        <v>52.539138306495019</v>
      </c>
      <c r="R10" s="686">
        <f ca="1">SUM(C10:Q10)</f>
        <v>12926.464194838998</v>
      </c>
      <c r="S10" s="67"/>
    </row>
    <row r="11" spans="1:19" s="445" customFormat="1">
      <c r="A11" s="804" t="s">
        <v>220</v>
      </c>
      <c r="B11" s="809"/>
      <c r="C11" s="683">
        <f>huishoudens!B8</f>
        <v>9381.9885517437724</v>
      </c>
      <c r="D11" s="683">
        <f>huishoudens!C8</f>
        <v>0</v>
      </c>
      <c r="E11" s="683">
        <f>huishoudens!D8</f>
        <v>22582.934763039004</v>
      </c>
      <c r="F11" s="683">
        <f>huishoudens!E8</f>
        <v>484.71057164395069</v>
      </c>
      <c r="G11" s="683">
        <f>huishoudens!F8</f>
        <v>10618.363165869838</v>
      </c>
      <c r="H11" s="683">
        <f>huishoudens!G8</f>
        <v>0</v>
      </c>
      <c r="I11" s="683">
        <f>huishoudens!H8</f>
        <v>0</v>
      </c>
      <c r="J11" s="683">
        <f>huishoudens!I8</f>
        <v>0</v>
      </c>
      <c r="K11" s="683">
        <f>huishoudens!J8</f>
        <v>60.515213052578083</v>
      </c>
      <c r="L11" s="683">
        <f>huishoudens!K8</f>
        <v>0</v>
      </c>
      <c r="M11" s="683">
        <f>huishoudens!L8</f>
        <v>0</v>
      </c>
      <c r="N11" s="683">
        <f>huishoudens!M8</f>
        <v>0</v>
      </c>
      <c r="O11" s="683">
        <f>huishoudens!N8</f>
        <v>3135.6486252373988</v>
      </c>
      <c r="P11" s="683">
        <f>huishoudens!O8</f>
        <v>192.44394728054206</v>
      </c>
      <c r="Q11" s="684">
        <f>huishoudens!P8</f>
        <v>136.94147099990531</v>
      </c>
      <c r="R11" s="686">
        <f>SUM(C11:Q11)</f>
        <v>46593.546308866986</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20802.159241000001</v>
      </c>
      <c r="D13" s="683">
        <f>industrie!C18</f>
        <v>0</v>
      </c>
      <c r="E13" s="683">
        <f>industrie!D18</f>
        <v>19821.437339192998</v>
      </c>
      <c r="F13" s="683">
        <f>industrie!E18</f>
        <v>45.109005912496229</v>
      </c>
      <c r="G13" s="683">
        <f>industrie!F18</f>
        <v>780.61645654060169</v>
      </c>
      <c r="H13" s="683">
        <f>industrie!G18</f>
        <v>0</v>
      </c>
      <c r="I13" s="683">
        <f>industrie!H18</f>
        <v>0</v>
      </c>
      <c r="J13" s="683">
        <f>industrie!I18</f>
        <v>0</v>
      </c>
      <c r="K13" s="683">
        <f>industrie!J18</f>
        <v>0.38315114501729791</v>
      </c>
      <c r="L13" s="683">
        <f>industrie!K18</f>
        <v>0</v>
      </c>
      <c r="M13" s="683">
        <f>industrie!L18</f>
        <v>0</v>
      </c>
      <c r="N13" s="683">
        <f>industrie!M18</f>
        <v>0</v>
      </c>
      <c r="O13" s="683">
        <f>industrie!N18</f>
        <v>753.5064098177985</v>
      </c>
      <c r="P13" s="683">
        <f>industrie!O18</f>
        <v>0</v>
      </c>
      <c r="Q13" s="684">
        <f>industrie!P18</f>
        <v>0</v>
      </c>
      <c r="R13" s="686">
        <f>SUM(C13:Q13)</f>
        <v>42203.211603608914</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36213.877264743773</v>
      </c>
      <c r="D16" s="719">
        <f t="shared" ref="D16:R16" ca="1" si="0">SUM(D9:D15)</f>
        <v>0</v>
      </c>
      <c r="E16" s="719">
        <f t="shared" ca="1" si="0"/>
        <v>48380.446808022003</v>
      </c>
      <c r="F16" s="719">
        <f t="shared" si="0"/>
        <v>553.34344944161205</v>
      </c>
      <c r="G16" s="719">
        <f t="shared" ca="1" si="0"/>
        <v>12238.67396190332</v>
      </c>
      <c r="H16" s="719">
        <f t="shared" si="0"/>
        <v>0</v>
      </c>
      <c r="I16" s="719">
        <f t="shared" si="0"/>
        <v>0</v>
      </c>
      <c r="J16" s="719">
        <f t="shared" si="0"/>
        <v>0</v>
      </c>
      <c r="K16" s="719">
        <f t="shared" si="0"/>
        <v>60.903770796212264</v>
      </c>
      <c r="L16" s="719">
        <f t="shared" si="0"/>
        <v>0</v>
      </c>
      <c r="M16" s="719">
        <f t="shared" ca="1" si="0"/>
        <v>0</v>
      </c>
      <c r="N16" s="719">
        <f t="shared" si="0"/>
        <v>0</v>
      </c>
      <c r="O16" s="719">
        <f t="shared" ca="1" si="0"/>
        <v>3889.1550350551975</v>
      </c>
      <c r="P16" s="719">
        <f t="shared" si="0"/>
        <v>197.34120804638323</v>
      </c>
      <c r="Q16" s="719">
        <f t="shared" si="0"/>
        <v>189.48060930640031</v>
      </c>
      <c r="R16" s="719">
        <f t="shared" ca="1" si="0"/>
        <v>101723.2221073149</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2.2792561537374292</v>
      </c>
      <c r="D19" s="683">
        <f>transport!C54</f>
        <v>0</v>
      </c>
      <c r="E19" s="683">
        <f>transport!D54</f>
        <v>0</v>
      </c>
      <c r="F19" s="683">
        <f>transport!E54</f>
        <v>0</v>
      </c>
      <c r="G19" s="683">
        <f>transport!F54</f>
        <v>0</v>
      </c>
      <c r="H19" s="683">
        <f>transport!G54</f>
        <v>142.6883258979133</v>
      </c>
      <c r="I19" s="683">
        <f>transport!H54</f>
        <v>0</v>
      </c>
      <c r="J19" s="683">
        <f>transport!I54</f>
        <v>0</v>
      </c>
      <c r="K19" s="683">
        <f>transport!J54</f>
        <v>0</v>
      </c>
      <c r="L19" s="683">
        <f>transport!K54</f>
        <v>0</v>
      </c>
      <c r="M19" s="683">
        <f>transport!L54</f>
        <v>0</v>
      </c>
      <c r="N19" s="683">
        <f>transport!M54</f>
        <v>8.1928477278806113</v>
      </c>
      <c r="O19" s="683">
        <f>transport!N54</f>
        <v>0</v>
      </c>
      <c r="P19" s="683">
        <f>transport!O54</f>
        <v>0</v>
      </c>
      <c r="Q19" s="684">
        <f>transport!P54</f>
        <v>0</v>
      </c>
      <c r="R19" s="686">
        <f>SUM(C19:Q19)</f>
        <v>153.16042977953134</v>
      </c>
      <c r="S19" s="67"/>
    </row>
    <row r="20" spans="1:19" s="445" customFormat="1">
      <c r="A20" s="804" t="s">
        <v>302</v>
      </c>
      <c r="B20" s="809"/>
      <c r="C20" s="683">
        <f>transport!B14</f>
        <v>71.112419282223527</v>
      </c>
      <c r="D20" s="683">
        <f>transport!C14</f>
        <v>0</v>
      </c>
      <c r="E20" s="683">
        <f>transport!D14</f>
        <v>137.13432147700161</v>
      </c>
      <c r="F20" s="683">
        <f>transport!E14</f>
        <v>53.18722638127808</v>
      </c>
      <c r="G20" s="683">
        <f>transport!F14</f>
        <v>0</v>
      </c>
      <c r="H20" s="683">
        <f>transport!G14</f>
        <v>23963.515334753054</v>
      </c>
      <c r="I20" s="683">
        <f>transport!H14</f>
        <v>6693.2841773864193</v>
      </c>
      <c r="J20" s="683">
        <f>transport!I14</f>
        <v>0</v>
      </c>
      <c r="K20" s="683">
        <f>transport!J14</f>
        <v>0</v>
      </c>
      <c r="L20" s="683">
        <f>transport!K14</f>
        <v>0</v>
      </c>
      <c r="M20" s="683">
        <f>transport!L14</f>
        <v>0</v>
      </c>
      <c r="N20" s="683">
        <f>transport!M14</f>
        <v>1850.4398206708267</v>
      </c>
      <c r="O20" s="683">
        <f>transport!N14</f>
        <v>0</v>
      </c>
      <c r="P20" s="683">
        <f>transport!O14</f>
        <v>0</v>
      </c>
      <c r="Q20" s="684">
        <f>transport!P14</f>
        <v>0</v>
      </c>
      <c r="R20" s="686">
        <f>SUM(C20:Q20)</f>
        <v>32768.673299950802</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73.391675435960963</v>
      </c>
      <c r="D22" s="807">
        <f t="shared" ref="D22:R22" si="1">SUM(D18:D21)</f>
        <v>0</v>
      </c>
      <c r="E22" s="807">
        <f t="shared" si="1"/>
        <v>137.13432147700161</v>
      </c>
      <c r="F22" s="807">
        <f t="shared" si="1"/>
        <v>53.18722638127808</v>
      </c>
      <c r="G22" s="807">
        <f t="shared" si="1"/>
        <v>0</v>
      </c>
      <c r="H22" s="807">
        <f t="shared" si="1"/>
        <v>24106.203660650968</v>
      </c>
      <c r="I22" s="807">
        <f t="shared" si="1"/>
        <v>6693.2841773864193</v>
      </c>
      <c r="J22" s="807">
        <f t="shared" si="1"/>
        <v>0</v>
      </c>
      <c r="K22" s="807">
        <f t="shared" si="1"/>
        <v>0</v>
      </c>
      <c r="L22" s="807">
        <f t="shared" si="1"/>
        <v>0</v>
      </c>
      <c r="M22" s="807">
        <f t="shared" si="1"/>
        <v>0</v>
      </c>
      <c r="N22" s="807">
        <f t="shared" si="1"/>
        <v>1858.6326683987074</v>
      </c>
      <c r="O22" s="807">
        <f t="shared" si="1"/>
        <v>0</v>
      </c>
      <c r="P22" s="807">
        <f t="shared" si="1"/>
        <v>0</v>
      </c>
      <c r="Q22" s="807">
        <f t="shared" si="1"/>
        <v>0</v>
      </c>
      <c r="R22" s="807">
        <f t="shared" si="1"/>
        <v>32921.833729730337</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1163.0634269999998</v>
      </c>
      <c r="D24" s="683">
        <f>+landbouw!C8</f>
        <v>0</v>
      </c>
      <c r="E24" s="683">
        <f>+landbouw!D8</f>
        <v>425.33086495199996</v>
      </c>
      <c r="F24" s="683">
        <f>+landbouw!E8</f>
        <v>33.312104812947133</v>
      </c>
      <c r="G24" s="683">
        <f>+landbouw!F8</f>
        <v>3681.6580145635007</v>
      </c>
      <c r="H24" s="683">
        <f>+landbouw!G8</f>
        <v>0</v>
      </c>
      <c r="I24" s="683">
        <f>+landbouw!H8</f>
        <v>0</v>
      </c>
      <c r="J24" s="683">
        <f>+landbouw!I8</f>
        <v>0</v>
      </c>
      <c r="K24" s="683">
        <f>+landbouw!J8</f>
        <v>295.73050651244813</v>
      </c>
      <c r="L24" s="683">
        <f>+landbouw!K8</f>
        <v>0</v>
      </c>
      <c r="M24" s="683">
        <f>+landbouw!L8</f>
        <v>0</v>
      </c>
      <c r="N24" s="683">
        <f>+landbouw!M8</f>
        <v>0</v>
      </c>
      <c r="O24" s="683">
        <f>+landbouw!N8</f>
        <v>0</v>
      </c>
      <c r="P24" s="683">
        <f>+landbouw!O8</f>
        <v>0</v>
      </c>
      <c r="Q24" s="684">
        <f>+landbouw!P8</f>
        <v>0</v>
      </c>
      <c r="R24" s="686">
        <f>SUM(C24:Q24)</f>
        <v>5599.0949178408964</v>
      </c>
      <c r="S24" s="67"/>
    </row>
    <row r="25" spans="1:19" s="445" customFormat="1" ht="15" thickBot="1">
      <c r="A25" s="826" t="s">
        <v>696</v>
      </c>
      <c r="B25" s="939"/>
      <c r="C25" s="940">
        <f>IF(Onbekend_ele_kWh="---",0,Onbekend_ele_kWh)/1000+IF(REST_rest_ele_kWh="---",0,REST_rest_ele_kWh)/1000</f>
        <v>225.670051</v>
      </c>
      <c r="D25" s="940"/>
      <c r="E25" s="940">
        <f>IF(onbekend_gas_kWh="---",0,onbekend_gas_kWh)/1000+IF(REST_rest_gas_kWh="---",0,REST_rest_gas_kWh)/1000</f>
        <v>107.914203</v>
      </c>
      <c r="F25" s="940"/>
      <c r="G25" s="940"/>
      <c r="H25" s="940"/>
      <c r="I25" s="940"/>
      <c r="J25" s="940"/>
      <c r="K25" s="940"/>
      <c r="L25" s="940"/>
      <c r="M25" s="940"/>
      <c r="N25" s="940"/>
      <c r="O25" s="940"/>
      <c r="P25" s="940"/>
      <c r="Q25" s="941"/>
      <c r="R25" s="686">
        <f>SUM(C25:Q25)</f>
        <v>333.58425399999999</v>
      </c>
      <c r="S25" s="67"/>
    </row>
    <row r="26" spans="1:19" s="445" customFormat="1" ht="15.75" thickBot="1">
      <c r="A26" s="691" t="s">
        <v>697</v>
      </c>
      <c r="B26" s="812"/>
      <c r="C26" s="807">
        <f>SUM(C24:C25)</f>
        <v>1388.7334779999999</v>
      </c>
      <c r="D26" s="807">
        <f t="shared" ref="D26:R26" si="2">SUM(D24:D25)</f>
        <v>0</v>
      </c>
      <c r="E26" s="807">
        <f t="shared" si="2"/>
        <v>533.245067952</v>
      </c>
      <c r="F26" s="807">
        <f t="shared" si="2"/>
        <v>33.312104812947133</v>
      </c>
      <c r="G26" s="807">
        <f t="shared" si="2"/>
        <v>3681.6580145635007</v>
      </c>
      <c r="H26" s="807">
        <f t="shared" si="2"/>
        <v>0</v>
      </c>
      <c r="I26" s="807">
        <f t="shared" si="2"/>
        <v>0</v>
      </c>
      <c r="J26" s="807">
        <f t="shared" si="2"/>
        <v>0</v>
      </c>
      <c r="K26" s="807">
        <f t="shared" si="2"/>
        <v>295.73050651244813</v>
      </c>
      <c r="L26" s="807">
        <f t="shared" si="2"/>
        <v>0</v>
      </c>
      <c r="M26" s="807">
        <f t="shared" si="2"/>
        <v>0</v>
      </c>
      <c r="N26" s="807">
        <f t="shared" si="2"/>
        <v>0</v>
      </c>
      <c r="O26" s="807">
        <f t="shared" si="2"/>
        <v>0</v>
      </c>
      <c r="P26" s="807">
        <f t="shared" si="2"/>
        <v>0</v>
      </c>
      <c r="Q26" s="807">
        <f t="shared" si="2"/>
        <v>0</v>
      </c>
      <c r="R26" s="807">
        <f t="shared" si="2"/>
        <v>5932.6791718408967</v>
      </c>
      <c r="S26" s="67"/>
    </row>
    <row r="27" spans="1:19" s="445" customFormat="1" ht="17.25" thickTop="1" thickBot="1">
      <c r="A27" s="692" t="s">
        <v>115</v>
      </c>
      <c r="B27" s="799"/>
      <c r="C27" s="693">
        <f ca="1">C22+C16+C26</f>
        <v>37676.002418179734</v>
      </c>
      <c r="D27" s="693">
        <f t="shared" ref="D27:R27" ca="1" si="3">D22+D16+D26</f>
        <v>0</v>
      </c>
      <c r="E27" s="693">
        <f t="shared" ca="1" si="3"/>
        <v>49050.826197451002</v>
      </c>
      <c r="F27" s="693">
        <f t="shared" si="3"/>
        <v>639.84278063583724</v>
      </c>
      <c r="G27" s="693">
        <f t="shared" ca="1" si="3"/>
        <v>15920.331976466819</v>
      </c>
      <c r="H27" s="693">
        <f t="shared" si="3"/>
        <v>24106.203660650968</v>
      </c>
      <c r="I27" s="693">
        <f t="shared" si="3"/>
        <v>6693.2841773864193</v>
      </c>
      <c r="J27" s="693">
        <f t="shared" si="3"/>
        <v>0</v>
      </c>
      <c r="K27" s="693">
        <f t="shared" si="3"/>
        <v>356.63427730866039</v>
      </c>
      <c r="L27" s="693">
        <f t="shared" si="3"/>
        <v>0</v>
      </c>
      <c r="M27" s="693">
        <f t="shared" ca="1" si="3"/>
        <v>0</v>
      </c>
      <c r="N27" s="693">
        <f t="shared" si="3"/>
        <v>1858.6326683987074</v>
      </c>
      <c r="O27" s="693">
        <f t="shared" ca="1" si="3"/>
        <v>3889.1550350551975</v>
      </c>
      <c r="P27" s="693">
        <f t="shared" si="3"/>
        <v>197.34120804638323</v>
      </c>
      <c r="Q27" s="693">
        <f t="shared" si="3"/>
        <v>189.48060930640031</v>
      </c>
      <c r="R27" s="693">
        <f t="shared" ca="1" si="3"/>
        <v>140577.73500888614</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1179.4096502661155</v>
      </c>
      <c r="D40" s="683">
        <f ca="1">tertiair!C20</f>
        <v>0</v>
      </c>
      <c r="E40" s="683">
        <f ca="1">tertiair!D20</f>
        <v>1207.1670905695801</v>
      </c>
      <c r="F40" s="683">
        <f>tertiair!E20</f>
        <v>5.33991891793249</v>
      </c>
      <c r="G40" s="683">
        <f ca="1">tertiair!F20</f>
        <v>224.19838864459925</v>
      </c>
      <c r="H40" s="683">
        <f>tertiair!G20</f>
        <v>0</v>
      </c>
      <c r="I40" s="683">
        <f>tertiair!H20</f>
        <v>0</v>
      </c>
      <c r="J40" s="683">
        <f>tertiair!I20</f>
        <v>0</v>
      </c>
      <c r="K40" s="683">
        <f>tertiair!J20</f>
        <v>1.9139359103760661E-3</v>
      </c>
      <c r="L40" s="683">
        <f>tertiair!K20</f>
        <v>0</v>
      </c>
      <c r="M40" s="683">
        <f ca="1">tertiair!L20</f>
        <v>0</v>
      </c>
      <c r="N40" s="683">
        <f>tertiair!M20</f>
        <v>0</v>
      </c>
      <c r="O40" s="683">
        <f ca="1">tertiair!N20</f>
        <v>0</v>
      </c>
      <c r="P40" s="683">
        <f>tertiair!O20</f>
        <v>0</v>
      </c>
      <c r="Q40" s="766">
        <f>tertiair!P20</f>
        <v>0</v>
      </c>
      <c r="R40" s="845">
        <f t="shared" ca="1" si="4"/>
        <v>2616.116962334138</v>
      </c>
    </row>
    <row r="41" spans="1:18">
      <c r="A41" s="817" t="s">
        <v>220</v>
      </c>
      <c r="B41" s="824"/>
      <c r="C41" s="683">
        <f ca="1">huishoudens!B12</f>
        <v>1835.1085049496601</v>
      </c>
      <c r="D41" s="683">
        <f ca="1">huishoudens!C12</f>
        <v>0</v>
      </c>
      <c r="E41" s="683">
        <f>huishoudens!D12</f>
        <v>4561.7528221338789</v>
      </c>
      <c r="F41" s="683">
        <f>huishoudens!E12</f>
        <v>110.02929976317681</v>
      </c>
      <c r="G41" s="683">
        <f>huishoudens!F12</f>
        <v>2835.1029652872467</v>
      </c>
      <c r="H41" s="683">
        <f>huishoudens!G12</f>
        <v>0</v>
      </c>
      <c r="I41" s="683">
        <f>huishoudens!H12</f>
        <v>0</v>
      </c>
      <c r="J41" s="683">
        <f>huishoudens!I12</f>
        <v>0</v>
      </c>
      <c r="K41" s="683">
        <f>huishoudens!J12</f>
        <v>21.422385420612642</v>
      </c>
      <c r="L41" s="683">
        <f>huishoudens!K12</f>
        <v>0</v>
      </c>
      <c r="M41" s="683">
        <f>huishoudens!L12</f>
        <v>0</v>
      </c>
      <c r="N41" s="683">
        <f>huishoudens!M12</f>
        <v>0</v>
      </c>
      <c r="O41" s="683">
        <f>huishoudens!N12</f>
        <v>0</v>
      </c>
      <c r="P41" s="683">
        <f>huishoudens!O12</f>
        <v>0</v>
      </c>
      <c r="Q41" s="766">
        <f>huishoudens!P12</f>
        <v>0</v>
      </c>
      <c r="R41" s="845">
        <f t="shared" ca="1" si="4"/>
        <v>9363.4159775545759</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4068.883599029873</v>
      </c>
      <c r="D43" s="683">
        <f ca="1">industrie!C22</f>
        <v>0</v>
      </c>
      <c r="E43" s="683">
        <f>industrie!D22</f>
        <v>4003.930342516986</v>
      </c>
      <c r="F43" s="683">
        <f>industrie!E22</f>
        <v>10.239744342136644</v>
      </c>
      <c r="G43" s="683">
        <f>industrie!F22</f>
        <v>208.42459389634067</v>
      </c>
      <c r="H43" s="683">
        <f>industrie!G22</f>
        <v>0</v>
      </c>
      <c r="I43" s="683">
        <f>industrie!H22</f>
        <v>0</v>
      </c>
      <c r="J43" s="683">
        <f>industrie!I22</f>
        <v>0</v>
      </c>
      <c r="K43" s="683">
        <f>industrie!J22</f>
        <v>0.13563550533612345</v>
      </c>
      <c r="L43" s="683">
        <f>industrie!K22</f>
        <v>0</v>
      </c>
      <c r="M43" s="683">
        <f>industrie!L22</f>
        <v>0</v>
      </c>
      <c r="N43" s="683">
        <f>industrie!M22</f>
        <v>0</v>
      </c>
      <c r="O43" s="683">
        <f>industrie!N22</f>
        <v>0</v>
      </c>
      <c r="P43" s="683">
        <f>industrie!O22</f>
        <v>0</v>
      </c>
      <c r="Q43" s="766">
        <f>industrie!P22</f>
        <v>0</v>
      </c>
      <c r="R43" s="844">
        <f t="shared" ca="1" si="4"/>
        <v>8291.6139152906726</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7083.4017542456486</v>
      </c>
      <c r="D46" s="719">
        <f t="shared" ref="D46:Q46" ca="1" si="5">SUM(D39:D45)</f>
        <v>0</v>
      </c>
      <c r="E46" s="719">
        <f t="shared" ca="1" si="5"/>
        <v>9772.8502552204445</v>
      </c>
      <c r="F46" s="719">
        <f t="shared" si="5"/>
        <v>125.60896302324595</v>
      </c>
      <c r="G46" s="719">
        <f t="shared" ca="1" si="5"/>
        <v>3267.7259478281867</v>
      </c>
      <c r="H46" s="719">
        <f t="shared" si="5"/>
        <v>0</v>
      </c>
      <c r="I46" s="719">
        <f t="shared" si="5"/>
        <v>0</v>
      </c>
      <c r="J46" s="719">
        <f t="shared" si="5"/>
        <v>0</v>
      </c>
      <c r="K46" s="719">
        <f t="shared" si="5"/>
        <v>21.559934861859141</v>
      </c>
      <c r="L46" s="719">
        <f t="shared" si="5"/>
        <v>0</v>
      </c>
      <c r="M46" s="719">
        <f t="shared" ca="1" si="5"/>
        <v>0</v>
      </c>
      <c r="N46" s="719">
        <f t="shared" si="5"/>
        <v>0</v>
      </c>
      <c r="O46" s="719">
        <f t="shared" ca="1" si="5"/>
        <v>0</v>
      </c>
      <c r="P46" s="719">
        <f t="shared" si="5"/>
        <v>0</v>
      </c>
      <c r="Q46" s="719">
        <f t="shared" si="5"/>
        <v>0</v>
      </c>
      <c r="R46" s="719">
        <f ca="1">SUM(R39:R45)</f>
        <v>20271.146855179388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0.44582044942966775</v>
      </c>
      <c r="D49" s="683">
        <f ca="1">transport!C58</f>
        <v>0</v>
      </c>
      <c r="E49" s="683">
        <f>transport!D58</f>
        <v>0</v>
      </c>
      <c r="F49" s="683">
        <f>transport!E58</f>
        <v>0</v>
      </c>
      <c r="G49" s="683">
        <f>transport!F58</f>
        <v>0</v>
      </c>
      <c r="H49" s="683">
        <f>transport!G58</f>
        <v>38.097783014742852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38.54360346417252</v>
      </c>
    </row>
    <row r="50" spans="1:18">
      <c r="A50" s="820" t="s">
        <v>302</v>
      </c>
      <c r="B50" s="830"/>
      <c r="C50" s="689">
        <f ca="1">transport!B18</f>
        <v>13.909525119607991</v>
      </c>
      <c r="D50" s="689">
        <f>transport!C18</f>
        <v>0</v>
      </c>
      <c r="E50" s="689">
        <f>transport!D18</f>
        <v>27.701132938354327</v>
      </c>
      <c r="F50" s="689">
        <f>transport!E18</f>
        <v>12.073500388550125</v>
      </c>
      <c r="G50" s="689">
        <f>transport!F18</f>
        <v>0</v>
      </c>
      <c r="H50" s="689">
        <f>transport!G18</f>
        <v>6398.2585943790655</v>
      </c>
      <c r="I50" s="689">
        <f>transport!H18</f>
        <v>1666.6277601692184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8118.5705129947964</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14.355345569037659</v>
      </c>
      <c r="D52" s="719">
        <f t="shared" ref="D52:Q52" ca="1" si="6">SUM(D48:D51)</f>
        <v>0</v>
      </c>
      <c r="E52" s="719">
        <f t="shared" si="6"/>
        <v>27.701132938354327</v>
      </c>
      <c r="F52" s="719">
        <f t="shared" si="6"/>
        <v>12.073500388550125</v>
      </c>
      <c r="G52" s="719">
        <f t="shared" si="6"/>
        <v>0</v>
      </c>
      <c r="H52" s="719">
        <f t="shared" si="6"/>
        <v>6436.3563773938085</v>
      </c>
      <c r="I52" s="719">
        <f t="shared" si="6"/>
        <v>1666.6277601692184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8157.114116458969</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227.49415807876889</v>
      </c>
      <c r="D54" s="689">
        <f ca="1">+landbouw!C12</f>
        <v>0</v>
      </c>
      <c r="E54" s="689">
        <f>+landbouw!D12</f>
        <v>85.916834720303996</v>
      </c>
      <c r="F54" s="689">
        <f>+landbouw!E12</f>
        <v>7.5618477925389991</v>
      </c>
      <c r="G54" s="689">
        <f>+landbouw!F12</f>
        <v>983.00268988845471</v>
      </c>
      <c r="H54" s="689">
        <f>+landbouw!G12</f>
        <v>0</v>
      </c>
      <c r="I54" s="689">
        <f>+landbouw!H12</f>
        <v>0</v>
      </c>
      <c r="J54" s="689">
        <f>+landbouw!I12</f>
        <v>0</v>
      </c>
      <c r="K54" s="689">
        <f>+landbouw!J12</f>
        <v>104.68859930540663</v>
      </c>
      <c r="L54" s="689">
        <f>+landbouw!K12</f>
        <v>0</v>
      </c>
      <c r="M54" s="689">
        <f>+landbouw!L12</f>
        <v>0</v>
      </c>
      <c r="N54" s="689">
        <f>+landbouw!M12</f>
        <v>0</v>
      </c>
      <c r="O54" s="689">
        <f>+landbouw!N12</f>
        <v>0</v>
      </c>
      <c r="P54" s="689">
        <f>+landbouw!O12</f>
        <v>0</v>
      </c>
      <c r="Q54" s="690">
        <f>+landbouw!P12</f>
        <v>0</v>
      </c>
      <c r="R54" s="718">
        <f ca="1">SUM(C54:Q54)</f>
        <v>1408.6641297854733</v>
      </c>
    </row>
    <row r="55" spans="1:18" ht="15" thickBot="1">
      <c r="A55" s="820" t="s">
        <v>696</v>
      </c>
      <c r="B55" s="830"/>
      <c r="C55" s="689">
        <f ca="1">C25*'EF ele_warmte'!B12</f>
        <v>44.140858584351179</v>
      </c>
      <c r="D55" s="689"/>
      <c r="E55" s="689">
        <f>E25*EF_CO2_aardgas</f>
        <v>21.798669006000001</v>
      </c>
      <c r="F55" s="689"/>
      <c r="G55" s="689"/>
      <c r="H55" s="689"/>
      <c r="I55" s="689"/>
      <c r="J55" s="689"/>
      <c r="K55" s="689"/>
      <c r="L55" s="689"/>
      <c r="M55" s="689"/>
      <c r="N55" s="689"/>
      <c r="O55" s="689"/>
      <c r="P55" s="689"/>
      <c r="Q55" s="690"/>
      <c r="R55" s="718">
        <f ca="1">SUM(C55:Q55)</f>
        <v>65.939527590351176</v>
      </c>
    </row>
    <row r="56" spans="1:18" ht="15.75" thickBot="1">
      <c r="A56" s="818" t="s">
        <v>697</v>
      </c>
      <c r="B56" s="831"/>
      <c r="C56" s="719">
        <f ca="1">SUM(C54:C55)</f>
        <v>271.63501666312004</v>
      </c>
      <c r="D56" s="719">
        <f t="shared" ref="D56:Q56" ca="1" si="7">SUM(D54:D55)</f>
        <v>0</v>
      </c>
      <c r="E56" s="719">
        <f t="shared" si="7"/>
        <v>107.71550372630399</v>
      </c>
      <c r="F56" s="719">
        <f t="shared" si="7"/>
        <v>7.5618477925389991</v>
      </c>
      <c r="G56" s="719">
        <f t="shared" si="7"/>
        <v>983.00268988845471</v>
      </c>
      <c r="H56" s="719">
        <f t="shared" si="7"/>
        <v>0</v>
      </c>
      <c r="I56" s="719">
        <f t="shared" si="7"/>
        <v>0</v>
      </c>
      <c r="J56" s="719">
        <f t="shared" si="7"/>
        <v>0</v>
      </c>
      <c r="K56" s="719">
        <f t="shared" si="7"/>
        <v>104.68859930540663</v>
      </c>
      <c r="L56" s="719">
        <f t="shared" si="7"/>
        <v>0</v>
      </c>
      <c r="M56" s="719">
        <f t="shared" si="7"/>
        <v>0</v>
      </c>
      <c r="N56" s="719">
        <f t="shared" si="7"/>
        <v>0</v>
      </c>
      <c r="O56" s="719">
        <f t="shared" si="7"/>
        <v>0</v>
      </c>
      <c r="P56" s="719">
        <f t="shared" si="7"/>
        <v>0</v>
      </c>
      <c r="Q56" s="720">
        <f t="shared" si="7"/>
        <v>0</v>
      </c>
      <c r="R56" s="721">
        <f ca="1">SUM(R54:R55)</f>
        <v>1474.6036573758245</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7369.3921164778067</v>
      </c>
      <c r="D61" s="727">
        <f t="shared" ref="D61:Q61" ca="1" si="8">D46+D52+D56</f>
        <v>0</v>
      </c>
      <c r="E61" s="727">
        <f t="shared" ca="1" si="8"/>
        <v>9908.2668918851032</v>
      </c>
      <c r="F61" s="727">
        <f t="shared" si="8"/>
        <v>145.24431120433508</v>
      </c>
      <c r="G61" s="727">
        <f t="shared" ca="1" si="8"/>
        <v>4250.7286377166411</v>
      </c>
      <c r="H61" s="727">
        <f t="shared" si="8"/>
        <v>6436.3563773938085</v>
      </c>
      <c r="I61" s="727">
        <f t="shared" si="8"/>
        <v>1666.6277601692184</v>
      </c>
      <c r="J61" s="727">
        <f t="shared" si="8"/>
        <v>0</v>
      </c>
      <c r="K61" s="727">
        <f t="shared" si="8"/>
        <v>126.24853416726577</v>
      </c>
      <c r="L61" s="727">
        <f t="shared" si="8"/>
        <v>0</v>
      </c>
      <c r="M61" s="727">
        <f t="shared" ca="1" si="8"/>
        <v>0</v>
      </c>
      <c r="N61" s="727">
        <f t="shared" si="8"/>
        <v>0</v>
      </c>
      <c r="O61" s="727">
        <f t="shared" ca="1" si="8"/>
        <v>0</v>
      </c>
      <c r="P61" s="727">
        <f t="shared" si="8"/>
        <v>0</v>
      </c>
      <c r="Q61" s="727">
        <f t="shared" si="8"/>
        <v>0</v>
      </c>
      <c r="R61" s="727">
        <f ca="1">R46+R52+R56</f>
        <v>29902.864629014181</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0.19559909872290132</v>
      </c>
      <c r="D63" s="773">
        <f t="shared" ca="1" si="9"/>
        <v>0</v>
      </c>
      <c r="E63" s="965">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2836.3367327597912</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1494</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4268.5714285714284</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4330.3367327597916</v>
      </c>
      <c r="C78" s="745">
        <f>SUM(C72:C77)</f>
        <v>0</v>
      </c>
      <c r="D78" s="746">
        <f t="shared" ref="D78:H78" si="10">SUM(D76:D77)</f>
        <v>0</v>
      </c>
      <c r="E78" s="746">
        <f t="shared" si="10"/>
        <v>0</v>
      </c>
      <c r="F78" s="746">
        <f t="shared" si="10"/>
        <v>0</v>
      </c>
      <c r="G78" s="746">
        <f t="shared" si="10"/>
        <v>0</v>
      </c>
      <c r="H78" s="746">
        <f t="shared" si="10"/>
        <v>0</v>
      </c>
      <c r="I78" s="746">
        <f>SUM(I76:I77)</f>
        <v>0</v>
      </c>
      <c r="J78" s="746">
        <f>SUM(J76:J77)</f>
        <v>4268.5714285714284</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9381.9885517437724</v>
      </c>
      <c r="C4" s="449">
        <f>huishoudens!C8</f>
        <v>0</v>
      </c>
      <c r="D4" s="449">
        <f>huishoudens!D8</f>
        <v>22582.934763039004</v>
      </c>
      <c r="E4" s="449">
        <f>huishoudens!E8</f>
        <v>484.71057164395069</v>
      </c>
      <c r="F4" s="449">
        <f>huishoudens!F8</f>
        <v>10618.363165869838</v>
      </c>
      <c r="G4" s="449">
        <f>huishoudens!G8</f>
        <v>0</v>
      </c>
      <c r="H4" s="449">
        <f>huishoudens!H8</f>
        <v>0</v>
      </c>
      <c r="I4" s="449">
        <f>huishoudens!I8</f>
        <v>0</v>
      </c>
      <c r="J4" s="449">
        <f>huishoudens!J8</f>
        <v>60.515213052578083</v>
      </c>
      <c r="K4" s="449">
        <f>huishoudens!K8</f>
        <v>0</v>
      </c>
      <c r="L4" s="449">
        <f>huishoudens!L8</f>
        <v>0</v>
      </c>
      <c r="M4" s="449">
        <f>huishoudens!M8</f>
        <v>0</v>
      </c>
      <c r="N4" s="449">
        <f>huishoudens!N8</f>
        <v>3135.6486252373988</v>
      </c>
      <c r="O4" s="449">
        <f>huishoudens!O8</f>
        <v>192.44394728054206</v>
      </c>
      <c r="P4" s="450">
        <f>huishoudens!P8</f>
        <v>136.94147099990531</v>
      </c>
      <c r="Q4" s="451">
        <f>SUM(B4:P4)</f>
        <v>46593.546308866986</v>
      </c>
    </row>
    <row r="5" spans="1:17">
      <c r="A5" s="448" t="s">
        <v>155</v>
      </c>
      <c r="B5" s="449">
        <f ca="1">tertiair!B16</f>
        <v>5749.8897779999998</v>
      </c>
      <c r="C5" s="449">
        <f ca="1">tertiair!C16</f>
        <v>0</v>
      </c>
      <c r="D5" s="449">
        <f ca="1">tertiair!D16</f>
        <v>5976.0747057899998</v>
      </c>
      <c r="E5" s="449">
        <f>tertiair!E16</f>
        <v>23.523871885165153</v>
      </c>
      <c r="F5" s="449">
        <f ca="1">tertiair!F16</f>
        <v>839.694339492881</v>
      </c>
      <c r="G5" s="449">
        <f>tertiair!G16</f>
        <v>0</v>
      </c>
      <c r="H5" s="449">
        <f>tertiair!H16</f>
        <v>0</v>
      </c>
      <c r="I5" s="449">
        <f>tertiair!I16</f>
        <v>0</v>
      </c>
      <c r="J5" s="449">
        <f>tertiair!J16</f>
        <v>5.4065986168815427E-3</v>
      </c>
      <c r="K5" s="449">
        <f>tertiair!K16</f>
        <v>0</v>
      </c>
      <c r="L5" s="449">
        <f ca="1">tertiair!L16</f>
        <v>0</v>
      </c>
      <c r="M5" s="449">
        <f>tertiair!M16</f>
        <v>0</v>
      </c>
      <c r="N5" s="449">
        <f ca="1">tertiair!N16</f>
        <v>0</v>
      </c>
      <c r="O5" s="449">
        <f>tertiair!O16</f>
        <v>4.8972607658411542</v>
      </c>
      <c r="P5" s="450">
        <f>tertiair!P16</f>
        <v>52.539138306495019</v>
      </c>
      <c r="Q5" s="448">
        <f t="shared" ref="Q5:Q14" ca="1" si="0">SUM(B5:P5)</f>
        <v>12646.624500838998</v>
      </c>
    </row>
    <row r="6" spans="1:17">
      <c r="A6" s="448" t="s">
        <v>193</v>
      </c>
      <c r="B6" s="449">
        <f>'openbare verlichting'!B8</f>
        <v>279.83969400000001</v>
      </c>
      <c r="C6" s="449"/>
      <c r="D6" s="449"/>
      <c r="E6" s="449"/>
      <c r="F6" s="449"/>
      <c r="G6" s="449"/>
      <c r="H6" s="449"/>
      <c r="I6" s="449"/>
      <c r="J6" s="449"/>
      <c r="K6" s="449"/>
      <c r="L6" s="449"/>
      <c r="M6" s="449"/>
      <c r="N6" s="449"/>
      <c r="O6" s="449"/>
      <c r="P6" s="450"/>
      <c r="Q6" s="448">
        <f t="shared" si="0"/>
        <v>279.83969400000001</v>
      </c>
    </row>
    <row r="7" spans="1:17">
      <c r="A7" s="448" t="s">
        <v>111</v>
      </c>
      <c r="B7" s="449">
        <f>landbouw!B8</f>
        <v>1163.0634269999998</v>
      </c>
      <c r="C7" s="449">
        <f>landbouw!C8</f>
        <v>0</v>
      </c>
      <c r="D7" s="449">
        <f>landbouw!D8</f>
        <v>425.33086495199996</v>
      </c>
      <c r="E7" s="449">
        <f>landbouw!E8</f>
        <v>33.312104812947133</v>
      </c>
      <c r="F7" s="449">
        <f>landbouw!F8</f>
        <v>3681.6580145635007</v>
      </c>
      <c r="G7" s="449">
        <f>landbouw!G8</f>
        <v>0</v>
      </c>
      <c r="H7" s="449">
        <f>landbouw!H8</f>
        <v>0</v>
      </c>
      <c r="I7" s="449">
        <f>landbouw!I8</f>
        <v>0</v>
      </c>
      <c r="J7" s="449">
        <f>landbouw!J8</f>
        <v>295.73050651244813</v>
      </c>
      <c r="K7" s="449">
        <f>landbouw!K8</f>
        <v>0</v>
      </c>
      <c r="L7" s="449">
        <f>landbouw!L8</f>
        <v>0</v>
      </c>
      <c r="M7" s="449">
        <f>landbouw!M8</f>
        <v>0</v>
      </c>
      <c r="N7" s="449">
        <f>landbouw!N8</f>
        <v>0</v>
      </c>
      <c r="O7" s="449">
        <f>landbouw!O8</f>
        <v>0</v>
      </c>
      <c r="P7" s="450">
        <f>landbouw!P8</f>
        <v>0</v>
      </c>
      <c r="Q7" s="448">
        <f t="shared" si="0"/>
        <v>5599.0949178408964</v>
      </c>
    </row>
    <row r="8" spans="1:17">
      <c r="A8" s="448" t="s">
        <v>617</v>
      </c>
      <c r="B8" s="449">
        <f>industrie!B18</f>
        <v>20802.159241000001</v>
      </c>
      <c r="C8" s="449">
        <f>industrie!C18</f>
        <v>0</v>
      </c>
      <c r="D8" s="449">
        <f>industrie!D18</f>
        <v>19821.437339192998</v>
      </c>
      <c r="E8" s="449">
        <f>industrie!E18</f>
        <v>45.109005912496229</v>
      </c>
      <c r="F8" s="449">
        <f>industrie!F18</f>
        <v>780.61645654060169</v>
      </c>
      <c r="G8" s="449">
        <f>industrie!G18</f>
        <v>0</v>
      </c>
      <c r="H8" s="449">
        <f>industrie!H18</f>
        <v>0</v>
      </c>
      <c r="I8" s="449">
        <f>industrie!I18</f>
        <v>0</v>
      </c>
      <c r="J8" s="449">
        <f>industrie!J18</f>
        <v>0.38315114501729791</v>
      </c>
      <c r="K8" s="449">
        <f>industrie!K18</f>
        <v>0</v>
      </c>
      <c r="L8" s="449">
        <f>industrie!L18</f>
        <v>0</v>
      </c>
      <c r="M8" s="449">
        <f>industrie!M18</f>
        <v>0</v>
      </c>
      <c r="N8" s="449">
        <f>industrie!N18</f>
        <v>753.5064098177985</v>
      </c>
      <c r="O8" s="449">
        <f>industrie!O18</f>
        <v>0</v>
      </c>
      <c r="P8" s="450">
        <f>industrie!P18</f>
        <v>0</v>
      </c>
      <c r="Q8" s="448">
        <f t="shared" si="0"/>
        <v>42203.211603608914</v>
      </c>
    </row>
    <row r="9" spans="1:17" s="454" customFormat="1">
      <c r="A9" s="452" t="s">
        <v>543</v>
      </c>
      <c r="B9" s="453">
        <f>transport!B14</f>
        <v>71.112419282223527</v>
      </c>
      <c r="C9" s="453">
        <f>transport!C14</f>
        <v>0</v>
      </c>
      <c r="D9" s="453">
        <f>transport!D14</f>
        <v>137.13432147700161</v>
      </c>
      <c r="E9" s="453">
        <f>transport!E14</f>
        <v>53.18722638127808</v>
      </c>
      <c r="F9" s="453">
        <f>transport!F14</f>
        <v>0</v>
      </c>
      <c r="G9" s="453">
        <f>transport!G14</f>
        <v>23963.515334753054</v>
      </c>
      <c r="H9" s="453">
        <f>transport!H14</f>
        <v>6693.2841773864193</v>
      </c>
      <c r="I9" s="453">
        <f>transport!I14</f>
        <v>0</v>
      </c>
      <c r="J9" s="453">
        <f>transport!J14</f>
        <v>0</v>
      </c>
      <c r="K9" s="453">
        <f>transport!K14</f>
        <v>0</v>
      </c>
      <c r="L9" s="453">
        <f>transport!L14</f>
        <v>0</v>
      </c>
      <c r="M9" s="453">
        <f>transport!M14</f>
        <v>1850.4398206708267</v>
      </c>
      <c r="N9" s="453">
        <f>transport!N14</f>
        <v>0</v>
      </c>
      <c r="O9" s="453">
        <f>transport!O14</f>
        <v>0</v>
      </c>
      <c r="P9" s="453">
        <f>transport!P14</f>
        <v>0</v>
      </c>
      <c r="Q9" s="452">
        <f>SUM(B9:P9)</f>
        <v>32768.673299950802</v>
      </c>
    </row>
    <row r="10" spans="1:17">
      <c r="A10" s="448" t="s">
        <v>533</v>
      </c>
      <c r="B10" s="449">
        <f>transport!B54</f>
        <v>2.2792561537374292</v>
      </c>
      <c r="C10" s="449">
        <f>transport!C54</f>
        <v>0</v>
      </c>
      <c r="D10" s="449">
        <f>transport!D54</f>
        <v>0</v>
      </c>
      <c r="E10" s="449">
        <f>transport!E54</f>
        <v>0</v>
      </c>
      <c r="F10" s="449">
        <f>transport!F54</f>
        <v>0</v>
      </c>
      <c r="G10" s="449">
        <f>transport!G54</f>
        <v>142.6883258979133</v>
      </c>
      <c r="H10" s="449">
        <f>transport!H54</f>
        <v>0</v>
      </c>
      <c r="I10" s="449">
        <f>transport!I54</f>
        <v>0</v>
      </c>
      <c r="J10" s="449">
        <f>transport!J54</f>
        <v>0</v>
      </c>
      <c r="K10" s="449">
        <f>transport!K54</f>
        <v>0</v>
      </c>
      <c r="L10" s="449">
        <f>transport!L54</f>
        <v>0</v>
      </c>
      <c r="M10" s="449">
        <f>transport!M54</f>
        <v>8.1928477278806113</v>
      </c>
      <c r="N10" s="449">
        <f>transport!N54</f>
        <v>0</v>
      </c>
      <c r="O10" s="449">
        <f>transport!O54</f>
        <v>0</v>
      </c>
      <c r="P10" s="450">
        <f>transport!P54</f>
        <v>0</v>
      </c>
      <c r="Q10" s="448">
        <f t="shared" si="0"/>
        <v>153.16042977953134</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225.670051</v>
      </c>
      <c r="C14" s="456"/>
      <c r="D14" s="456">
        <f>'SEAP template'!E25</f>
        <v>107.914203</v>
      </c>
      <c r="E14" s="456"/>
      <c r="F14" s="456"/>
      <c r="G14" s="456"/>
      <c r="H14" s="456"/>
      <c r="I14" s="456"/>
      <c r="J14" s="456"/>
      <c r="K14" s="456"/>
      <c r="L14" s="456"/>
      <c r="M14" s="456"/>
      <c r="N14" s="456"/>
      <c r="O14" s="456"/>
      <c r="P14" s="457"/>
      <c r="Q14" s="448">
        <f t="shared" si="0"/>
        <v>333.58425399999999</v>
      </c>
    </row>
    <row r="15" spans="1:17" s="460" customFormat="1">
      <c r="A15" s="458" t="s">
        <v>537</v>
      </c>
      <c r="B15" s="459">
        <f ca="1">SUM(B4:B14)</f>
        <v>37676.002418179734</v>
      </c>
      <c r="C15" s="459">
        <f t="shared" ref="C15:Q15" ca="1" si="1">SUM(C4:C14)</f>
        <v>0</v>
      </c>
      <c r="D15" s="459">
        <f t="shared" ca="1" si="1"/>
        <v>49050.826197451002</v>
      </c>
      <c r="E15" s="459">
        <f t="shared" si="1"/>
        <v>639.84278063583713</v>
      </c>
      <c r="F15" s="459">
        <f t="shared" ca="1" si="1"/>
        <v>15920.331976466821</v>
      </c>
      <c r="G15" s="459">
        <f t="shared" si="1"/>
        <v>24106.203660650968</v>
      </c>
      <c r="H15" s="459">
        <f t="shared" si="1"/>
        <v>6693.2841773864193</v>
      </c>
      <c r="I15" s="459">
        <f t="shared" si="1"/>
        <v>0</v>
      </c>
      <c r="J15" s="459">
        <f t="shared" si="1"/>
        <v>356.63427730866039</v>
      </c>
      <c r="K15" s="459">
        <f t="shared" si="1"/>
        <v>0</v>
      </c>
      <c r="L15" s="459">
        <f t="shared" ca="1" si="1"/>
        <v>0</v>
      </c>
      <c r="M15" s="459">
        <f t="shared" si="1"/>
        <v>1858.6326683987074</v>
      </c>
      <c r="N15" s="459">
        <f t="shared" ca="1" si="1"/>
        <v>3889.1550350551975</v>
      </c>
      <c r="O15" s="459">
        <f t="shared" si="1"/>
        <v>197.34120804638323</v>
      </c>
      <c r="P15" s="459">
        <f t="shared" si="1"/>
        <v>189.48060930640031</v>
      </c>
      <c r="Q15" s="459">
        <f t="shared" ca="1" si="1"/>
        <v>140577.73500888611</v>
      </c>
    </row>
    <row r="17" spans="1:17">
      <c r="A17" s="461" t="s">
        <v>538</v>
      </c>
      <c r="B17" s="778">
        <f ca="1">huishoudens!B10</f>
        <v>0.19559909872290132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1835.1085049496601</v>
      </c>
      <c r="C22" s="449">
        <f t="shared" ref="C22:C32" ca="1" si="3">C4*$C$17</f>
        <v>0</v>
      </c>
      <c r="D22" s="449">
        <f t="shared" ref="D22:D32" si="4">D4*$D$17</f>
        <v>4561.7528221338789</v>
      </c>
      <c r="E22" s="449">
        <f t="shared" ref="E22:E32" si="5">E4*$E$17</f>
        <v>110.02929976317681</v>
      </c>
      <c r="F22" s="449">
        <f t="shared" ref="F22:F32" si="6">F4*$F$17</f>
        <v>2835.1029652872467</v>
      </c>
      <c r="G22" s="449">
        <f t="shared" ref="G22:G32" si="7">G4*$G$17</f>
        <v>0</v>
      </c>
      <c r="H22" s="449">
        <f t="shared" ref="H22:H32" si="8">H4*$H$17</f>
        <v>0</v>
      </c>
      <c r="I22" s="449">
        <f t="shared" ref="I22:I32" si="9">I4*$I$17</f>
        <v>0</v>
      </c>
      <c r="J22" s="449">
        <f t="shared" ref="J22:J32" si="10">J4*$J$17</f>
        <v>21.422385420612642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9363.4159775545759</v>
      </c>
    </row>
    <row r="23" spans="1:17">
      <c r="A23" s="448" t="s">
        <v>155</v>
      </c>
      <c r="B23" s="449">
        <f t="shared" ca="1" si="2"/>
        <v>1124.673258332823</v>
      </c>
      <c r="C23" s="449">
        <f t="shared" ca="1" si="3"/>
        <v>0</v>
      </c>
      <c r="D23" s="449">
        <f t="shared" ca="1" si="4"/>
        <v>1207.1670905695801</v>
      </c>
      <c r="E23" s="449">
        <f t="shared" si="5"/>
        <v>5.33991891793249</v>
      </c>
      <c r="F23" s="449">
        <f t="shared" ca="1" si="6"/>
        <v>224.19838864459925</v>
      </c>
      <c r="G23" s="449">
        <f t="shared" si="7"/>
        <v>0</v>
      </c>
      <c r="H23" s="449">
        <f t="shared" si="8"/>
        <v>0</v>
      </c>
      <c r="I23" s="449">
        <f t="shared" si="9"/>
        <v>0</v>
      </c>
      <c r="J23" s="449">
        <f t="shared" si="10"/>
        <v>1.9139359103760661E-3</v>
      </c>
      <c r="K23" s="449">
        <f t="shared" si="11"/>
        <v>0</v>
      </c>
      <c r="L23" s="449">
        <f t="shared" ca="1" si="12"/>
        <v>0</v>
      </c>
      <c r="M23" s="449">
        <f t="shared" si="13"/>
        <v>0</v>
      </c>
      <c r="N23" s="449">
        <f t="shared" ca="1" si="14"/>
        <v>0</v>
      </c>
      <c r="O23" s="449">
        <f t="shared" si="15"/>
        <v>0</v>
      </c>
      <c r="P23" s="450">
        <f t="shared" si="16"/>
        <v>0</v>
      </c>
      <c r="Q23" s="448">
        <f t="shared" ref="Q23:Q31" ca="1" si="17">SUM(B23:P23)</f>
        <v>2561.3805704008455</v>
      </c>
    </row>
    <row r="24" spans="1:17">
      <c r="A24" s="448" t="s">
        <v>193</v>
      </c>
      <c r="B24" s="449">
        <f t="shared" ca="1" si="2"/>
        <v>54.736391933292495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54.736391933292495</v>
      </c>
    </row>
    <row r="25" spans="1:17">
      <c r="A25" s="448" t="s">
        <v>111</v>
      </c>
      <c r="B25" s="449">
        <f t="shared" ca="1" si="2"/>
        <v>227.49415807876889</v>
      </c>
      <c r="C25" s="449">
        <f t="shared" ca="1" si="3"/>
        <v>0</v>
      </c>
      <c r="D25" s="449">
        <f t="shared" si="4"/>
        <v>85.916834720303996</v>
      </c>
      <c r="E25" s="449">
        <f t="shared" si="5"/>
        <v>7.5618477925389991</v>
      </c>
      <c r="F25" s="449">
        <f t="shared" si="6"/>
        <v>983.00268988845471</v>
      </c>
      <c r="G25" s="449">
        <f t="shared" si="7"/>
        <v>0</v>
      </c>
      <c r="H25" s="449">
        <f t="shared" si="8"/>
        <v>0</v>
      </c>
      <c r="I25" s="449">
        <f t="shared" si="9"/>
        <v>0</v>
      </c>
      <c r="J25" s="449">
        <f t="shared" si="10"/>
        <v>104.68859930540663</v>
      </c>
      <c r="K25" s="449">
        <f t="shared" si="11"/>
        <v>0</v>
      </c>
      <c r="L25" s="449">
        <f t="shared" si="12"/>
        <v>0</v>
      </c>
      <c r="M25" s="449">
        <f t="shared" si="13"/>
        <v>0</v>
      </c>
      <c r="N25" s="449">
        <f t="shared" si="14"/>
        <v>0</v>
      </c>
      <c r="O25" s="449">
        <f t="shared" si="15"/>
        <v>0</v>
      </c>
      <c r="P25" s="450">
        <f t="shared" si="16"/>
        <v>0</v>
      </c>
      <c r="Q25" s="448">
        <f t="shared" ca="1" si="17"/>
        <v>1408.6641297854733</v>
      </c>
    </row>
    <row r="26" spans="1:17">
      <c r="A26" s="448" t="s">
        <v>617</v>
      </c>
      <c r="B26" s="449">
        <f t="shared" ca="1" si="2"/>
        <v>4068.883599029873</v>
      </c>
      <c r="C26" s="449">
        <f t="shared" ca="1" si="3"/>
        <v>0</v>
      </c>
      <c r="D26" s="449">
        <f t="shared" si="4"/>
        <v>4003.930342516986</v>
      </c>
      <c r="E26" s="449">
        <f t="shared" si="5"/>
        <v>10.239744342136644</v>
      </c>
      <c r="F26" s="449">
        <f t="shared" si="6"/>
        <v>208.42459389634067</v>
      </c>
      <c r="G26" s="449">
        <f t="shared" si="7"/>
        <v>0</v>
      </c>
      <c r="H26" s="449">
        <f t="shared" si="8"/>
        <v>0</v>
      </c>
      <c r="I26" s="449">
        <f t="shared" si="9"/>
        <v>0</v>
      </c>
      <c r="J26" s="449">
        <f t="shared" si="10"/>
        <v>0.13563550533612345</v>
      </c>
      <c r="K26" s="449">
        <f t="shared" si="11"/>
        <v>0</v>
      </c>
      <c r="L26" s="449">
        <f t="shared" si="12"/>
        <v>0</v>
      </c>
      <c r="M26" s="449">
        <f t="shared" si="13"/>
        <v>0</v>
      </c>
      <c r="N26" s="449">
        <f t="shared" si="14"/>
        <v>0</v>
      </c>
      <c r="O26" s="449">
        <f t="shared" si="15"/>
        <v>0</v>
      </c>
      <c r="P26" s="450">
        <f t="shared" si="16"/>
        <v>0</v>
      </c>
      <c r="Q26" s="448">
        <f t="shared" ca="1" si="17"/>
        <v>8291.6139152906726</v>
      </c>
    </row>
    <row r="27" spans="1:17" s="454" customFormat="1">
      <c r="A27" s="452" t="s">
        <v>543</v>
      </c>
      <c r="B27" s="772">
        <f t="shared" ca="1" si="2"/>
        <v>13.909525119607991</v>
      </c>
      <c r="C27" s="453">
        <f t="shared" ca="1" si="3"/>
        <v>0</v>
      </c>
      <c r="D27" s="453">
        <f t="shared" si="4"/>
        <v>27.701132938354327</v>
      </c>
      <c r="E27" s="453">
        <f t="shared" si="5"/>
        <v>12.073500388550125</v>
      </c>
      <c r="F27" s="453">
        <f t="shared" si="6"/>
        <v>0</v>
      </c>
      <c r="G27" s="453">
        <f t="shared" si="7"/>
        <v>6398.2585943790655</v>
      </c>
      <c r="H27" s="453">
        <f t="shared" si="8"/>
        <v>1666.6277601692184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8118.5705129947964</v>
      </c>
    </row>
    <row r="28" spans="1:17" ht="16.5" customHeight="1">
      <c r="A28" s="448" t="s">
        <v>533</v>
      </c>
      <c r="B28" s="449">
        <f t="shared" ca="1" si="2"/>
        <v>0.44582044942966775</v>
      </c>
      <c r="C28" s="449">
        <f t="shared" ca="1" si="3"/>
        <v>0</v>
      </c>
      <c r="D28" s="449">
        <f t="shared" si="4"/>
        <v>0</v>
      </c>
      <c r="E28" s="449">
        <f t="shared" si="5"/>
        <v>0</v>
      </c>
      <c r="F28" s="449">
        <f t="shared" si="6"/>
        <v>0</v>
      </c>
      <c r="G28" s="449">
        <f t="shared" si="7"/>
        <v>38.097783014742852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38.54360346417252</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44.140858584351179</v>
      </c>
      <c r="C32" s="449">
        <f t="shared" ca="1" si="3"/>
        <v>0</v>
      </c>
      <c r="D32" s="449">
        <f t="shared" si="4"/>
        <v>21.798669006000001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65.939527590351176</v>
      </c>
    </row>
    <row r="33" spans="1:17" s="460" customFormat="1">
      <c r="A33" s="458" t="s">
        <v>537</v>
      </c>
      <c r="B33" s="459">
        <f ca="1">SUM(B22:B32)</f>
        <v>7369.3921164778058</v>
      </c>
      <c r="C33" s="459">
        <f t="shared" ref="C33:Q33" ca="1" si="19">SUM(C22:C32)</f>
        <v>0</v>
      </c>
      <c r="D33" s="459">
        <f t="shared" ca="1" si="19"/>
        <v>9908.266891885105</v>
      </c>
      <c r="E33" s="459">
        <f t="shared" si="19"/>
        <v>145.24431120433505</v>
      </c>
      <c r="F33" s="459">
        <f t="shared" ca="1" si="19"/>
        <v>4250.7286377166411</v>
      </c>
      <c r="G33" s="459">
        <f t="shared" si="19"/>
        <v>6436.3563773938085</v>
      </c>
      <c r="H33" s="459">
        <f t="shared" si="19"/>
        <v>1666.6277601692184</v>
      </c>
      <c r="I33" s="459">
        <f t="shared" si="19"/>
        <v>0</v>
      </c>
      <c r="J33" s="459">
        <f t="shared" si="19"/>
        <v>126.24853416726577</v>
      </c>
      <c r="K33" s="459">
        <f t="shared" si="19"/>
        <v>0</v>
      </c>
      <c r="L33" s="459">
        <f t="shared" ca="1" si="19"/>
        <v>0</v>
      </c>
      <c r="M33" s="459">
        <f t="shared" si="19"/>
        <v>0</v>
      </c>
      <c r="N33" s="459">
        <f t="shared" ca="1" si="19"/>
        <v>0</v>
      </c>
      <c r="O33" s="459">
        <f t="shared" si="19"/>
        <v>0</v>
      </c>
      <c r="P33" s="459">
        <f t="shared" si="19"/>
        <v>0</v>
      </c>
      <c r="Q33" s="459">
        <f t="shared" ca="1" si="19"/>
        <v>29902.864629014181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2836.3367327597912</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1494</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4268.5714285714284</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4330.3367327597916</v>
      </c>
      <c r="C10" s="1018">
        <f>SUM(C4:C9)</f>
        <v>0</v>
      </c>
      <c r="D10" s="1018">
        <f t="shared" ref="D10:H10" si="0">SUM(D8:D9)</f>
        <v>0</v>
      </c>
      <c r="E10" s="1018">
        <f t="shared" si="0"/>
        <v>0</v>
      </c>
      <c r="F10" s="1018">
        <f t="shared" si="0"/>
        <v>0</v>
      </c>
      <c r="G10" s="1018">
        <f t="shared" si="0"/>
        <v>0</v>
      </c>
      <c r="H10" s="1018">
        <f t="shared" si="0"/>
        <v>0</v>
      </c>
      <c r="I10" s="1018">
        <f>SUM(I8:I9)</f>
        <v>0</v>
      </c>
      <c r="J10" s="1018">
        <f>SUM(J8:J9)</f>
        <v>4268.5714285714284</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0.19559909872290132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0.19559909872290132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0.19559909872290132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0.19559909872290132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2422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857.15</v>
      </c>
      <c r="C14" s="326"/>
      <c r="D14" s="326"/>
      <c r="E14" s="326"/>
      <c r="F14" s="326"/>
    </row>
    <row r="15" spans="1:6">
      <c r="A15" s="1312" t="s">
        <v>183</v>
      </c>
      <c r="B15" s="1313">
        <v>19</v>
      </c>
      <c r="C15" s="326"/>
      <c r="D15" s="326"/>
      <c r="E15" s="326"/>
      <c r="F15" s="326"/>
    </row>
    <row r="16" spans="1:6">
      <c r="A16" s="1312" t="s">
        <v>6</v>
      </c>
      <c r="B16" s="1313">
        <v>631</v>
      </c>
      <c r="C16" s="326"/>
      <c r="D16" s="326"/>
      <c r="E16" s="326"/>
      <c r="F16" s="326"/>
    </row>
    <row r="17" spans="1:6">
      <c r="A17" s="1312" t="s">
        <v>7</v>
      </c>
      <c r="B17" s="1313">
        <v>105</v>
      </c>
      <c r="C17" s="326"/>
      <c r="D17" s="326"/>
      <c r="E17" s="326"/>
      <c r="F17" s="326"/>
    </row>
    <row r="18" spans="1:6">
      <c r="A18" s="1312" t="s">
        <v>8</v>
      </c>
      <c r="B18" s="1313">
        <v>262</v>
      </c>
      <c r="C18" s="326"/>
      <c r="D18" s="326"/>
      <c r="E18" s="326"/>
      <c r="F18" s="326"/>
    </row>
    <row r="19" spans="1:6">
      <c r="A19" s="1312" t="s">
        <v>9</v>
      </c>
      <c r="B19" s="1313">
        <v>250</v>
      </c>
      <c r="C19" s="326"/>
      <c r="D19" s="326"/>
      <c r="E19" s="326"/>
      <c r="F19" s="326"/>
    </row>
    <row r="20" spans="1:6">
      <c r="A20" s="1312" t="s">
        <v>10</v>
      </c>
      <c r="B20" s="1313">
        <v>299</v>
      </c>
      <c r="C20" s="326"/>
      <c r="D20" s="326"/>
      <c r="E20" s="326"/>
      <c r="F20" s="326"/>
    </row>
    <row r="21" spans="1:6">
      <c r="A21" s="1312" t="s">
        <v>11</v>
      </c>
      <c r="B21" s="1313">
        <v>1447</v>
      </c>
      <c r="C21" s="326"/>
      <c r="D21" s="326"/>
      <c r="E21" s="326"/>
      <c r="F21" s="326"/>
    </row>
    <row r="22" spans="1:6">
      <c r="A22" s="1312" t="s">
        <v>12</v>
      </c>
      <c r="B22" s="1313">
        <v>6724</v>
      </c>
      <c r="C22" s="326"/>
      <c r="D22" s="326"/>
      <c r="E22" s="326"/>
      <c r="F22" s="326"/>
    </row>
    <row r="23" spans="1:6">
      <c r="A23" s="1312" t="s">
        <v>13</v>
      </c>
      <c r="B23" s="1313">
        <v>151</v>
      </c>
      <c r="C23" s="326"/>
      <c r="D23" s="326"/>
      <c r="E23" s="326"/>
      <c r="F23" s="326"/>
    </row>
    <row r="24" spans="1:6">
      <c r="A24" s="1312" t="s">
        <v>14</v>
      </c>
      <c r="B24" s="1313">
        <v>5</v>
      </c>
      <c r="C24" s="326"/>
      <c r="D24" s="326"/>
      <c r="E24" s="326"/>
      <c r="F24" s="326"/>
    </row>
    <row r="25" spans="1:6">
      <c r="A25" s="1312" t="s">
        <v>15</v>
      </c>
      <c r="B25" s="1313">
        <v>442</v>
      </c>
      <c r="C25" s="326"/>
      <c r="D25" s="326"/>
      <c r="E25" s="326"/>
      <c r="F25" s="326"/>
    </row>
    <row r="26" spans="1:6">
      <c r="A26" s="1312" t="s">
        <v>16</v>
      </c>
      <c r="B26" s="1313">
        <v>106</v>
      </c>
      <c r="C26" s="326"/>
      <c r="D26" s="326"/>
      <c r="E26" s="326"/>
      <c r="F26" s="326"/>
    </row>
    <row r="27" spans="1:6">
      <c r="A27" s="1312" t="s">
        <v>17</v>
      </c>
      <c r="B27" s="1313">
        <v>0</v>
      </c>
      <c r="C27" s="326"/>
      <c r="D27" s="326"/>
      <c r="E27" s="326"/>
      <c r="F27" s="326"/>
    </row>
    <row r="28" spans="1:6" s="43" customFormat="1">
      <c r="A28" s="1314" t="s">
        <v>18</v>
      </c>
      <c r="B28" s="1315">
        <v>72097</v>
      </c>
      <c r="C28" s="332"/>
      <c r="D28" s="332"/>
      <c r="E28" s="332"/>
      <c r="F28" s="332"/>
    </row>
    <row r="29" spans="1:6">
      <c r="A29" s="1314" t="s">
        <v>684</v>
      </c>
      <c r="B29" s="1315">
        <v>36</v>
      </c>
      <c r="C29" s="332"/>
      <c r="D29" s="332"/>
      <c r="E29" s="332"/>
      <c r="F29" s="332"/>
    </row>
    <row r="30" spans="1:6">
      <c r="A30" s="1307" t="s">
        <v>685</v>
      </c>
      <c r="B30" s="1316">
        <v>2</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4</v>
      </c>
      <c r="F36" s="1313">
        <v>36563.813000000002</v>
      </c>
    </row>
    <row r="37" spans="1:6">
      <c r="A37" s="1312" t="s">
        <v>24</v>
      </c>
      <c r="B37" s="1312" t="s">
        <v>27</v>
      </c>
      <c r="C37" s="1313">
        <v>0</v>
      </c>
      <c r="D37" s="1313">
        <v>0</v>
      </c>
      <c r="E37" s="1313">
        <v>0</v>
      </c>
      <c r="F37" s="1313">
        <v>0</v>
      </c>
    </row>
    <row r="38" spans="1:6">
      <c r="A38" s="1312" t="s">
        <v>24</v>
      </c>
      <c r="B38" s="1312" t="s">
        <v>28</v>
      </c>
      <c r="C38" s="1313">
        <v>1</v>
      </c>
      <c r="D38" s="1313">
        <v>63907.548999999999</v>
      </c>
      <c r="E38" s="1313">
        <v>2</v>
      </c>
      <c r="F38" s="1313">
        <v>15866.434999999999</v>
      </c>
    </row>
    <row r="39" spans="1:6">
      <c r="A39" s="1312" t="s">
        <v>29</v>
      </c>
      <c r="B39" s="1312" t="s">
        <v>30</v>
      </c>
      <c r="C39" s="1313">
        <v>1732</v>
      </c>
      <c r="D39" s="1313">
        <v>25008787.113000002</v>
      </c>
      <c r="E39" s="1313">
        <v>2276</v>
      </c>
      <c r="F39" s="1313">
        <v>7327598.5719999904</v>
      </c>
    </row>
    <row r="40" spans="1:6">
      <c r="A40" s="1312" t="s">
        <v>29</v>
      </c>
      <c r="B40" s="1312" t="s">
        <v>28</v>
      </c>
      <c r="C40" s="1313">
        <v>0</v>
      </c>
      <c r="D40" s="1313">
        <v>0</v>
      </c>
      <c r="E40" s="1313">
        <v>0</v>
      </c>
      <c r="F40" s="1313">
        <v>0</v>
      </c>
    </row>
    <row r="41" spans="1:6">
      <c r="A41" s="1312" t="s">
        <v>31</v>
      </c>
      <c r="B41" s="1312" t="s">
        <v>32</v>
      </c>
      <c r="C41" s="1313">
        <v>35</v>
      </c>
      <c r="D41" s="1313">
        <v>844446.85</v>
      </c>
      <c r="E41" s="1313">
        <v>74</v>
      </c>
      <c r="F41" s="1313">
        <v>572041.98499999999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7</v>
      </c>
      <c r="D44" s="1313">
        <v>158537.217</v>
      </c>
      <c r="E44" s="1313">
        <v>13</v>
      </c>
      <c r="F44" s="1313">
        <v>183333.264</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2</v>
      </c>
      <c r="D48" s="1313">
        <v>27712.197999999997</v>
      </c>
      <c r="E48" s="1313">
        <v>2</v>
      </c>
      <c r="F48" s="1313">
        <v>42909.673999999999</v>
      </c>
    </row>
    <row r="49" spans="1:6">
      <c r="A49" s="1312" t="s">
        <v>31</v>
      </c>
      <c r="B49" s="1312" t="s">
        <v>39</v>
      </c>
      <c r="C49" s="1313">
        <v>5</v>
      </c>
      <c r="D49" s="1313">
        <v>180571.821</v>
      </c>
      <c r="E49" s="1313">
        <v>11</v>
      </c>
      <c r="F49" s="1313">
        <v>1775495.297</v>
      </c>
    </row>
    <row r="50" spans="1:6">
      <c r="A50" s="1312" t="s">
        <v>31</v>
      </c>
      <c r="B50" s="1312" t="s">
        <v>40</v>
      </c>
      <c r="C50" s="1313">
        <v>9</v>
      </c>
      <c r="D50" s="1313">
        <v>20739382.344999999</v>
      </c>
      <c r="E50" s="1313">
        <v>17</v>
      </c>
      <c r="F50" s="1313">
        <v>18228379.021000002</v>
      </c>
    </row>
    <row r="51" spans="1:6">
      <c r="A51" s="1312" t="s">
        <v>41</v>
      </c>
      <c r="B51" s="1312" t="s">
        <v>42</v>
      </c>
      <c r="C51" s="1313">
        <v>11</v>
      </c>
      <c r="D51" s="1313">
        <v>471019.78399999999</v>
      </c>
      <c r="E51" s="1313">
        <v>52</v>
      </c>
      <c r="F51" s="1313">
        <v>1163063.4269999999</v>
      </c>
    </row>
    <row r="52" spans="1:6">
      <c r="A52" s="1312" t="s">
        <v>41</v>
      </c>
      <c r="B52" s="1312" t="s">
        <v>28</v>
      </c>
      <c r="C52" s="1313">
        <v>0</v>
      </c>
      <c r="D52" s="1313">
        <v>0</v>
      </c>
      <c r="E52" s="1313">
        <v>0</v>
      </c>
      <c r="F52" s="1313">
        <v>0</v>
      </c>
    </row>
    <row r="53" spans="1:6">
      <c r="A53" s="1312" t="s">
        <v>43</v>
      </c>
      <c r="B53" s="1312" t="s">
        <v>44</v>
      </c>
      <c r="C53" s="1313">
        <v>8</v>
      </c>
      <c r="D53" s="1313">
        <v>107914.20299999999</v>
      </c>
      <c r="E53" s="1313">
        <v>34</v>
      </c>
      <c r="F53" s="1313">
        <v>225670.05100000001</v>
      </c>
    </row>
    <row r="54" spans="1:6">
      <c r="A54" s="1312" t="s">
        <v>45</v>
      </c>
      <c r="B54" s="1312" t="s">
        <v>46</v>
      </c>
      <c r="C54" s="1313">
        <v>0</v>
      </c>
      <c r="D54" s="1313">
        <v>0</v>
      </c>
      <c r="E54" s="1313">
        <v>1</v>
      </c>
      <c r="F54" s="1313">
        <v>279839.69400000002</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28</v>
      </c>
      <c r="D57" s="1313">
        <v>1788352.902</v>
      </c>
      <c r="E57" s="1313">
        <v>55</v>
      </c>
      <c r="F57" s="1313">
        <v>531836.27300000004</v>
      </c>
    </row>
    <row r="58" spans="1:6">
      <c r="A58" s="1312" t="s">
        <v>48</v>
      </c>
      <c r="B58" s="1312" t="s">
        <v>50</v>
      </c>
      <c r="C58" s="1313">
        <v>14</v>
      </c>
      <c r="D58" s="1313">
        <v>1201494.2960000001</v>
      </c>
      <c r="E58" s="1313">
        <v>15</v>
      </c>
      <c r="F58" s="1313">
        <v>446604.05</v>
      </c>
    </row>
    <row r="59" spans="1:6">
      <c r="A59" s="1312" t="s">
        <v>48</v>
      </c>
      <c r="B59" s="1312" t="s">
        <v>51</v>
      </c>
      <c r="C59" s="1313">
        <v>43</v>
      </c>
      <c r="D59" s="1313">
        <v>1494720.9129999999</v>
      </c>
      <c r="E59" s="1313">
        <v>90</v>
      </c>
      <c r="F59" s="1313">
        <v>2042621.5279999999</v>
      </c>
    </row>
    <row r="60" spans="1:6">
      <c r="A60" s="1312" t="s">
        <v>48</v>
      </c>
      <c r="B60" s="1312" t="s">
        <v>52</v>
      </c>
      <c r="C60" s="1313">
        <v>14</v>
      </c>
      <c r="D60" s="1313">
        <v>449937.28499999997</v>
      </c>
      <c r="E60" s="1313">
        <v>18</v>
      </c>
      <c r="F60" s="1313">
        <v>232718.383</v>
      </c>
    </row>
    <row r="61" spans="1:6">
      <c r="A61" s="1312" t="s">
        <v>48</v>
      </c>
      <c r="B61" s="1312" t="s">
        <v>53</v>
      </c>
      <c r="C61" s="1313">
        <v>84</v>
      </c>
      <c r="D61" s="1313">
        <v>1599290.9720000001</v>
      </c>
      <c r="E61" s="1313">
        <v>146</v>
      </c>
      <c r="F61" s="1313">
        <v>988759.679</v>
      </c>
    </row>
    <row r="62" spans="1:6">
      <c r="A62" s="1312" t="s">
        <v>48</v>
      </c>
      <c r="B62" s="1312" t="s">
        <v>54</v>
      </c>
      <c r="C62" s="1313">
        <v>0</v>
      </c>
      <c r="D62" s="1313">
        <v>0</v>
      </c>
      <c r="E62" s="1313">
        <v>0</v>
      </c>
      <c r="F62" s="1313">
        <v>0</v>
      </c>
    </row>
    <row r="63" spans="1:6">
      <c r="A63" s="1312" t="s">
        <v>48</v>
      </c>
      <c r="B63" s="1312" t="s">
        <v>28</v>
      </c>
      <c r="C63" s="1313">
        <v>1</v>
      </c>
      <c r="D63" s="1313">
        <v>84226.562000000005</v>
      </c>
      <c r="E63" s="1313">
        <v>1</v>
      </c>
      <c r="F63" s="1313">
        <v>13349.865</v>
      </c>
    </row>
    <row r="64" spans="1:6">
      <c r="A64" s="1312" t="s">
        <v>55</v>
      </c>
      <c r="B64" s="1312" t="s">
        <v>56</v>
      </c>
      <c r="C64" s="1313">
        <v>0</v>
      </c>
      <c r="D64" s="1313">
        <v>0</v>
      </c>
      <c r="E64" s="1313">
        <v>0</v>
      </c>
      <c r="F64" s="1313">
        <v>0</v>
      </c>
    </row>
    <row r="65" spans="1:6">
      <c r="A65" s="1312" t="s">
        <v>55</v>
      </c>
      <c r="B65" s="1312" t="s">
        <v>28</v>
      </c>
      <c r="C65" s="1313">
        <v>1</v>
      </c>
      <c r="D65" s="1313">
        <v>5823.9579999999996</v>
      </c>
      <c r="E65" s="1313">
        <v>2</v>
      </c>
      <c r="F65" s="1313">
        <v>8081.48</v>
      </c>
    </row>
    <row r="66" spans="1:6">
      <c r="A66" s="1312" t="s">
        <v>55</v>
      </c>
      <c r="B66" s="1312" t="s">
        <v>57</v>
      </c>
      <c r="C66" s="1313">
        <v>0</v>
      </c>
      <c r="D66" s="1313">
        <v>0</v>
      </c>
      <c r="E66" s="1313">
        <v>3</v>
      </c>
      <c r="F66" s="1313">
        <v>94971.402000000002</v>
      </c>
    </row>
    <row r="67" spans="1:6">
      <c r="A67" s="1314" t="s">
        <v>55</v>
      </c>
      <c r="B67" s="1314" t="s">
        <v>58</v>
      </c>
      <c r="C67" s="1313">
        <v>0</v>
      </c>
      <c r="D67" s="1313">
        <v>0</v>
      </c>
      <c r="E67" s="1313">
        <v>0</v>
      </c>
      <c r="F67" s="1313">
        <v>0</v>
      </c>
    </row>
    <row r="68" spans="1:6">
      <c r="A68" s="1307" t="s">
        <v>55</v>
      </c>
      <c r="B68" s="1307" t="s">
        <v>59</v>
      </c>
      <c r="C68" s="1316">
        <v>0</v>
      </c>
      <c r="D68" s="1316">
        <v>0</v>
      </c>
      <c r="E68" s="1316">
        <v>0</v>
      </c>
      <c r="F68" s="1316">
        <v>0</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20650762</v>
      </c>
      <c r="E73" s="447"/>
      <c r="F73" s="326"/>
    </row>
    <row r="74" spans="1:6">
      <c r="A74" s="1312" t="s">
        <v>63</v>
      </c>
      <c r="B74" s="1312" t="s">
        <v>638</v>
      </c>
      <c r="C74" s="1326" t="s">
        <v>640</v>
      </c>
      <c r="D74" s="1327">
        <v>2195861.4541752595</v>
      </c>
      <c r="E74" s="447"/>
      <c r="F74" s="326"/>
    </row>
    <row r="75" spans="1:6">
      <c r="A75" s="1312" t="s">
        <v>64</v>
      </c>
      <c r="B75" s="1312" t="s">
        <v>637</v>
      </c>
      <c r="C75" s="1326" t="s">
        <v>641</v>
      </c>
      <c r="D75" s="1327">
        <v>12624993</v>
      </c>
      <c r="E75" s="447"/>
      <c r="F75" s="326"/>
    </row>
    <row r="76" spans="1:6">
      <c r="A76" s="1312" t="s">
        <v>64</v>
      </c>
      <c r="B76" s="1312" t="s">
        <v>638</v>
      </c>
      <c r="C76" s="1326" t="s">
        <v>642</v>
      </c>
      <c r="D76" s="1327">
        <v>802365.45417525922</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42513.091649481503</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2054.3899797437816</v>
      </c>
      <c r="C91" s="326"/>
      <c r="D91" s="326"/>
      <c r="E91" s="326"/>
      <c r="F91" s="326"/>
    </row>
    <row r="92" spans="1:6">
      <c r="A92" s="1307" t="s">
        <v>68</v>
      </c>
      <c r="B92" s="1308">
        <v>781.94675301600944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1043</v>
      </c>
      <c r="C97" s="326"/>
      <c r="D97" s="326"/>
      <c r="E97" s="326"/>
      <c r="F97" s="326"/>
    </row>
    <row r="98" spans="1:6">
      <c r="A98" s="1312" t="s">
        <v>71</v>
      </c>
      <c r="B98" s="1313">
        <v>0</v>
      </c>
      <c r="C98" s="326"/>
      <c r="D98" s="326"/>
      <c r="E98" s="326"/>
      <c r="F98" s="326"/>
    </row>
    <row r="99" spans="1:6">
      <c r="A99" s="1312" t="s">
        <v>72</v>
      </c>
      <c r="B99" s="1313">
        <v>25</v>
      </c>
      <c r="C99" s="326"/>
      <c r="D99" s="326"/>
      <c r="E99" s="326"/>
      <c r="F99" s="326"/>
    </row>
    <row r="100" spans="1:6">
      <c r="A100" s="1312" t="s">
        <v>73</v>
      </c>
      <c r="B100" s="1313">
        <v>168</v>
      </c>
      <c r="C100" s="326"/>
      <c r="D100" s="326"/>
      <c r="E100" s="326"/>
      <c r="F100" s="326"/>
    </row>
    <row r="101" spans="1:6">
      <c r="A101" s="1312" t="s">
        <v>74</v>
      </c>
      <c r="B101" s="1313">
        <v>52</v>
      </c>
      <c r="C101" s="326"/>
      <c r="D101" s="326"/>
      <c r="E101" s="326"/>
      <c r="F101" s="326"/>
    </row>
    <row r="102" spans="1:6">
      <c r="A102" s="1312" t="s">
        <v>75</v>
      </c>
      <c r="B102" s="1313">
        <v>35</v>
      </c>
      <c r="C102" s="326"/>
      <c r="D102" s="326"/>
      <c r="E102" s="326"/>
      <c r="F102" s="326"/>
    </row>
    <row r="103" spans="1:6">
      <c r="A103" s="1312" t="s">
        <v>76</v>
      </c>
      <c r="B103" s="1313">
        <v>81</v>
      </c>
      <c r="C103" s="326"/>
      <c r="D103" s="326"/>
      <c r="E103" s="326"/>
      <c r="F103" s="326"/>
    </row>
    <row r="104" spans="1:6">
      <c r="A104" s="1312" t="s">
        <v>77</v>
      </c>
      <c r="B104" s="1313">
        <v>647</v>
      </c>
      <c r="C104" s="326"/>
      <c r="D104" s="326"/>
      <c r="E104" s="326"/>
      <c r="F104" s="326"/>
    </row>
    <row r="105" spans="1:6">
      <c r="A105" s="1307" t="s">
        <v>78</v>
      </c>
      <c r="B105" s="131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9</v>
      </c>
      <c r="C123" s="1313">
        <v>13</v>
      </c>
      <c r="D123" s="326"/>
      <c r="E123" s="326"/>
      <c r="F123" s="326"/>
    </row>
    <row r="124" spans="1:6" s="43" customFormat="1">
      <c r="A124" s="1314" t="s">
        <v>88</v>
      </c>
      <c r="B124" s="1335">
        <v>0</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83</v>
      </c>
      <c r="C129" s="326"/>
      <c r="D129" s="326"/>
      <c r="E129" s="326"/>
      <c r="F129" s="326"/>
    </row>
    <row r="130" spans="1:6">
      <c r="A130" s="1312" t="s">
        <v>290</v>
      </c>
      <c r="B130" s="1313">
        <v>1</v>
      </c>
      <c r="C130" s="326"/>
      <c r="D130" s="326"/>
      <c r="E130" s="326"/>
      <c r="F130" s="326"/>
    </row>
    <row r="131" spans="1:6">
      <c r="A131" s="1312" t="s">
        <v>291</v>
      </c>
      <c r="B131" s="1313">
        <v>1</v>
      </c>
      <c r="C131" s="326"/>
      <c r="D131" s="326"/>
      <c r="E131" s="326"/>
      <c r="F131" s="326"/>
    </row>
    <row r="132" spans="1:6">
      <c r="A132" s="1307" t="s">
        <v>292</v>
      </c>
      <c r="B132" s="1308">
        <v>4</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37676.002418179734</v>
      </c>
      <c r="C3" s="43" t="s">
        <v>169</v>
      </c>
      <c r="D3" s="43"/>
      <c r="E3" s="154"/>
      <c r="F3" s="43"/>
      <c r="G3" s="43"/>
      <c r="H3" s="43"/>
      <c r="I3" s="43"/>
      <c r="J3" s="43"/>
      <c r="K3" s="96"/>
    </row>
    <row r="4" spans="1:11">
      <c r="A4" s="354" t="s">
        <v>170</v>
      </c>
      <c r="B4" s="49">
        <f>IF(ISERROR('SEAP template'!B78+'SEAP template'!C78),0,'SEAP template'!B78+'SEAP template'!C78)</f>
        <v>4330.3367327597916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0.19559909872290132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279.83969400000001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279.83969400000001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0.19559909872290132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54.736391933292495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7327.5985719999908</v>
      </c>
      <c r="C5" s="17">
        <f>IF(ISERROR('Eigen informatie GS &amp; warmtenet'!B59),0,'Eigen informatie GS &amp; warmtenet'!B59)</f>
        <v>0</v>
      </c>
      <c r="D5" s="30">
        <f>(SUM(HH_hh_gas_kWh,HH_rest_gas_kWh)/1000)*0.903</f>
        <v>22582.934763039004</v>
      </c>
      <c r="E5" s="17">
        <f>B32*B41</f>
        <v>484.71057164395069</v>
      </c>
      <c r="F5" s="17">
        <f>B36*B45</f>
        <v>10618.363165869838</v>
      </c>
      <c r="G5" s="18"/>
      <c r="H5" s="17"/>
      <c r="I5" s="17"/>
      <c r="J5" s="17">
        <f>B35*B44+C35*C44</f>
        <v>60.515213052578083</v>
      </c>
      <c r="K5" s="17"/>
      <c r="L5" s="17"/>
      <c r="M5" s="17"/>
      <c r="N5" s="17">
        <f>B34*B43+C34*C43</f>
        <v>3135.6486252373988</v>
      </c>
      <c r="O5" s="17">
        <f>B52*B53*B54</f>
        <v>192.44394728054206</v>
      </c>
      <c r="P5" s="17">
        <f>B60*B61*B62/1000-B60*B61*B62/1000/B63</f>
        <v>136.94147099990531</v>
      </c>
    </row>
    <row r="6" spans="1:16">
      <c r="A6" s="16" t="s">
        <v>603</v>
      </c>
      <c r="B6" s="780">
        <f>kWh_PV_kleiner_dan_10kW</f>
        <v>2054.3899797437816</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9381.9885517437724</v>
      </c>
      <c r="C8" s="21">
        <f>C5</f>
        <v>0</v>
      </c>
      <c r="D8" s="21">
        <f>D5</f>
        <v>22582.934763039004</v>
      </c>
      <c r="E8" s="21">
        <f>E5</f>
        <v>484.71057164395069</v>
      </c>
      <c r="F8" s="21">
        <f>F5</f>
        <v>10618.363165869838</v>
      </c>
      <c r="G8" s="21"/>
      <c r="H8" s="21"/>
      <c r="I8" s="21"/>
      <c r="J8" s="21">
        <f>J5</f>
        <v>60.515213052578083</v>
      </c>
      <c r="K8" s="21"/>
      <c r="L8" s="21">
        <f>L5</f>
        <v>0</v>
      </c>
      <c r="M8" s="21">
        <f>M5</f>
        <v>0</v>
      </c>
      <c r="N8" s="21">
        <f>N5</f>
        <v>3135.6486252373988</v>
      </c>
      <c r="O8" s="21">
        <f>O5</f>
        <v>192.44394728054206</v>
      </c>
      <c r="P8" s="21">
        <f>P5</f>
        <v>136.94147099990531</v>
      </c>
    </row>
    <row r="9" spans="1:16">
      <c r="B9" s="19"/>
      <c r="C9" s="19"/>
      <c r="D9" s="254"/>
      <c r="E9" s="19"/>
      <c r="F9" s="19"/>
      <c r="G9" s="19"/>
      <c r="H9" s="19"/>
      <c r="I9" s="19"/>
      <c r="J9" s="19"/>
      <c r="K9" s="19"/>
      <c r="L9" s="19"/>
      <c r="M9" s="19"/>
      <c r="N9" s="19"/>
      <c r="O9" s="19"/>
      <c r="P9" s="19"/>
    </row>
    <row r="10" spans="1:16">
      <c r="A10" s="24" t="s">
        <v>213</v>
      </c>
      <c r="B10" s="25">
        <f ca="1">'EF ele_warmte'!B12</f>
        <v>0.19559909872290132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1835.1085049496601</v>
      </c>
      <c r="C12" s="23">
        <f ca="1">C10*C8</f>
        <v>0</v>
      </c>
      <c r="D12" s="23">
        <f>D8*D10</f>
        <v>4561.7528221338789</v>
      </c>
      <c r="E12" s="23">
        <f>E10*E8</f>
        <v>110.02929976317681</v>
      </c>
      <c r="F12" s="23">
        <f>F10*F8</f>
        <v>2835.1029652872467</v>
      </c>
      <c r="G12" s="23"/>
      <c r="H12" s="23"/>
      <c r="I12" s="23"/>
      <c r="J12" s="23">
        <f>J10*J8</f>
        <v>21.422385420612642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2422</v>
      </c>
      <c r="C26" s="36"/>
      <c r="D26" s="225"/>
    </row>
    <row r="27" spans="1:5" s="15" customFormat="1">
      <c r="A27" s="227" t="s">
        <v>866</v>
      </c>
      <c r="B27" s="37">
        <f>SUM(HH_hh_gas_aantal,HH_rest_gas_aantal)</f>
        <v>1732</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1645.4</v>
      </c>
      <c r="C31" s="34" t="s">
        <v>110</v>
      </c>
      <c r="D31" s="171"/>
    </row>
    <row r="32" spans="1:5">
      <c r="A32" s="168" t="s">
        <v>72</v>
      </c>
      <c r="B32" s="33">
        <f>IF((B21*($B$26-($B$27-0.05*$B$27)-$B$60))&lt;0,0,(B21*($B$26-($B$27-0.05*$B$27)-$B$60)))</f>
        <v>12.122301722688533</v>
      </c>
      <c r="C32" s="34" t="s">
        <v>110</v>
      </c>
      <c r="D32" s="171"/>
    </row>
    <row r="33" spans="1:6">
      <c r="A33" s="168" t="s">
        <v>73</v>
      </c>
      <c r="B33" s="33">
        <f>IF((B22*($B$26-($B$27-0.05*$B$27)-$B$60))&lt;0,0,B22*($B$26-($B$27-0.05*$B$27)-$B$60))</f>
        <v>196.84217149438558</v>
      </c>
      <c r="C33" s="34" t="s">
        <v>110</v>
      </c>
      <c r="D33" s="171"/>
    </row>
    <row r="34" spans="1:6">
      <c r="A34" s="168" t="s">
        <v>74</v>
      </c>
      <c r="B34" s="33">
        <f>IF((B24*($B$26-($B$27-0.05*$B$27)-$B$60))&lt;0,0,B24*($B$26-($B$27-0.05*$B$27)-$B$60))</f>
        <v>37.737278508766302</v>
      </c>
      <c r="C34" s="33">
        <f>B26*C24</f>
        <v>496.28218621144998</v>
      </c>
      <c r="D34" s="230"/>
    </row>
    <row r="35" spans="1:6">
      <c r="A35" s="168" t="s">
        <v>76</v>
      </c>
      <c r="B35" s="33">
        <f>IF((B19*($B$26-($B$27-0.05*$B$27)-$B$60))&lt;0,0,B19*($B$26-($B$27-0.05*$B$27)-$B$60))</f>
        <v>5.2695356584943553</v>
      </c>
      <c r="C35" s="33">
        <f>B35/2</f>
        <v>2.6347678292471777</v>
      </c>
      <c r="D35" s="230"/>
    </row>
    <row r="36" spans="1:6">
      <c r="A36" s="168" t="s">
        <v>77</v>
      </c>
      <c r="B36" s="33">
        <f>IF((B18*($B$26-($B$27-0.05*$B$27)-$B$60))&lt;0,0,B18*($B$26-($B$27-0.05*$B$27)-$B$60))</f>
        <v>511.62871261566499</v>
      </c>
      <c r="C36" s="34" t="s">
        <v>110</v>
      </c>
      <c r="D36" s="171"/>
    </row>
    <row r="37" spans="1:6">
      <c r="A37" s="168" t="s">
        <v>78</v>
      </c>
      <c r="B37" s="33">
        <f>B60</f>
        <v>13</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97</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13</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4255.8897779999998</v>
      </c>
      <c r="C5" s="17">
        <f>IF(ISERROR('Eigen informatie GS &amp; warmtenet'!B60),0,'Eigen informatie GS &amp; warmtenet'!B60)</f>
        <v>0</v>
      </c>
      <c r="D5" s="30">
        <f>SUM(D6:D12)</f>
        <v>5976.0747057899998</v>
      </c>
      <c r="E5" s="17">
        <f>SUM(E6:E12)</f>
        <v>23.523871885165153</v>
      </c>
      <c r="F5" s="17">
        <f>SUM(F6:F12)</f>
        <v>839.694339492881</v>
      </c>
      <c r="G5" s="18"/>
      <c r="H5" s="17"/>
      <c r="I5" s="17"/>
      <c r="J5" s="17">
        <f>SUM(J6:J12)</f>
        <v>5.4065986168815427E-3</v>
      </c>
      <c r="K5" s="17"/>
      <c r="L5" s="17"/>
      <c r="M5" s="17"/>
      <c r="N5" s="17">
        <f>SUM(N6:N12)</f>
        <v>209.8682850710841</v>
      </c>
      <c r="O5" s="17">
        <f>B38*B39*B40</f>
        <v>4.8972607658411542</v>
      </c>
      <c r="P5" s="17">
        <f>B46*B47*B48/1000-B46*B47*B48/1000/B49</f>
        <v>52.539138306495019</v>
      </c>
      <c r="R5" s="32"/>
    </row>
    <row r="6" spans="1:18">
      <c r="A6" s="32" t="s">
        <v>53</v>
      </c>
      <c r="B6" s="37">
        <f>B26</f>
        <v>988.75967900000001</v>
      </c>
      <c r="C6" s="33"/>
      <c r="D6" s="37">
        <f>IF(ISERROR(TER_kantoor_gas_kWh/1000),0,TER_kantoor_gas_kWh/1000)*0.903</f>
        <v>1444.1597477160001</v>
      </c>
      <c r="E6" s="33">
        <f>$C$26*'E Balans VL '!I12/100/3.6*1000000</f>
        <v>0.23559228813282299</v>
      </c>
      <c r="F6" s="33">
        <f>$C$26*('E Balans VL '!L12+'E Balans VL '!N12)/100/3.6*1000000</f>
        <v>85.883464158240798</v>
      </c>
      <c r="G6" s="34"/>
      <c r="H6" s="33"/>
      <c r="I6" s="33"/>
      <c r="J6" s="33">
        <f>$C$26*('E Balans VL '!D12+'E Balans VL '!E12)/100/3.6*1000000</f>
        <v>0</v>
      </c>
      <c r="K6" s="33"/>
      <c r="L6" s="33"/>
      <c r="M6" s="33"/>
      <c r="N6" s="33">
        <f>$C$26*'E Balans VL '!Y12/100/3.6*1000000</f>
        <v>1.3216156386594058</v>
      </c>
      <c r="O6" s="33"/>
      <c r="P6" s="33"/>
      <c r="R6" s="32"/>
    </row>
    <row r="7" spans="1:18">
      <c r="A7" s="32" t="s">
        <v>52</v>
      </c>
      <c r="B7" s="37">
        <f t="shared" ref="B7:B12" si="0">B27</f>
        <v>232.71838299999999</v>
      </c>
      <c r="C7" s="33"/>
      <c r="D7" s="37">
        <f>IF(ISERROR(TER_horeca_gas_kWh/1000),0,TER_horeca_gas_kWh/1000)*0.903</f>
        <v>406.29336835499998</v>
      </c>
      <c r="E7" s="33">
        <f>$C$27*'E Balans VL '!I9/100/3.6*1000000</f>
        <v>0</v>
      </c>
      <c r="F7" s="33">
        <f>$C$27*('E Balans VL '!L9+'E Balans VL '!N9)/100/3.6*1000000</f>
        <v>18.962336613381257</v>
      </c>
      <c r="G7" s="34"/>
      <c r="H7" s="33"/>
      <c r="I7" s="33"/>
      <c r="J7" s="33">
        <f>$C$27*('E Balans VL '!D9+'E Balans VL '!E9)/100/3.6*1000000</f>
        <v>0</v>
      </c>
      <c r="K7" s="33"/>
      <c r="L7" s="33"/>
      <c r="M7" s="33"/>
      <c r="N7" s="33">
        <f>$C$27*'E Balans VL '!Y9/100/3.6*1000000</f>
        <v>6.4458659491232431E-2</v>
      </c>
      <c r="O7" s="33"/>
      <c r="P7" s="33"/>
      <c r="R7" s="32"/>
    </row>
    <row r="8" spans="1:18">
      <c r="A8" s="6" t="s">
        <v>51</v>
      </c>
      <c r="B8" s="37">
        <f t="shared" si="0"/>
        <v>2042.6215279999999</v>
      </c>
      <c r="C8" s="33"/>
      <c r="D8" s="37">
        <f>IF(ISERROR(TER_handel_gas_kWh/1000),0,TER_handel_gas_kWh/1000)*0.903</f>
        <v>1349.7329844389999</v>
      </c>
      <c r="E8" s="33">
        <f>$C$28*'E Balans VL '!I13/100/3.6*1000000</f>
        <v>16.327929265675301</v>
      </c>
      <c r="F8" s="33">
        <f>$C$28*('E Balans VL '!L13+'E Balans VL '!N13)/100/3.6*1000000</f>
        <v>202.92175113053835</v>
      </c>
      <c r="G8" s="34"/>
      <c r="H8" s="33"/>
      <c r="I8" s="33"/>
      <c r="J8" s="33">
        <f>$C$28*('E Balans VL '!D13+'E Balans VL '!E13)/100/3.6*1000000</f>
        <v>0</v>
      </c>
      <c r="K8" s="33"/>
      <c r="L8" s="33"/>
      <c r="M8" s="33"/>
      <c r="N8" s="33">
        <f>$C$28*'E Balans VL '!Y13/100/3.6*1000000</f>
        <v>0.76304072563446446</v>
      </c>
      <c r="O8" s="33"/>
      <c r="P8" s="33"/>
      <c r="R8" s="32"/>
    </row>
    <row r="9" spans="1:18">
      <c r="A9" s="32" t="s">
        <v>50</v>
      </c>
      <c r="B9" s="37">
        <f t="shared" si="0"/>
        <v>446.60404999999997</v>
      </c>
      <c r="C9" s="33"/>
      <c r="D9" s="37">
        <f>IF(ISERROR(TER_gezond_gas_kWh/1000),0,TER_gezond_gas_kWh/1000)*0.903</f>
        <v>1084.9493492880001</v>
      </c>
      <c r="E9" s="33">
        <f>$C$29*'E Balans VL '!I10/100/3.6*1000000</f>
        <v>0</v>
      </c>
      <c r="F9" s="33">
        <f>$C$29*('E Balans VL '!L10+'E Balans VL '!N10)/100/3.6*1000000</f>
        <v>40.715236881623092</v>
      </c>
      <c r="G9" s="34"/>
      <c r="H9" s="33"/>
      <c r="I9" s="33"/>
      <c r="J9" s="33">
        <f>$C$29*('E Balans VL '!D10+'E Balans VL '!E10)/100/3.6*1000000</f>
        <v>0</v>
      </c>
      <c r="K9" s="33"/>
      <c r="L9" s="33"/>
      <c r="M9" s="33"/>
      <c r="N9" s="33">
        <f>$C$29*'E Balans VL '!Y10/100/3.6*1000000</f>
        <v>3.264275376795017</v>
      </c>
      <c r="O9" s="33"/>
      <c r="P9" s="33"/>
      <c r="R9" s="32"/>
    </row>
    <row r="10" spans="1:18">
      <c r="A10" s="32" t="s">
        <v>49</v>
      </c>
      <c r="B10" s="37">
        <f t="shared" si="0"/>
        <v>531.83627300000001</v>
      </c>
      <c r="C10" s="33"/>
      <c r="D10" s="37">
        <f>IF(ISERROR(TER_ander_gas_kWh/1000),0,TER_ander_gas_kWh/1000)*0.903</f>
        <v>1614.8826705060001</v>
      </c>
      <c r="E10" s="33">
        <f>$C$30*'E Balans VL '!I14/100/3.6*1000000</f>
        <v>6.8949940786594492</v>
      </c>
      <c r="F10" s="33">
        <f>$C$30*('E Balans VL '!L14+'E Balans VL '!N14)/100/3.6*1000000</f>
        <v>487.76853357152737</v>
      </c>
      <c r="G10" s="34"/>
      <c r="H10" s="33"/>
      <c r="I10" s="33"/>
      <c r="J10" s="33">
        <f>$C$30*('E Balans VL '!D14+'E Balans VL '!E14)/100/3.6*1000000</f>
        <v>5.3790836035243934E-3</v>
      </c>
      <c r="K10" s="33"/>
      <c r="L10" s="33"/>
      <c r="M10" s="33"/>
      <c r="N10" s="33">
        <f>$C$30*'E Balans VL '!Y14/100/3.6*1000000</f>
        <v>203.39787908478857</v>
      </c>
      <c r="O10" s="33"/>
      <c r="P10" s="33"/>
      <c r="R10" s="32"/>
    </row>
    <row r="11" spans="1:18">
      <c r="A11" s="32" t="s">
        <v>54</v>
      </c>
      <c r="B11" s="37">
        <f t="shared" si="0"/>
        <v>0</v>
      </c>
      <c r="C11" s="33"/>
      <c r="D11" s="37">
        <f>IF(ISERROR(TER_onderwijs_gas_kWh/1000),0,TER_onderwijs_gas_kWh/1000)*0.903</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13.349864999999999</v>
      </c>
      <c r="C12" s="33"/>
      <c r="D12" s="37">
        <f>IF(ISERROR(TER_rest_gas_kWh/1000),0,TER_rest_gas_kWh/1000)*0.903</f>
        <v>76.056585486000003</v>
      </c>
      <c r="E12" s="33">
        <f>$C$32*'E Balans VL '!I8/100/3.6*1000000</f>
        <v>6.535625269757965E-2</v>
      </c>
      <c r="F12" s="33">
        <f>$C$32*('E Balans VL '!L8+'E Balans VL '!N8)/100/3.6*1000000</f>
        <v>3.4430171375701875</v>
      </c>
      <c r="G12" s="34"/>
      <c r="H12" s="33"/>
      <c r="I12" s="33"/>
      <c r="J12" s="33">
        <f>$C$32*('E Balans VL '!D8+'E Balans VL '!E8)/100/3.6*1000000</f>
        <v>2.7515013357149344E-5</v>
      </c>
      <c r="K12" s="33"/>
      <c r="L12" s="33"/>
      <c r="M12" s="33"/>
      <c r="N12" s="33">
        <f>$C$32*'E Balans VL '!Y8/100/3.6*1000000</f>
        <v>1.0570155857154135</v>
      </c>
      <c r="O12" s="33"/>
      <c r="P12" s="33"/>
      <c r="R12" s="32"/>
    </row>
    <row r="13" spans="1:18">
      <c r="A13" s="16" t="s">
        <v>473</v>
      </c>
      <c r="B13" s="243">
        <f ca="1">'lokale energieproductie'!N38+'lokale energieproductie'!N31</f>
        <v>1494</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-4268.5714285714284</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5749.8897779999998</v>
      </c>
      <c r="C16" s="21">
        <f t="shared" ca="1" si="1"/>
        <v>0</v>
      </c>
      <c r="D16" s="21">
        <f t="shared" ca="1" si="1"/>
        <v>5976.0747057899998</v>
      </c>
      <c r="E16" s="21">
        <f t="shared" si="1"/>
        <v>23.523871885165153</v>
      </c>
      <c r="F16" s="21">
        <f t="shared" ca="1" si="1"/>
        <v>839.694339492881</v>
      </c>
      <c r="G16" s="21">
        <f t="shared" si="1"/>
        <v>0</v>
      </c>
      <c r="H16" s="21">
        <f t="shared" si="1"/>
        <v>0</v>
      </c>
      <c r="I16" s="21">
        <f t="shared" si="1"/>
        <v>0</v>
      </c>
      <c r="J16" s="21">
        <f t="shared" si="1"/>
        <v>5.4065986168815427E-3</v>
      </c>
      <c r="K16" s="21">
        <f t="shared" si="1"/>
        <v>0</v>
      </c>
      <c r="L16" s="21">
        <f t="shared" ca="1" si="1"/>
        <v>0</v>
      </c>
      <c r="M16" s="21">
        <f t="shared" si="1"/>
        <v>0</v>
      </c>
      <c r="N16" s="21">
        <f t="shared" ca="1" si="1"/>
        <v>0</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0.19559909872290132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1124.673258332823</v>
      </c>
      <c r="C20" s="23">
        <f t="shared" ref="C20:P20" ca="1" si="2">C16*C18</f>
        <v>0</v>
      </c>
      <c r="D20" s="23">
        <f t="shared" ca="1" si="2"/>
        <v>1207.1670905695801</v>
      </c>
      <c r="E20" s="23">
        <f t="shared" si="2"/>
        <v>5.33991891793249</v>
      </c>
      <c r="F20" s="23">
        <f t="shared" ca="1" si="2"/>
        <v>224.19838864459925</v>
      </c>
      <c r="G20" s="23">
        <f t="shared" si="2"/>
        <v>0</v>
      </c>
      <c r="H20" s="23">
        <f t="shared" si="2"/>
        <v>0</v>
      </c>
      <c r="I20" s="23">
        <f t="shared" si="2"/>
        <v>0</v>
      </c>
      <c r="J20" s="23">
        <f t="shared" si="2"/>
        <v>1.9139359103760661E-3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988.75967900000001</v>
      </c>
      <c r="C26" s="39">
        <f>IF(ISERROR(B26*3.6/1000000/'E Balans VL '!Z12*100),0,B26*3.6/1000000/'E Balans VL '!Z12*100)</f>
        <v>2.836742214317526E-2</v>
      </c>
      <c r="D26" s="233" t="s">
        <v>841</v>
      </c>
      <c r="F26" s="6"/>
    </row>
    <row r="27" spans="1:18" ht="30">
      <c r="A27" s="228" t="s">
        <v>52</v>
      </c>
      <c r="B27" s="33">
        <f>IF(ISERROR(TER_horeca_ele_kWh/1000),0,TER_horeca_ele_kWh/1000)</f>
        <v>232.71838299999999</v>
      </c>
      <c r="C27" s="39">
        <f>IF(ISERROR(B27*3.6/1000000/'E Balans VL '!Z9*100),0,B27*3.6/1000000/'E Balans VL '!Z9*100)</f>
        <v>1.7049031129163058E-2</v>
      </c>
      <c r="D27" s="233" t="s">
        <v>841</v>
      </c>
      <c r="F27" s="6"/>
    </row>
    <row r="28" spans="1:18" ht="30">
      <c r="A28" s="168" t="s">
        <v>51</v>
      </c>
      <c r="B28" s="33">
        <f>IF(ISERROR(TER_handel_ele_kWh/1000),0,TER_handel_ele_kWh/1000)</f>
        <v>2042.6215279999999</v>
      </c>
      <c r="C28" s="39">
        <f>IF(ISERROR(B28*3.6/1000000/'E Balans VL '!Z13*100),0,B28*3.6/1000000/'E Balans VL '!Z13*100)</f>
        <v>6.3118728067058164E-2</v>
      </c>
      <c r="D28" s="233" t="s">
        <v>841</v>
      </c>
      <c r="F28" s="6"/>
    </row>
    <row r="29" spans="1:18" ht="30">
      <c r="A29" s="228" t="s">
        <v>50</v>
      </c>
      <c r="B29" s="33">
        <f>IF(ISERROR(TER_gezond_ele_kWh/1000),0,TER_gezond_ele_kWh/1000)</f>
        <v>446.60404999999997</v>
      </c>
      <c r="C29" s="39">
        <f>IF(ISERROR(B29*3.6/1000000/'E Balans VL '!Z10*100),0,B29*3.6/1000000/'E Balans VL '!Z10*100)</f>
        <v>4.3769943048205709E-2</v>
      </c>
      <c r="D29" s="233" t="s">
        <v>841</v>
      </c>
      <c r="F29" s="6"/>
    </row>
    <row r="30" spans="1:18" ht="30">
      <c r="A30" s="228" t="s">
        <v>49</v>
      </c>
      <c r="B30" s="33">
        <f>IF(ISERROR(TER_ander_ele_kWh/1000),0,TER_ander_ele_kWh/1000)</f>
        <v>531.83627300000001</v>
      </c>
      <c r="C30" s="39">
        <f>IF(ISERROR(B30*3.6/1000000/'E Balans VL '!Z14*100),0,B30*3.6/1000000/'E Balans VL '!Z14*100)</f>
        <v>2.2030376533205703E-2</v>
      </c>
      <c r="D30" s="233" t="s">
        <v>841</v>
      </c>
      <c r="F30" s="6"/>
    </row>
    <row r="31" spans="1:18" ht="30">
      <c r="A31" s="228" t="s">
        <v>54</v>
      </c>
      <c r="B31" s="33">
        <f>IF(ISERROR(TER_onderwijs_ele_kWh/1000),0,TER_onderwijs_ele_kWh/1000)</f>
        <v>0</v>
      </c>
      <c r="C31" s="39">
        <f>IF(ISERROR(B31*3.6/1000000/'E Balans VL '!Z11*100),0,B31*3.6/1000000/'E Balans VL '!Z11*100)</f>
        <v>0</v>
      </c>
      <c r="D31" s="233" t="s">
        <v>841</v>
      </c>
    </row>
    <row r="32" spans="1:18" ht="30">
      <c r="A32" s="228" t="s">
        <v>255</v>
      </c>
      <c r="B32" s="33">
        <f>IF(ISERROR(TER_rest_ele_kWh/1000),0,TER_rest_ele_kWh/1000)</f>
        <v>13.349864999999999</v>
      </c>
      <c r="C32" s="39">
        <f>IF(ISERROR(B32*3.6/1000000/'E Balans VL '!Z8*100),0,B32*3.6/1000000/'E Balans VL '!Z8*100)</f>
        <v>1.1268947450027034E-4</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20802.159241000001</v>
      </c>
      <c r="C5" s="17">
        <f>IF(ISERROR('Eigen informatie GS &amp; warmtenet'!B61),0,'Eigen informatie GS &amp; warmtenet'!B61)</f>
        <v>0</v>
      </c>
      <c r="D5" s="30">
        <f>SUM(D6:D15)</f>
        <v>19821.437339192998</v>
      </c>
      <c r="E5" s="17">
        <f>SUM(E6:E15)</f>
        <v>45.109005912496229</v>
      </c>
      <c r="F5" s="17">
        <f>SUM(F6:F15)</f>
        <v>780.61645654060169</v>
      </c>
      <c r="G5" s="18"/>
      <c r="H5" s="17"/>
      <c r="I5" s="17"/>
      <c r="J5" s="17">
        <f>SUM(J6:J15)</f>
        <v>0.38315114501729791</v>
      </c>
      <c r="K5" s="17"/>
      <c r="L5" s="17"/>
      <c r="M5" s="17"/>
      <c r="N5" s="17">
        <f>SUM(N6:N15)</f>
        <v>753.5064098177985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183.33326399999999</v>
      </c>
      <c r="C8" s="33"/>
      <c r="D8" s="37">
        <f>IF( ISERROR(IND_metaal_Gas_kWH/1000),0,IND_metaal_Gas_kWH/1000)*0.903</f>
        <v>143.15910695100001</v>
      </c>
      <c r="E8" s="33">
        <f>C30*'E Balans VL '!I18/100/3.6*1000000</f>
        <v>0.99937821425639084</v>
      </c>
      <c r="F8" s="33">
        <f>C30*'E Balans VL '!L18/100/3.6*1000000+C30*'E Balans VL '!N18/100/3.6*1000000</f>
        <v>11.806676205089984</v>
      </c>
      <c r="G8" s="34"/>
      <c r="H8" s="33"/>
      <c r="I8" s="33"/>
      <c r="J8" s="40">
        <f>C30*'E Balans VL '!D18/100/3.6*1000000+C30*'E Balans VL '!E18/100/3.6*1000000</f>
        <v>0.15017230591567837</v>
      </c>
      <c r="K8" s="33"/>
      <c r="L8" s="33"/>
      <c r="M8" s="33"/>
      <c r="N8" s="33">
        <f>C30*'E Balans VL '!Y18/100/3.6*1000000</f>
        <v>3.9607940226679439</v>
      </c>
      <c r="O8" s="33"/>
      <c r="P8" s="33"/>
      <c r="R8" s="32"/>
    </row>
    <row r="9" spans="1:18">
      <c r="A9" s="6" t="s">
        <v>32</v>
      </c>
      <c r="B9" s="37">
        <f t="shared" si="0"/>
        <v>572.04198499999995</v>
      </c>
      <c r="C9" s="33"/>
      <c r="D9" s="37">
        <f>IF( ISERROR(IND_andere_gas_kWh/1000),0,IND_andere_gas_kWh/1000)*0.903</f>
        <v>762.53550554999993</v>
      </c>
      <c r="E9" s="33">
        <f>C31*'E Balans VL '!I19/100/3.6*1000000</f>
        <v>1.8466489466478935</v>
      </c>
      <c r="F9" s="33">
        <f>C31*'E Balans VL '!L19/100/3.6*1000000+C31*'E Balans VL '!N19/100/3.6*1000000</f>
        <v>369.88683806571635</v>
      </c>
      <c r="G9" s="34"/>
      <c r="H9" s="33"/>
      <c r="I9" s="33"/>
      <c r="J9" s="40">
        <f>C31*'E Balans VL '!D19/100/3.6*1000000+C31*'E Balans VL '!E19/100/3.6*1000000</f>
        <v>0</v>
      </c>
      <c r="K9" s="33"/>
      <c r="L9" s="33"/>
      <c r="M9" s="33"/>
      <c r="N9" s="33">
        <f>C31*'E Balans VL '!Y19/100/3.6*1000000</f>
        <v>23.115555847408167</v>
      </c>
      <c r="O9" s="33"/>
      <c r="P9" s="33"/>
      <c r="R9" s="32"/>
    </row>
    <row r="10" spans="1:18">
      <c r="A10" s="6" t="s">
        <v>40</v>
      </c>
      <c r="B10" s="37">
        <f t="shared" si="0"/>
        <v>18228.379021000001</v>
      </c>
      <c r="C10" s="33"/>
      <c r="D10" s="37">
        <f>IF( ISERROR(IND_voed_gas_kWh/1000),0,IND_voed_gas_kWh/1000)*0.903</f>
        <v>18727.662257534997</v>
      </c>
      <c r="E10" s="33">
        <f>C32*'E Balans VL '!I20/100/3.6*1000000</f>
        <v>38.21114972174378</v>
      </c>
      <c r="F10" s="33">
        <f>C32*'E Balans VL '!L20/100/3.6*1000000+C32*'E Balans VL '!N20/100/3.6*1000000</f>
        <v>355.15181836773496</v>
      </c>
      <c r="G10" s="34"/>
      <c r="H10" s="33"/>
      <c r="I10" s="33"/>
      <c r="J10" s="40">
        <f>C32*'E Balans VL '!D20/100/3.6*1000000+C32*'E Balans VL '!E20/100/3.6*1000000</f>
        <v>0</v>
      </c>
      <c r="K10" s="33"/>
      <c r="L10" s="33"/>
      <c r="M10" s="33"/>
      <c r="N10" s="33">
        <f>C32*'E Balans VL '!Y20/100/3.6*1000000</f>
        <v>725.07438098221212</v>
      </c>
      <c r="O10" s="33"/>
      <c r="P10" s="33"/>
      <c r="R10" s="32"/>
    </row>
    <row r="11" spans="1:18">
      <c r="A11" s="6" t="s">
        <v>39</v>
      </c>
      <c r="B11" s="37">
        <f t="shared" si="0"/>
        <v>1775.4952969999999</v>
      </c>
      <c r="C11" s="33"/>
      <c r="D11" s="37">
        <f>IF( ISERROR(IND_textiel_gas_kWh/1000),0,IND_textiel_gas_kWh/1000)*0.903</f>
        <v>163.056354363</v>
      </c>
      <c r="E11" s="33">
        <f>C33*'E Balans VL '!I21/100/3.6*1000000</f>
        <v>1.5256297364806108</v>
      </c>
      <c r="F11" s="33">
        <f>C33*'E Balans VL '!L21/100/3.6*1000000+C33*'E Balans VL '!N21/100/3.6*1000000</f>
        <v>37.225101656474472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42.909674000000003</v>
      </c>
      <c r="C15" s="33"/>
      <c r="D15" s="37">
        <f>IF( ISERROR(IND_rest_gas_kWh/1000),0,IND_rest_gas_kWh/1000)*0.903</f>
        <v>25.024114793999999</v>
      </c>
      <c r="E15" s="33">
        <f>C37*'E Balans VL '!I15/100/3.6*1000000</f>
        <v>2.5261992933675574</v>
      </c>
      <c r="F15" s="33">
        <f>C37*'E Balans VL '!L15/100/3.6*1000000+C37*'E Balans VL '!N15/100/3.6*1000000</f>
        <v>6.5460222455858235</v>
      </c>
      <c r="G15" s="34"/>
      <c r="H15" s="33"/>
      <c r="I15" s="33"/>
      <c r="J15" s="40">
        <f>C37*'E Balans VL '!D15/100/3.6*1000000+C37*'E Balans VL '!E15/100/3.6*1000000</f>
        <v>0.23297883910161954</v>
      </c>
      <c r="K15" s="33"/>
      <c r="L15" s="33"/>
      <c r="M15" s="33"/>
      <c r="N15" s="33">
        <f>C37*'E Balans VL '!Y15/100/3.6*1000000</f>
        <v>1.3556789655103132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20802.159241000001</v>
      </c>
      <c r="C18" s="21">
        <f>C5+C16</f>
        <v>0</v>
      </c>
      <c r="D18" s="21">
        <f>MAX((D5+D16),0)</f>
        <v>19821.437339192998</v>
      </c>
      <c r="E18" s="21">
        <f>MAX((E5+E16),0)</f>
        <v>45.109005912496229</v>
      </c>
      <c r="F18" s="21">
        <f>MAX((F5+F16),0)</f>
        <v>780.61645654060169</v>
      </c>
      <c r="G18" s="21"/>
      <c r="H18" s="21"/>
      <c r="I18" s="21"/>
      <c r="J18" s="21">
        <f>MAX((J5+J16),0)</f>
        <v>0.38315114501729791</v>
      </c>
      <c r="K18" s="21"/>
      <c r="L18" s="21">
        <f>MAX((L5+L16),0)</f>
        <v>0</v>
      </c>
      <c r="M18" s="21"/>
      <c r="N18" s="21">
        <f>MAX((N5+N16),0)</f>
        <v>753.5064098177985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0.19559909872290132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4068.883599029873</v>
      </c>
      <c r="C22" s="23">
        <f ca="1">C18*C20</f>
        <v>0</v>
      </c>
      <c r="D22" s="23">
        <f>D18*D20</f>
        <v>4003.930342516986</v>
      </c>
      <c r="E22" s="23">
        <f>E18*E20</f>
        <v>10.239744342136644</v>
      </c>
      <c r="F22" s="23">
        <f>F18*F20</f>
        <v>208.42459389634067</v>
      </c>
      <c r="G22" s="23"/>
      <c r="H22" s="23"/>
      <c r="I22" s="23"/>
      <c r="J22" s="23">
        <f>J18*J20</f>
        <v>0.13563550533612345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183.33326399999999</v>
      </c>
      <c r="C30" s="39">
        <f>IF(ISERROR(B30*3.6/1000000/'E Balans VL '!Z18*100),0,B30*3.6/1000000/'E Balans VL '!Z18*100)</f>
        <v>1.1039826450815681E-2</v>
      </c>
      <c r="D30" s="233" t="s">
        <v>841</v>
      </c>
    </row>
    <row r="31" spans="1:18" ht="30">
      <c r="A31" s="6" t="s">
        <v>32</v>
      </c>
      <c r="B31" s="37">
        <f>IF( ISERROR(IND_ander_ele_kWh/1000),0,IND_ander_ele_kWh/1000)</f>
        <v>572.04198499999995</v>
      </c>
      <c r="C31" s="39">
        <f>IF(ISERROR(B31*3.6/1000000/'E Balans VL '!Z19*100),0,B31*3.6/1000000/'E Balans VL '!Z19*100)</f>
        <v>2.330617473209547E-2</v>
      </c>
      <c r="D31" s="233" t="s">
        <v>841</v>
      </c>
    </row>
    <row r="32" spans="1:18" ht="30">
      <c r="A32" s="168" t="s">
        <v>40</v>
      </c>
      <c r="B32" s="37">
        <f>IF( ISERROR(IND_voed_ele_kWh/1000),0,IND_voed_ele_kWh/1000)</f>
        <v>18228.379021000001</v>
      </c>
      <c r="C32" s="39">
        <f>IF(ISERROR(B32*3.6/1000000/'E Balans VL '!Z20*100),0,B32*3.6/1000000/'E Balans VL '!Z20*100)</f>
        <v>0.52705579397569002</v>
      </c>
      <c r="D32" s="233" t="s">
        <v>841</v>
      </c>
    </row>
    <row r="33" spans="1:5" ht="30">
      <c r="A33" s="168" t="s">
        <v>39</v>
      </c>
      <c r="B33" s="37">
        <f>IF( ISERROR(IND_textiel_ele_kWh/1000),0,IND_textiel_ele_kWh/1000)</f>
        <v>1775.4952969999999</v>
      </c>
      <c r="C33" s="39">
        <f>IF(ISERROR(B33*3.6/1000000/'E Balans VL '!Z21*100),0,B33*3.6/1000000/'E Balans VL '!Z21*100)</f>
        <v>0.29198655243648058</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42.909674000000003</v>
      </c>
      <c r="C37" s="39">
        <f>IF(ISERROR(B37*3.6/1000000/'E Balans VL '!Z15*100),0,B37*3.6/1000000/'E Balans VL '!Z15*100)</f>
        <v>3.5232092425270154E-4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1163.0634269999998</v>
      </c>
      <c r="C5" s="17">
        <f>'Eigen informatie GS &amp; warmtenet'!B62</f>
        <v>0</v>
      </c>
      <c r="D5" s="30">
        <f>IF(ISERROR(SUM(LB_lb_gas_kWh,LB_rest_gas_kWh)/1000),0,SUM(LB_lb_gas_kWh,LB_rest_gas_kWh)/1000)*0.903</f>
        <v>425.33086495199996</v>
      </c>
      <c r="E5" s="17">
        <f>B17*'E Balans VL '!I25/3.6*1000000/100</f>
        <v>33.312104812947133</v>
      </c>
      <c r="F5" s="17">
        <f>B17*('E Balans VL '!L25/3.6*1000000+'E Balans VL '!N25/3.6*1000000)/100</f>
        <v>3681.6580145635007</v>
      </c>
      <c r="G5" s="18"/>
      <c r="H5" s="17"/>
      <c r="I5" s="17"/>
      <c r="J5" s="17">
        <f>('E Balans VL '!D25+'E Balans VL '!E25)/3.6*1000000*landbouw!B17/100</f>
        <v>295.73050651244813</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1163.0634269999998</v>
      </c>
      <c r="C8" s="21">
        <f>C5+C6</f>
        <v>0</v>
      </c>
      <c r="D8" s="21">
        <f>MAX((D5+D6),0)</f>
        <v>425.33086495199996</v>
      </c>
      <c r="E8" s="21">
        <f>MAX((E5+E6),0)</f>
        <v>33.312104812947133</v>
      </c>
      <c r="F8" s="21">
        <f>MAX((F5+F6),0)</f>
        <v>3681.6580145635007</v>
      </c>
      <c r="G8" s="21"/>
      <c r="H8" s="21"/>
      <c r="I8" s="21"/>
      <c r="J8" s="21">
        <f>MAX((J5+J6),0)</f>
        <v>295.73050651244813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0.19559909872290132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227.49415807876889</v>
      </c>
      <c r="C12" s="23">
        <f ca="1">C8*C10</f>
        <v>0</v>
      </c>
      <c r="D12" s="23">
        <f>D8*D10</f>
        <v>85.916834720303996</v>
      </c>
      <c r="E12" s="23">
        <f>E8*E10</f>
        <v>7.5618477925389991</v>
      </c>
      <c r="F12" s="23">
        <f>F8*F10</f>
        <v>983.00268988845471</v>
      </c>
      <c r="G12" s="23"/>
      <c r="H12" s="23"/>
      <c r="I12" s="23"/>
      <c r="J12" s="23">
        <f>J8*J10</f>
        <v>104.68859930540663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0.16105789996441175</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139.67924056102848</v>
      </c>
      <c r="C26" s="243">
        <f>B26*'GWP N2O_CH4'!B5</f>
        <v>2933.264051781598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66.923607850776648</v>
      </c>
      <c r="C27" s="243">
        <f>B27*'GWP N2O_CH4'!B5</f>
        <v>1405.3957648663095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1.7659265821740966</v>
      </c>
      <c r="C28" s="243">
        <f>B28*'GWP N2O_CH4'!B4</f>
        <v>547.43724047396995</v>
      </c>
      <c r="D28" s="50"/>
    </row>
    <row r="29" spans="1:4">
      <c r="A29" s="41" t="s">
        <v>272</v>
      </c>
      <c r="B29" s="243">
        <f>B34*'ha_N2O bodem landbouw'!B4</f>
        <v>5.5900772721241054</v>
      </c>
      <c r="C29" s="243">
        <f>B29*'GWP N2O_CH4'!B4</f>
        <v>1732.9239543584727</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1.2699655090613368E-3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2.5600470941600472E-4</v>
      </c>
      <c r="C5" s="434" t="s">
        <v>210</v>
      </c>
      <c r="D5" s="419">
        <f>SUM(D6:D11)</f>
        <v>4.9368355731720581E-4</v>
      </c>
      <c r="E5" s="419">
        <f>SUM(E6:E11)</f>
        <v>1.9147401497260108E-4</v>
      </c>
      <c r="F5" s="432" t="s">
        <v>210</v>
      </c>
      <c r="G5" s="419">
        <f>SUM(G6:G11)</f>
        <v>8.6268655205110997E-2</v>
      </c>
      <c r="H5" s="419">
        <f>SUM(H6:H11)</f>
        <v>2.4095823038591108E-2</v>
      </c>
      <c r="I5" s="434" t="s">
        <v>210</v>
      </c>
      <c r="J5" s="434" t="s">
        <v>210</v>
      </c>
      <c r="K5" s="434" t="s">
        <v>210</v>
      </c>
      <c r="L5" s="434" t="s">
        <v>210</v>
      </c>
      <c r="M5" s="419">
        <f>SUM(M6:M11)</f>
        <v>6.6615833544149761E-3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1.4480738505152278E-4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2.4143536457652042E-4</v>
      </c>
      <c r="E6" s="886">
        <f>vkm_GW_PW*SUMIFS(TableVerdeelsleutelVkm[LPG],TableVerdeelsleutelVkm[Voertuigtype],"Lichte voertuigen")*SUMIFS(TableECFTransport[EnergieConsumptieFactor (PJ per km)],TableECFTransport[Index],CONCATENATE($A6,"_LPG_LPG"))</f>
        <v>9.5719302351904197E-5</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2.8766054867761751E-2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1.1840412850147565E-2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2.4910870424155575E-3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5.3424931993733182E-7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2.1177979785395897E-2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1.5626283672612438E-7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1.2160037842598307E-3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1.1046786090777867E-4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2.5224819274068545E-4</v>
      </c>
      <c r="E8" s="422">
        <f>vkm_NGW_PW*SUMIFS(TableVerdeelsleutelVkm[LPG],TableVerdeelsleutelVkm[Voertuigtype],"Lichte voertuigen")*SUMIFS(TableECFTransport[EnergieConsumptieFactor (PJ per km)],TableECFTransport[Index],CONCATENATE($A8,"_LPG_LPG"))</f>
        <v>9.57547126206969E-5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2.6359365096222224E-2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1.2255185006532294E-2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2.3823047389788738E-3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1.9521413676590157E-7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9.9652554557311222E-3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6.8919074522804736E-8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5.7218778876071401E-4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71.112419282223527</v>
      </c>
      <c r="C14" s="21"/>
      <c r="D14" s="21">
        <f t="shared" ref="D14:M14" si="0">((D5)*10^9/3600)+D12</f>
        <v>137.13432147700161</v>
      </c>
      <c r="E14" s="21">
        <f t="shared" si="0"/>
        <v>53.18722638127808</v>
      </c>
      <c r="F14" s="21"/>
      <c r="G14" s="21">
        <f t="shared" si="0"/>
        <v>23963.515334753054</v>
      </c>
      <c r="H14" s="21">
        <f t="shared" si="0"/>
        <v>6693.2841773864193</v>
      </c>
      <c r="I14" s="21"/>
      <c r="J14" s="21"/>
      <c r="K14" s="21"/>
      <c r="L14" s="21"/>
      <c r="M14" s="21">
        <f t="shared" si="0"/>
        <v>1850.4398206708267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0.19559909872290132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13.909525119607991</v>
      </c>
      <c r="C18" s="23"/>
      <c r="D18" s="23">
        <f t="shared" ref="D18:M18" si="1">D14*D16</f>
        <v>27.701132938354327</v>
      </c>
      <c r="E18" s="23">
        <f t="shared" si="1"/>
        <v>12.073500388550125</v>
      </c>
      <c r="F18" s="23"/>
      <c r="G18" s="23">
        <f t="shared" si="1"/>
        <v>6398.2585943790655</v>
      </c>
      <c r="H18" s="23">
        <f t="shared" si="1"/>
        <v>1666.6277601692184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8.2053221534547443E-6</v>
      </c>
      <c r="C50" s="315">
        <f t="shared" ref="C50:P50" si="2">SUM(C51:C52)</f>
        <v>0</v>
      </c>
      <c r="D50" s="315">
        <f t="shared" si="2"/>
        <v>0</v>
      </c>
      <c r="E50" s="315">
        <f t="shared" si="2"/>
        <v>0</v>
      </c>
      <c r="F50" s="315">
        <f t="shared" si="2"/>
        <v>0</v>
      </c>
      <c r="G50" s="315">
        <f t="shared" si="2"/>
        <v>5.1367797323248791E-4</v>
      </c>
      <c r="H50" s="315">
        <f t="shared" si="2"/>
        <v>0</v>
      </c>
      <c r="I50" s="315">
        <f t="shared" si="2"/>
        <v>0</v>
      </c>
      <c r="J50" s="315">
        <f t="shared" si="2"/>
        <v>0</v>
      </c>
      <c r="K50" s="315">
        <f t="shared" si="2"/>
        <v>0</v>
      </c>
      <c r="L50" s="315">
        <f t="shared" si="2"/>
        <v>0</v>
      </c>
      <c r="M50" s="315">
        <f t="shared" si="2"/>
        <v>2.9494251820370199E-5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8.2053221534547443E-6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5.1367797323248791E-4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2.9494251820370199E-5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2.2792561537374292</v>
      </c>
      <c r="C54" s="21">
        <f t="shared" ref="C54:P54" si="3">(C50)*10^9/3600</f>
        <v>0</v>
      </c>
      <c r="D54" s="21">
        <f t="shared" si="3"/>
        <v>0</v>
      </c>
      <c r="E54" s="21">
        <f t="shared" si="3"/>
        <v>0</v>
      </c>
      <c r="F54" s="21">
        <f t="shared" si="3"/>
        <v>0</v>
      </c>
      <c r="G54" s="21">
        <f t="shared" si="3"/>
        <v>142.6883258979133</v>
      </c>
      <c r="H54" s="21">
        <f t="shared" si="3"/>
        <v>0</v>
      </c>
      <c r="I54" s="21">
        <f t="shared" si="3"/>
        <v>0</v>
      </c>
      <c r="J54" s="21">
        <f t="shared" si="3"/>
        <v>0</v>
      </c>
      <c r="K54" s="21">
        <f t="shared" si="3"/>
        <v>0</v>
      </c>
      <c r="L54" s="21">
        <f t="shared" si="3"/>
        <v>0</v>
      </c>
      <c r="M54" s="21">
        <f t="shared" si="3"/>
        <v>8.1928477278806113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0.19559909872290132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0.44582044942966775</v>
      </c>
      <c r="C58" s="23">
        <f t="shared" ref="C58:P58" ca="1" si="4">C54*C56</f>
        <v>0</v>
      </c>
      <c r="D58" s="23">
        <f t="shared" si="4"/>
        <v>0</v>
      </c>
      <c r="E58" s="23">
        <f t="shared" si="4"/>
        <v>0</v>
      </c>
      <c r="F58" s="23">
        <f t="shared" si="4"/>
        <v>0</v>
      </c>
      <c r="G58" s="23">
        <f t="shared" si="4"/>
        <v>38.097783014742852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2836.3367327597912</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1494</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4268.5714285714284</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4330.3367327597916</v>
      </c>
      <c r="C10" s="560">
        <f t="shared" ref="C10:L10" si="0">SUM(C8:C9)</f>
        <v>0</v>
      </c>
      <c r="D10" s="560">
        <f t="shared" si="0"/>
        <v>0</v>
      </c>
      <c r="E10" s="560">
        <f t="shared" si="0"/>
        <v>0</v>
      </c>
      <c r="F10" s="560">
        <f t="shared" si="0"/>
        <v>0</v>
      </c>
      <c r="G10" s="560">
        <f t="shared" si="0"/>
        <v>0</v>
      </c>
      <c r="H10" s="560">
        <f t="shared" si="0"/>
        <v>0</v>
      </c>
      <c r="I10" s="560">
        <f t="shared" si="0"/>
        <v>0</v>
      </c>
      <c r="J10" s="560">
        <f t="shared" si="0"/>
        <v>4268.5714285714284</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63.75">
      <c r="A35" s="591"/>
      <c r="B35" s="787">
        <v>34025</v>
      </c>
      <c r="C35" s="787">
        <v>8860</v>
      </c>
      <c r="D35" s="639" t="s">
        <v>874</v>
      </c>
      <c r="E35" s="639" t="s">
        <v>875</v>
      </c>
      <c r="F35" s="639" t="s">
        <v>876</v>
      </c>
      <c r="G35" s="639" t="s">
        <v>877</v>
      </c>
      <c r="H35" s="639" t="s">
        <v>878</v>
      </c>
      <c r="I35" s="639" t="s">
        <v>879</v>
      </c>
      <c r="J35" s="786">
        <v>38168</v>
      </c>
      <c r="K35" s="786">
        <v>38169</v>
      </c>
      <c r="L35" s="639" t="s">
        <v>880</v>
      </c>
      <c r="M35" s="639">
        <v>332</v>
      </c>
      <c r="N35" s="639">
        <v>1494</v>
      </c>
      <c r="O35" s="639">
        <v>0</v>
      </c>
      <c r="P35" s="639">
        <v>0</v>
      </c>
      <c r="Q35" s="639">
        <v>0</v>
      </c>
      <c r="R35" s="639">
        <v>4268.5714285714284</v>
      </c>
      <c r="S35" s="639">
        <v>0</v>
      </c>
      <c r="T35" s="639">
        <v>0</v>
      </c>
      <c r="U35" s="639">
        <v>0</v>
      </c>
      <c r="V35" s="639">
        <v>0</v>
      </c>
      <c r="W35" s="639">
        <v>0</v>
      </c>
      <c r="X35" s="639">
        <v>1600</v>
      </c>
      <c r="Y35" s="639" t="s">
        <v>49</v>
      </c>
      <c r="Z35" s="640" t="s">
        <v>155</v>
      </c>
    </row>
    <row r="36" spans="1:27" s="570" customFormat="1">
      <c r="A36" s="592" t="s">
        <v>275</v>
      </c>
      <c r="B36" s="593"/>
      <c r="C36" s="593"/>
      <c r="D36" s="593"/>
      <c r="E36" s="593"/>
      <c r="F36" s="593"/>
      <c r="G36" s="593"/>
      <c r="H36" s="593"/>
      <c r="I36" s="593"/>
      <c r="J36" s="593"/>
      <c r="K36" s="593"/>
      <c r="L36" s="594"/>
      <c r="M36" s="594">
        <f>SUM(M35:M35)</f>
        <v>332</v>
      </c>
      <c r="N36" s="594">
        <f>SUM(N35:N35)</f>
        <v>1494</v>
      </c>
      <c r="O36" s="594">
        <f>SUM(O35:O35)</f>
        <v>0</v>
      </c>
      <c r="P36" s="594">
        <f>SUM(P35:P35)</f>
        <v>0</v>
      </c>
      <c r="Q36" s="594">
        <f>SUM(Q35:Q35)</f>
        <v>0</v>
      </c>
      <c r="R36" s="594">
        <f>SUM(R35:R35)</f>
        <v>4268.5714285714284</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332</v>
      </c>
      <c r="N38" s="594">
        <f>SUMIF($Z$35:$Z$36,"tertiair",N35:N36)</f>
        <v>1494</v>
      </c>
      <c r="O38" s="594">
        <f>SUMIF($Z$35:$Z$36,"tertiair",O35:O36)</f>
        <v>0</v>
      </c>
      <c r="P38" s="594">
        <f>SUMIF($Z$35:$Z$36,"tertiair",P35:P36)</f>
        <v>0</v>
      </c>
      <c r="Q38" s="594">
        <f>SUMIF($Z$35:$Z$36,"tertiair",Q35:Q36)</f>
        <v>0</v>
      </c>
      <c r="R38" s="594">
        <f>SUMIF($Z$35:$Z$36,"tertiair",R35:R36)</f>
        <v>4268.5714285714284</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2021-06-29T14:17:32Z</dcterms:modified>
</cp:coreProperties>
</file>