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C22" i="59"/>
  <c r="C29" i="20"/>
  <c r="C17" i="19"/>
  <c r="C19" i="19" s="1"/>
  <c r="D39" i="14" s="1"/>
  <c r="C20" i="16"/>
  <c r="C22" i="16" s="1"/>
  <c r="D43" i="14" s="1"/>
  <c r="C17" i="49"/>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<sst xmlns="http://schemas.openxmlformats.org/spreadsheetml/2006/main" count="2438" uniqueCount="881">
  <si>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</si>
  <si>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</si>
  <si>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</si>
  <si>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</si>
  <si>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</si>
  <si>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</si>
  <si>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</si>
  <si>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</si>
  <si>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</si>
  <si>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</si>
  <si>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</si>
  <si>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</si>
  <si>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</si>
  <si>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</si>
  <si>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</si>
  <si>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</si>
  <si>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</si>
  <si>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</si>
  <si>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</si>
  <si>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</si>
  <si>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</si>
  <si>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</si>
  <si>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</si>
  <si>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</si>
  <si>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</si>
  <si>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</si>
  <si>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</si>
  <si>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</si>
  <si>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</si>
  <si>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</si>
  <si>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</si>
  <si>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</si>
  <si>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</si>
  <si>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</si>
  <si>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</si>
  <si>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</si>
  <si>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</si>
  <si>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</si>
  <si>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</si>
  <si>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</si>
  <si>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</si>
  <si>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</si>
  <si>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</si>
  <si>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</si>
  <si>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</si>
  <si>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</si>
  <si>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</si>
  <si>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</si>
  <si>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</si>
  <si>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</si>
  <si>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</si>
  <si>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</si>
  <si>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</si>
  <si>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</si>
  <si>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</si>
  <si>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</si>
  <si>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</si>
  <si>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</si>
  <si>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</si>
  <si>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</si>
  <si>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</si>
  <si>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</si>
  <si>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</si>
  <si>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</si>
  <si>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</si>
  <si>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</si>
  <si>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</si>
  <si>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</si>
  <si>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</si>
  <si>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</si>
  <si>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</si>
  <si>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</si>
  <si>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</si>
  <si>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</si>
  <si>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</si>
  <si>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</si>
  <si>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</si>
  <si>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</si>
  <si>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</si>
  <si>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</si>
  <si>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</si>
  <si>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</si>
  <si>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</si>
  <si>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</si>
  <si>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</si>
  <si>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</si>
  <si>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</si>
  <si>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</si>
  <si>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</si>
  <si>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</si>
  <si>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</si>
  <si>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</si>
  <si>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</si>
  <si>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</si>
  <si>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</si>
  <si>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</si>
  <si>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</si>
  <si>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</si>
  <si>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</si>
  <si>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</si>
  <si>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</si>
  <si>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</si>
  <si>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</si>
  <si>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</si>
  <si>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</si>
  <si>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</si>
  <si>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</si>
  <si>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</si>
  <si>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</si>
  <si>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</si>
  <si>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</si>
  <si>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</si>
  <si>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</si>
  <si>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</si>
  <si>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</si>
  <si>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</si>
  <si>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</si>
  <si>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</si>
  <si>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</si>
  <si>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</si>
  <si>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</si>
  <si>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</si>
  <si>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</si>
  <si>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</si>
  <si>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</si>
  <si>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</si>
  <si>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</si>
  <si>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</si>
  <si>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</si>
  <si>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</si>
  <si>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</si>
  <si>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</si>
  <si>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</si>
  <si>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</si>
  <si>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</si>
  <si>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</si>
  <si>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</si>
  <si>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</si>
  <si>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</si>
  <si>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</si>
  <si>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</si>
  <si>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</si>
  <si>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</si>
  <si>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</si>
  <si>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</si>
  <si>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</si>
  <si>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</si>
  <si>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</si>
  <si>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</si>
  <si>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</si>
  <si>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</si>
  <si>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</si>
  <si>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</si>
  <si>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</si>
  <si>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</si>
  <si>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</si>
  <si>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</si>
  <si>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</si>
  <si>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</si>
  <si>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</si>
  <si>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</si>
  <si>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</si>
  <si>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</si>
  <si>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</si>
  <si>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</si>
  <si>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</si>
  <si>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</si>
  <si>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</si>
  <si>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</si>
  <si>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</si>
  <si>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</si>
  <si>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</si>
  <si>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</si>
  <si>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</si>
  <si>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</si>
  <si>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</si>
  <si>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</si>
  <si>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</si>
  <si>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</si>
  <si>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</si>
  <si>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</si>
  <si>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</si>
  <si>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</si>
  <si>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</si>
  <si>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</si>
  <si>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</si>
  <si>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</si>
  <si>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</si>
  <si>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</si>
  <si>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</si>
  <si>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</si>
  <si>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</si>
  <si>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</si>
  <si>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</si>
  <si>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</si>
  <si>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</si>
  <si>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</si>
  <si>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</si>
  <si>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</si>
  <si>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</si>
  <si>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</si>
  <si>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</si>
  <si>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</si>
  <si>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</si>
  <si>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</si>
  <si>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</si>
  <si>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</si>
  <si>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</si>
  <si>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</si>
  <si>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</si>
  <si>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</si>
  <si>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</si>
  <si>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</si>
  <si>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</si>
  <si>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</si>
  <si>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</si>
  <si>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</si>
  <si>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</si>
  <si>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</si>
  <si>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</si>
  <si>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</si>
  <si>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</si>
  <si>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</si>
  <si>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</si>
  <si>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</si>
  <si>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</si>
  <si>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</si>
  <si>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</si>
  <si>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</si>
  <si>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</si>
  <si>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</si>
  <si>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</si>
  <si>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</si>
  <si>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</si>
  <si>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</si>
  <si>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</si>
  <si>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</si>
  <si>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</si>
  <si>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</si>
  <si>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</si>
  <si>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</si>
  <si>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</si>
  <si>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</si>
  <si>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</si>
  <si>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</si>
  <si>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</si>
  <si>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</si>
  <si>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</si>
  <si>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</si>
  <si>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</si>
  <si>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</si>
  <si>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</si>
  <si>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</si>
  <si>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</si>
  <si>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</si>
  <si>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</si>
  <si>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</si>
  <si>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</si>
  <si>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</si>
  <si>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</si>
  <si>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</si>
  <si>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</si>
  <si>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</si>
  <si>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</si>
  <si>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</si>
  <si>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</si>
  <si>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</si>
  <si>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</si>
  <si>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</si>
  <si>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</si>
  <si>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</si>
  <si>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</si>
  <si>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</si>
  <si>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</si>
  <si>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</si>
  <si>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</si>
  <si>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</si>
  <si>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</si>
  <si>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</si>
  <si>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</si>
  <si>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</si>
  <si>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</si>
  <si>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</si>
  <si>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</si>
  <si>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</si>
  <si>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</si>
  <si>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</si>
  <si>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</si>
  <si>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</si>
  <si>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</si>
  <si>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</si>
  <si>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</si>
  <si>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</si>
  <si>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</si>
  <si>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</si>
  <si>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</si>
  <si>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</si>
  <si>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</si>
  <si>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</si>
  <si>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</si>
  <si>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</si>
  <si>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</si>
  <si>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</si>
  <si>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</si>
  <si>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</si>
  <si>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</si>
  <si>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</si>
  <si>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</si>
  <si>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</si>
  <si>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</si>
  <si>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</si>
  <si>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</si>
  <si>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</si>
  <si>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</si>
  <si>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</si>
  <si>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</si>
  <si>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</si>
  <si>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</si>
  <si>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</si>
  <si>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</si>
  <si>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</si>
  <si>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</si>
  <si>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</si>
  <si>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</si>
  <si>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</si>
  <si>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</si>
  <si>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</si>
  <si>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</si>
  <si>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</si>
  <si>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</si>
  <si>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</si>
  <si>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</si>
  <si>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</si>
  <si>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</si>
  <si>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</si>
  <si>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</si>
  <si>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</si>
  <si>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</si>
  <si>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</si>
  <si>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</si>
  <si>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</si>
  <si>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</si>
  <si>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</si>
  <si>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</si>
  <si>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</si>
  <si>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</si>
  <si>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</si>
  <si>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</si>
  <si>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</si>
  <si>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</si>
  <si>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</si>
  <si>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</si>
  <si>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</si>
  <si>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</si>
  <si>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</si>
  <si>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</si>
  <si>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</si>
  <si>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</si>
  <si>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</si>
  <si>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</si>
  <si>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</si>
  <si>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</si>
  <si>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</si>
  <si>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</si>
  <si>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</si>
  <si>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</si>
  <si>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</si>
  <si>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</si>
  <si>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</si>
  <si>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</si>
  <si>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</si>
  <si>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</si>
  <si>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</si>
  <si>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</si>
  <si>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</si>
  <si>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</si>
  <si>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</si>
  <si>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</si>
  <si>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</si>
  <si>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</si>
  <si>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</si>
  <si>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</si>
  <si>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</si>
  <si>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</si>
  <si>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</si>
  <si>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</si>
  <si>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</si>
  <si>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</si>
  <si>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</si>
  <si>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</si>
  <si>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</si>
  <si>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</si>
  <si>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</si>
  <si>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</si>
  <si>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</si>
  <si>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</si>
  <si>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</si>
  <si>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</si>
  <si>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</si>
  <si>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</si>
  <si>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</si>
  <si>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</si>
  <si>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</si>
  <si>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</si>
  <si>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</si>
  <si>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</si>
  <si>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</si>
  <si>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</si>
  <si>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</si>
  <si>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</si>
  <si>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</si>
  <si>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</si>
  <si>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</si>
  <si>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</si>
  <si>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</si>
  <si>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</si>
  <si>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</si>
  <si>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</si>
  <si>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</si>
  <si>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</si>
  <si>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</si>
  <si>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</si>
  <si>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</si>
  <si>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</si>
  <si>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</si>
  <si>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</si>
  <si>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</si>
  <si>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</si>
  <si>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</si>
  <si>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</si>
  <si>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</si>
  <si>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</si>
  <si>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</si>
  <si>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</si>
  <si>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</si>
  <si>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</si>
  <si>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</si>
  <si>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</si>
  <si>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</si>
  <si>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</si>
  <si>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</si>
  <si>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</si>
  <si>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</si>
  <si>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</si>
  <si>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</si>
  <si>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</si>
  <si>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</si>
  <si>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</si>
  <si>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</si>
  <si>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</si>
  <si>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</si>
  <si>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</si>
  <si>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</si>
  <si>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</si>
  <si>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</si>
  <si>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</si>
  <si>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</si>
  <si>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</si>
  <si>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</si>
  <si>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</si>
  <si>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</si>
  <si>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</si>
  <si>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</si>
  <si>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</si>
  <si>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</si>
  <si>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</si>
  <si>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</si>
  <si>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</si>
  <si>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</si>
  <si>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</si>
  <si>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</si>
  <si>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</si>
  <si>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</si>
  <si>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</si>
  <si>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</si>
  <si>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</si>
  <si>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</si>
  <si>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</si>
  <si>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</si>
  <si>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</si>
  <si>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</si>
  <si>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</si>
  <si>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</si>
  <si>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</si>
  <si>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</si>
  <si>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</si>
  <si>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</si>
  <si>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</si>
  <si>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</si>
  <si>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</si>
  <si>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</si>
  <si>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</si>
  <si>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</si>
  <si>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</si>
  <si>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</si>
  <si>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</si>
  <si>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</si>
  <si>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</si>
  <si>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</si>
  <si>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</si>
  <si>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</si>
  <si>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</si>
  <si>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</si>
  <si>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</si>
  <si>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</si>
  <si>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</si>
  <si>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</si>
  <si>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</si>
  <si>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</si>
  <si>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</si>
  <si>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</si>
  <si>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</si>
  <si>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</si>
  <si>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</si>
  <si>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</si>
  <si>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</si>
  <si>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</si>
  <si>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</si>
  <si>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</si>
  <si>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</si>
  <si>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</si>
  <si>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</si>
  <si>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</si>
  <si>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</si>
  <si>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</si>
  <si>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</si>
  <si>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</si>
  <si>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</si>
  <si>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</si>
  <si>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</si>
  <si>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</si>
  <si>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</si>
  <si>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</si>
  <si>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</si>
  <si>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</si>
  <si>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</si>
  <si>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</si>
  <si>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</si>
  <si>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</si>
  <si>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</si>
  <si>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</si>
  <si>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</si>
  <si>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</si>
  <si>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</si>
  <si>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</si>
  <si>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</si>
  <si>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</si>
  <si>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</si>
  <si>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</si>
  <si>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</si>
  <si>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</si>
  <si>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</si>
  <si>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</si>
  <si>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</si>
  <si>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</si>
  <si>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</si>
  <si>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</si>
  <si>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</si>
  <si>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</si>
  <si>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</si>
  <si>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</si>
  <si>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</si>
  <si>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</si>
  <si>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</si>
  <si>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</si>
  <si>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</si>
  <si>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</si>
  <si>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</si>
  <si>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</si>
  <si>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</si>
  <si>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</si>
  <si>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</si>
  <si>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</si>
  <si>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</si>
  <si>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</si>
  <si>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</si>
  <si>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</si>
  <si>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</si>
  <si>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</si>
  <si>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</si>
  <si>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</si>
  <si>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</si>
  <si>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</si>
  <si>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</si>
  <si>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</si>
  <si>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</si>
  <si>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</si>
  <si>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</si>
  <si>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</si>
  <si>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</si>
  <si>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</si>
  <si>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</si>
  <si>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</si>
  <si>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</si>
  <si>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</si>
  <si>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</si>
  <si>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</si>
  <si>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</si>
  <si>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</si>
  <si>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</si>
  <si>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</si>
  <si>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</si>
  <si>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</si>
  <si>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</si>
  <si>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</si>
  <si>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</si>
  <si>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</si>
  <si>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</si>
  <si>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</si>
  <si>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</si>
  <si>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</si>
  <si>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</si>
  <si>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</si>
  <si>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</si>
  <si>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</si>
  <si>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</si>
  <si>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</si>
  <si>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</si>
  <si>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</si>
  <si>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</si>
  <si>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</si>
  <si>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</si>
  <si>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</si>
  <si>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</si>
  <si>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</si>
  <si>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</si>
  <si>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</si>
  <si>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</si>
  <si>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</si>
  <si>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</si>
  <si>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</si>
  <si>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</si>
  <si>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</si>
  <si>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</si>
  <si>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</si>
  <si>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</si>
  <si>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</si>
  <si>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</si>
  <si>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</si>
  <si>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</si>
  <si>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</si>
  <si>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</si>
  <si>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</si>
  <si>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</si>
  <si>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</si>
  <si>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</si>
  <si>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</si>
  <si>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</si>
  <si>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</si>
  <si>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</si>
  <si>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</si>
  <si>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</si>
  <si>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</si>
  <si>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</si>
  <si>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</si>
  <si>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</si>
  <si>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</si>
  <si>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</si>
  <si>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</si>
  <si>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</si>
  <si>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</si>
  <si>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</si>
  <si>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</si>
  <si>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</si>
  <si>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</si>
  <si>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</si>
  <si>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</si>
  <si>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</si>
  <si>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</si>
  <si>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</si>
  <si>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</si>
  <si>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</si>
  <si>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</si>
  <si>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</si>
  <si>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</si>
  <si>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</si>
  <si>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</si>
  <si>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</si>
  <si>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</si>
  <si>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</si>
  <si>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</si>
  <si>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</si>
  <si>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</si>
  <si>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</si>
  <si>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</si>
  <si>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</si>
  <si>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</si>
  <si>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</si>
  <si>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</si>
  <si>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</si>
  <si>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</si>
  <si>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</si>
  <si>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</si>
  <si>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</si>
  <si>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</si>
  <si>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</si>
  <si>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</si>
  <si>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</si>
  <si>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</si>
  <si>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</si>
  <si>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</si>
  <si>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</si>
  <si>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</si>
  <si>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</si>
  <si>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</si>
  <si>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</si>
  <si>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</si>
  <si>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</si>
  <si>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</si>
  <si>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</si>
  <si>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</si>
  <si>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</si>
  <si>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</si>
  <si>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</si>
  <si>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</si>
  <si>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</si>
  <si>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</si>
  <si>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</si>
  <si>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</si>
  <si>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</si>
  <si>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</si>
  <si>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</si>
  <si>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</si>
  <si>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</si>
  <si>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</si>
  <si>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</si>
  <si>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</si>
  <si>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</si>
  <si>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</si>
  <si>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</si>
  <si>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</si>
  <si>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</si>
  <si>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</si>
  <si>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</si>
  <si>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</si>
  <si>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</si>
  <si>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</si>
  <si>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</si>
  <si>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</si>
  <si>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</si>
  <si>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</si>
  <si>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</si>
  <si>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</si>
  <si>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</si>
  <si>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</si>
  <si>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</si>
  <si>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</si>
  <si>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</si>
  <si>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</si>
  <si>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</si>
  <si>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</si>
  <si>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</si>
  <si>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</si>
  <si>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</si>
  <si>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</si>
  <si>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</si>
  <si>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</si>
  <si>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</si>
  <si>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</si>
  <si>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</si>
  <si>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</si>
  <si>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</si>
  <si>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</si>
  <si>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</si>
  <si>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</si>
  <si>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</si>
  <si>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</si>
  <si>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</si>
  <si>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</si>
  <si>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</si>
  <si>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</si>
  <si>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</si>
  <si>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</si>
  <si>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</si>
  <si>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</si>
  <si>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</si>
  <si>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</si>
  <si>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</si>
  <si>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</si>
  <si>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</si>
  <si>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</si>
  <si>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</si>
  <si>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</si>
  <si>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</si>
  <si>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</si>
  <si>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</si>
  <si>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</si>
  <si>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</si>
  <si>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</si>
  <si>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</si>
  <si>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</si>
  <si>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</si>
  <si>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</si>
  <si>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</si>
  <si>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</si>
  <si>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</si>
  <si>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</si>
  <si>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</si>
  <si>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</si>
  <si>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</si>
  <si>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</si>
  <si>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</si>
  <si>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</si>
  <si>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</si>
  <si>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</si>
  <si>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</si>
  <si>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</si>
  <si>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</si>
  <si>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</si>
  <si>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</si>
  <si>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</si>
  <si>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</si>
  <si>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</si>
  <si>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</si>
  <si>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</si>
  <si>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</si>
  <si>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</si>
  <si>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</si>
  <si>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</si>
  <si>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</si>
  <si>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</si>
  <si>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</si>
  <si>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</si>
  <si>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</si>
  <si>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</si>
  <si>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</si>
  <si>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</si>
  <si>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</si>
  <si>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</si>
  <si>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</si>
  <si>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</si>
  <si>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</si>
  <si>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</si>
  <si>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</si>
  <si>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</si>
  <si>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</si>
  <si>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</si>
  <si>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</si>
  <si>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</si>
  <si>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</si>
  <si>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</si>
  <si>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</si>
  <si>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</si>
  <si>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</si>
  <si>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</si>
  <si>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</si>
  <si>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</si>
  <si>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</si>
  <si>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</si>
  <si>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</si>
  <si>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</si>
  <si>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</si>
  <si>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</si>
  <si>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</si>
  <si>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</si>
  <si>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</si>
  <si>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</si>
  <si>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</si>
  <si>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</si>
  <si>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</si>
  <si>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</si>
  <si>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</si>
  <si>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</si>
  <si>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</si>
  <si>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</si>
  <si>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</si>
  <si>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</si>
  <si>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</si>
  <si>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</si>
  <si>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</si>
  <si>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34003</t>
  </si>
  <si>
    <t>AVELGEM</t>
  </si>
  <si>
    <t>referentietaak LNE (2017); Jaarverslag De Lijn</t>
  </si>
  <si>
    <t>waterkracht</t>
  </si>
  <si>
    <t>Balta Avelgem</t>
  </si>
  <si>
    <t>Avelgem</t>
  </si>
  <si>
    <t>WKK-0546</t>
  </si>
  <si>
    <t>Interne verbrandingsmotor</t>
  </si>
  <si>
    <t>WKK interne verbrandinsgmotor (gas)</t>
  </si>
  <si>
    <t>Nijverheidslaan 15</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</si>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</sst>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84553.939756201391</c:v>
                </c:pt>
                <c:pt idx="1">
                  <c:v>27574.769626389298</c:v>
                </c:pt>
                <c:pt idx="2">
                  <c:v>418.94600000000003</c:v>
                </c:pt>
                <c:pt idx="3">
                  <c:v>3657.6980481818537</c:v>
                </c:pt>
                <c:pt idx="4">
                  <c:v>153243.31556288837</c:v>
                </c:pt>
                <c:pt idx="5">
                  <c:v>42469.435409920887</c:v>
                </c:pt>
                <c:pt idx="6">
                  <c:v>970.57654687366767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84553.939756201391</c:v>
                </c:pt>
                <c:pt idx="1">
                  <c:v>27574.769626389298</c:v>
                </c:pt>
                <c:pt idx="2">
                  <c:v>418.94600000000003</c:v>
                </c:pt>
                <c:pt idx="3">
                  <c:v>3657.6980481818537</c:v>
                </c:pt>
                <c:pt idx="4">
                  <c:v>153243.31556288837</c:v>
                </c:pt>
                <c:pt idx="5">
                  <c:v>42469.435409920887</c:v>
                </c:pt>
                <c:pt idx="6">
                  <c:v>970.57654687366767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17558.217339104071</c:v>
                </c:pt>
                <c:pt idx="1">
                  <c:v>5439.3584061809433</c:v>
                </c:pt>
                <c:pt idx="2">
                  <c:v>79.852267646967974</c:v>
                </c:pt>
                <c:pt idx="3">
                  <c:v>926.18609327517595</c:v>
                </c:pt>
                <c:pt idx="4">
                  <c:v>30249.982163106637</c:v>
                </c:pt>
                <c:pt idx="5">
                  <c:v>10531.678933813761</c:v>
                </c:pt>
                <c:pt idx="6">
                  <c:v>244.17837403959774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17558.217339104071</c:v>
                </c:pt>
                <c:pt idx="1">
                  <c:v>5439.3584061809433</c:v>
                </c:pt>
                <c:pt idx="2">
                  <c:v>79.852267646967974</c:v>
                </c:pt>
                <c:pt idx="3">
                  <c:v>926.18609327517595</c:v>
                </c:pt>
                <c:pt idx="4">
                  <c:v>30249.982163106637</c:v>
                </c:pt>
                <c:pt idx="5">
                  <c:v>10531.678933813761</c:v>
                </c:pt>
                <c:pt idx="6">
                  <c:v>244.17837403959774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34003</v>
      </c>
      <c r="B6" s="386"/>
      <c r="C6" s="387"/>
    </row>
    <row r="7" spans="1:7" s="384" customFormat="1" ht="15.75" customHeight="1">
      <c r="A7" s="388" t="str">
        <f>txtMunicipality</f>
        <v>AVELGEM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13374.522540796415</v>
      </c>
      <c r="D10" s="683">
        <f ca="1">tertiair!C16</f>
        <v>0</v>
      </c>
      <c r="E10" s="683">
        <f ca="1">tertiair!D16</f>
        <v>10516.554605193272</v>
      </c>
      <c r="F10" s="683">
        <f>tertiair!E16</f>
        <v>64.662732015169169</v>
      </c>
      <c r="G10" s="683">
        <f ca="1">tertiair!F16</f>
        <v>3112.2051821381801</v>
      </c>
      <c r="H10" s="683">
        <f>tertiair!G16</f>
        <v>0</v>
      </c>
      <c r="I10" s="683">
        <f>tertiair!H16</f>
        <v>0</v>
      </c>
      <c r="J10" s="683">
        <f>tertiair!I16</f>
        <v>0</v>
      </c>
      <c r="K10" s="683">
        <f>tertiair!J16</f>
        <v>2.3700324618477972E-2</v>
      </c>
      <c r="L10" s="683">
        <f>tertiair!K16</f>
        <v>0</v>
      </c>
      <c r="M10" s="683">
        <f ca="1">tertiair!L16</f>
        <v>0</v>
      </c>
      <c r="N10" s="683">
        <f>tertiair!M16</f>
        <v>0</v>
      </c>
      <c r="O10" s="683">
        <f ca="1">tertiair!N16</f>
        <v>911.05508362411854</v>
      </c>
      <c r="P10" s="683">
        <f>tertiair!O16</f>
        <v>14.691782297523464</v>
      </c>
      <c r="Q10" s="684">
        <f>tertiair!P16</f>
        <v>0</v>
      </c>
      <c r="R10" s="686">
        <f ca="1">SUM(C10:Q10)</f>
        <v>27993.715626389294</v>
      </c>
      <c r="S10" s="67"/>
    </row>
    <row r="11" spans="1:19" s="445" customFormat="1">
      <c r="A11" s="804" t="s">
        <v>220</v>
      </c>
      <c r="B11" s="809"/>
      <c r="C11" s="683">
        <f>huishoudens!B8</f>
        <v>18936.031221840924</v>
      </c>
      <c r="D11" s="683">
        <f>huishoudens!C8</f>
        <v>0</v>
      </c>
      <c r="E11" s="683">
        <f>huishoudens!D8</f>
        <v>26976.484787080932</v>
      </c>
      <c r="F11" s="683">
        <f>huishoudens!E8</f>
        <v>1388.7821165154762</v>
      </c>
      <c r="G11" s="683">
        <f>huishoudens!F8</f>
        <v>30423.501640189006</v>
      </c>
      <c r="H11" s="683">
        <f>huishoudens!G8</f>
        <v>0</v>
      </c>
      <c r="I11" s="683">
        <f>huishoudens!H8</f>
        <v>0</v>
      </c>
      <c r="J11" s="683">
        <f>huishoudens!I8</f>
        <v>0</v>
      </c>
      <c r="K11" s="683">
        <f>huishoudens!J8</f>
        <v>173.3868633801506</v>
      </c>
      <c r="L11" s="683">
        <f>huishoudens!K8</f>
        <v>0</v>
      </c>
      <c r="M11" s="683">
        <f>huishoudens!L8</f>
        <v>0</v>
      </c>
      <c r="N11" s="683">
        <f>huishoudens!M8</f>
        <v>0</v>
      </c>
      <c r="O11" s="683">
        <f>huishoudens!N8</f>
        <v>6035.0087578388484</v>
      </c>
      <c r="P11" s="683">
        <f>huishoudens!O8</f>
        <v>420.59914251005074</v>
      </c>
      <c r="Q11" s="684">
        <f>huishoudens!P8</f>
        <v>200.14522684601545</v>
      </c>
      <c r="R11" s="686">
        <f>SUM(C11:Q11)</f>
        <v>84553.939756201391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90905.163021931396</v>
      </c>
      <c r="D13" s="683">
        <f>industrie!C18</f>
        <v>6499.2857142857129</v>
      </c>
      <c r="E13" s="683">
        <f>industrie!D18</f>
        <v>52916.976066719253</v>
      </c>
      <c r="F13" s="683">
        <f>industrie!E18</f>
        <v>90.355110390222904</v>
      </c>
      <c r="G13" s="683">
        <f>industrie!F18</f>
        <v>2504.6516644803978</v>
      </c>
      <c r="H13" s="683">
        <f>industrie!G18</f>
        <v>0</v>
      </c>
      <c r="I13" s="683">
        <f>industrie!H18</f>
        <v>0</v>
      </c>
      <c r="J13" s="683">
        <f>industrie!I18</f>
        <v>0</v>
      </c>
      <c r="K13" s="683">
        <f>industrie!J18</f>
        <v>0.53241093725132727</v>
      </c>
      <c r="L13" s="683">
        <f>industrie!K18</f>
        <v>0</v>
      </c>
      <c r="M13" s="683">
        <f>industrie!L18</f>
        <v>0</v>
      </c>
      <c r="N13" s="683">
        <f>industrie!M18</f>
        <v>0</v>
      </c>
      <c r="O13" s="683">
        <f>industrie!N18</f>
        <v>326.3515741441592</v>
      </c>
      <c r="P13" s="683">
        <f>industrie!O18</f>
        <v>0</v>
      </c>
      <c r="Q13" s="684">
        <f>industrie!P18</f>
        <v>0</v>
      </c>
      <c r="R13" s="686">
        <f>SUM(C13:Q13)</f>
        <v>153243.31556288837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123215.71678456874</v>
      </c>
      <c r="D16" s="719">
        <f t="shared" ref="D16:R16" ca="1" si="0">SUM(D9:D15)</f>
        <v>6499.2857142857129</v>
      </c>
      <c r="E16" s="719">
        <f t="shared" ca="1" si="0"/>
        <v>90410.015458993468</v>
      </c>
      <c r="F16" s="719">
        <f t="shared" si="0"/>
        <v>1543.7999589208684</v>
      </c>
      <c r="G16" s="719">
        <f t="shared" ca="1" si="0"/>
        <v>36040.358486807585</v>
      </c>
      <c r="H16" s="719">
        <f t="shared" si="0"/>
        <v>0</v>
      </c>
      <c r="I16" s="719">
        <f t="shared" si="0"/>
        <v>0</v>
      </c>
      <c r="J16" s="719">
        <f t="shared" si="0"/>
        <v>0</v>
      </c>
      <c r="K16" s="719">
        <f t="shared" si="0"/>
        <v>173.9429746420204</v>
      </c>
      <c r="L16" s="719">
        <f t="shared" si="0"/>
        <v>0</v>
      </c>
      <c r="M16" s="719">
        <f t="shared" ca="1" si="0"/>
        <v>0</v>
      </c>
      <c r="N16" s="719">
        <f t="shared" si="0"/>
        <v>0</v>
      </c>
      <c r="O16" s="719">
        <f t="shared" ca="1" si="0"/>
        <v>7272.4154156071254</v>
      </c>
      <c r="P16" s="719">
        <f t="shared" si="0"/>
        <v>435.29092480757419</v>
      </c>
      <c r="Q16" s="719">
        <f t="shared" si="0"/>
        <v>200.14522684601545</v>
      </c>
      <c r="R16" s="719">
        <f t="shared" ca="1" si="0"/>
        <v>265790.97094547906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14.4436299266031</v>
      </c>
      <c r="D19" s="683">
        <f>transport!C54</f>
        <v>0</v>
      </c>
      <c r="E19" s="683">
        <f>transport!D54</f>
        <v>0</v>
      </c>
      <c r="F19" s="683">
        <f>transport!E54</f>
        <v>0</v>
      </c>
      <c r="G19" s="683">
        <f>transport!F54</f>
        <v>0</v>
      </c>
      <c r="H19" s="683">
        <f>transport!G54</f>
        <v>904.21489955683899</v>
      </c>
      <c r="I19" s="683">
        <f>transport!H54</f>
        <v>0</v>
      </c>
      <c r="J19" s="683">
        <f>transport!I54</f>
        <v>0</v>
      </c>
      <c r="K19" s="683">
        <f>transport!J54</f>
        <v>0</v>
      </c>
      <c r="L19" s="683">
        <f>transport!K54</f>
        <v>0</v>
      </c>
      <c r="M19" s="683">
        <f>transport!L54</f>
        <v>0</v>
      </c>
      <c r="N19" s="683">
        <f>transport!M54</f>
        <v>51.918017390225607</v>
      </c>
      <c r="O19" s="683">
        <f>transport!N54</f>
        <v>0</v>
      </c>
      <c r="P19" s="683">
        <f>transport!O54</f>
        <v>0</v>
      </c>
      <c r="Q19" s="684">
        <f>transport!P54</f>
        <v>0</v>
      </c>
      <c r="R19" s="686">
        <f>SUM(C19:Q19)</f>
        <v>970.57654687366767</v>
      </c>
      <c r="S19" s="67"/>
    </row>
    <row r="20" spans="1:19" s="445" customFormat="1">
      <c r="A20" s="804" t="s">
        <v>302</v>
      </c>
      <c r="B20" s="809"/>
      <c r="C20" s="683">
        <f>transport!B14</f>
        <v>96.931200352968432</v>
      </c>
      <c r="D20" s="683">
        <f>transport!C14</f>
        <v>0</v>
      </c>
      <c r="E20" s="683">
        <f>transport!D14</f>
        <v>167.69639405965256</v>
      </c>
      <c r="F20" s="683">
        <f>transport!E14</f>
        <v>66.074029216525915</v>
      </c>
      <c r="G20" s="683">
        <f>transport!F14</f>
        <v>0</v>
      </c>
      <c r="H20" s="683">
        <f>transport!G14</f>
        <v>31532.88462060229</v>
      </c>
      <c r="I20" s="683">
        <f>transport!H14</f>
        <v>8213.0518421459255</v>
      </c>
      <c r="J20" s="683">
        <f>transport!I14</f>
        <v>0</v>
      </c>
      <c r="K20" s="683">
        <f>transport!J14</f>
        <v>0</v>
      </c>
      <c r="L20" s="683">
        <f>transport!K14</f>
        <v>0</v>
      </c>
      <c r="M20" s="683">
        <f>transport!L14</f>
        <v>0</v>
      </c>
      <c r="N20" s="683">
        <f>transport!M14</f>
        <v>2392.7973235435275</v>
      </c>
      <c r="O20" s="683">
        <f>transport!N14</f>
        <v>0</v>
      </c>
      <c r="P20" s="683">
        <f>transport!O14</f>
        <v>0</v>
      </c>
      <c r="Q20" s="684">
        <f>transport!P14</f>
        <v>0</v>
      </c>
      <c r="R20" s="686">
        <f>SUM(C20:Q20)</f>
        <v>42469.435409920887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111.37483027957153</v>
      </c>
      <c r="D22" s="807">
        <f t="shared" ref="D22:R22" si="1">SUM(D18:D21)</f>
        <v>0</v>
      </c>
      <c r="E22" s="807">
        <f t="shared" si="1"/>
        <v>167.69639405965256</v>
      </c>
      <c r="F22" s="807">
        <f t="shared" si="1"/>
        <v>66.074029216525915</v>
      </c>
      <c r="G22" s="807">
        <f t="shared" si="1"/>
        <v>0</v>
      </c>
      <c r="H22" s="807">
        <f t="shared" si="1"/>
        <v>32437.099520159129</v>
      </c>
      <c r="I22" s="807">
        <f t="shared" si="1"/>
        <v>8213.0518421459255</v>
      </c>
      <c r="J22" s="807">
        <f t="shared" si="1"/>
        <v>0</v>
      </c>
      <c r="K22" s="807">
        <f t="shared" si="1"/>
        <v>0</v>
      </c>
      <c r="L22" s="807">
        <f t="shared" si="1"/>
        <v>0</v>
      </c>
      <c r="M22" s="807">
        <f t="shared" si="1"/>
        <v>0</v>
      </c>
      <c r="N22" s="807">
        <f t="shared" si="1"/>
        <v>2444.7153409337529</v>
      </c>
      <c r="O22" s="807">
        <f t="shared" si="1"/>
        <v>0</v>
      </c>
      <c r="P22" s="807">
        <f t="shared" si="1"/>
        <v>0</v>
      </c>
      <c r="Q22" s="807">
        <f t="shared" si="1"/>
        <v>0</v>
      </c>
      <c r="R22" s="807">
        <f t="shared" si="1"/>
        <v>43440.011956794551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801.50535772364094</v>
      </c>
      <c r="D24" s="683">
        <f>+landbouw!C8</f>
        <v>0</v>
      </c>
      <c r="E24" s="683">
        <f>+landbouw!D8</f>
        <v>92.286642645130385</v>
      </c>
      <c r="F24" s="683">
        <f>+landbouw!E8</f>
        <v>22.956469840598473</v>
      </c>
      <c r="G24" s="683">
        <f>+landbouw!F8</f>
        <v>2537.1519346887931</v>
      </c>
      <c r="H24" s="683">
        <f>+landbouw!G8</f>
        <v>0</v>
      </c>
      <c r="I24" s="683">
        <f>+landbouw!H8</f>
        <v>0</v>
      </c>
      <c r="J24" s="683">
        <f>+landbouw!I8</f>
        <v>0</v>
      </c>
      <c r="K24" s="683">
        <f>+landbouw!J8</f>
        <v>203.79764328369103</v>
      </c>
      <c r="L24" s="683">
        <f>+landbouw!K8</f>
        <v>0</v>
      </c>
      <c r="M24" s="683">
        <f>+landbouw!L8</f>
        <v>0</v>
      </c>
      <c r="N24" s="683">
        <f>+landbouw!M8</f>
        <v>0</v>
      </c>
      <c r="O24" s="683">
        <f>+landbouw!N8</f>
        <v>0</v>
      </c>
      <c r="P24" s="683">
        <f>+landbouw!O8</f>
        <v>0</v>
      </c>
      <c r="Q24" s="684">
        <f>+landbouw!P8</f>
        <v>0</v>
      </c>
      <c r="R24" s="686">
        <f>SUM(C24:Q24)</f>
        <v>3657.6980481818537</v>
      </c>
      <c r="S24" s="67"/>
    </row>
    <row r="25" spans="1:19" s="445" customFormat="1" ht="15" thickBot="1">
      <c r="A25" s="826" t="s">
        <v>696</v>
      </c>
      <c r="B25" s="939"/>
      <c r="C25" s="940">
        <f>IF(Onbekend_ele_kWh="---",0,Onbekend_ele_kWh)/1000+IF(REST_rest_ele_kWh="---",0,REST_rest_ele_kWh)/1000</f>
        <v>830.97416427267797</v>
      </c>
      <c r="D25" s="940"/>
      <c r="E25" s="940">
        <f>IF(onbekend_gas_kWh="---",0,onbekend_gas_kWh)/1000+IF(REST_rest_gas_kWh="---",0,REST_rest_gas_kWh)/1000</f>
        <v>888.33026318615202</v>
      </c>
      <c r="F25" s="940"/>
      <c r="G25" s="940"/>
      <c r="H25" s="940"/>
      <c r="I25" s="940"/>
      <c r="J25" s="940"/>
      <c r="K25" s="940"/>
      <c r="L25" s="940"/>
      <c r="M25" s="940"/>
      <c r="N25" s="940"/>
      <c r="O25" s="940"/>
      <c r="P25" s="940"/>
      <c r="Q25" s="941"/>
      <c r="R25" s="686">
        <f>SUM(C25:Q25)</f>
        <v>1719.3044274588301</v>
      </c>
      <c r="S25" s="67"/>
    </row>
    <row r="26" spans="1:19" s="445" customFormat="1" ht="15.75" thickBot="1">
      <c r="A26" s="691" t="s">
        <v>697</v>
      </c>
      <c r="B26" s="812"/>
      <c r="C26" s="807">
        <f>SUM(C24:C25)</f>
        <v>1632.4795219963189</v>
      </c>
      <c r="D26" s="807">
        <f t="shared" ref="D26:R26" si="2">SUM(D24:D25)</f>
        <v>0</v>
      </c>
      <c r="E26" s="807">
        <f t="shared" si="2"/>
        <v>980.61690583128245</v>
      </c>
      <c r="F26" s="807">
        <f t="shared" si="2"/>
        <v>22.956469840598473</v>
      </c>
      <c r="G26" s="807">
        <f t="shared" si="2"/>
        <v>2537.1519346887931</v>
      </c>
      <c r="H26" s="807">
        <f t="shared" si="2"/>
        <v>0</v>
      </c>
      <c r="I26" s="807">
        <f t="shared" si="2"/>
        <v>0</v>
      </c>
      <c r="J26" s="807">
        <f t="shared" si="2"/>
        <v>0</v>
      </c>
      <c r="K26" s="807">
        <f t="shared" si="2"/>
        <v>203.79764328369103</v>
      </c>
      <c r="L26" s="807">
        <f t="shared" si="2"/>
        <v>0</v>
      </c>
      <c r="M26" s="807">
        <f t="shared" si="2"/>
        <v>0</v>
      </c>
      <c r="N26" s="807">
        <f t="shared" si="2"/>
        <v>0</v>
      </c>
      <c r="O26" s="807">
        <f t="shared" si="2"/>
        <v>0</v>
      </c>
      <c r="P26" s="807">
        <f t="shared" si="2"/>
        <v>0</v>
      </c>
      <c r="Q26" s="807">
        <f t="shared" si="2"/>
        <v>0</v>
      </c>
      <c r="R26" s="807">
        <f t="shared" si="2"/>
        <v>5377.0024756406838</v>
      </c>
      <c r="S26" s="67"/>
    </row>
    <row r="27" spans="1:19" s="445" customFormat="1" ht="17.25" thickTop="1" thickBot="1">
      <c r="A27" s="692" t="s">
        <v>115</v>
      </c>
      <c r="B27" s="799"/>
      <c r="C27" s="693">
        <f ca="1">C22+C16+C26</f>
        <v>124959.57113684462</v>
      </c>
      <c r="D27" s="693">
        <f t="shared" ref="D27:R27" ca="1" si="3">D22+D16+D26</f>
        <v>6499.2857142857129</v>
      </c>
      <c r="E27" s="693">
        <f t="shared" ca="1" si="3"/>
        <v>91558.328758884396</v>
      </c>
      <c r="F27" s="693">
        <f t="shared" si="3"/>
        <v>1632.8304579779929</v>
      </c>
      <c r="G27" s="693">
        <f t="shared" ca="1" si="3"/>
        <v>38577.510421496379</v>
      </c>
      <c r="H27" s="693">
        <f t="shared" si="3"/>
        <v>32437.099520159129</v>
      </c>
      <c r="I27" s="693">
        <f t="shared" si="3"/>
        <v>8213.0518421459255</v>
      </c>
      <c r="J27" s="693">
        <f t="shared" si="3"/>
        <v>0</v>
      </c>
      <c r="K27" s="693">
        <f t="shared" si="3"/>
        <v>377.74061792571143</v>
      </c>
      <c r="L27" s="693">
        <f t="shared" si="3"/>
        <v>0</v>
      </c>
      <c r="M27" s="693">
        <f t="shared" ca="1" si="3"/>
        <v>0</v>
      </c>
      <c r="N27" s="693">
        <f t="shared" si="3"/>
        <v>2444.7153409337529</v>
      </c>
      <c r="O27" s="693">
        <f t="shared" ca="1" si="3"/>
        <v>7272.4154156071254</v>
      </c>
      <c r="P27" s="693">
        <f t="shared" si="3"/>
        <v>435.29092480757419</v>
      </c>
      <c r="Q27" s="693">
        <f t="shared" si="3"/>
        <v>200.14522684601545</v>
      </c>
      <c r="R27" s="693">
        <f t="shared" ca="1" si="3"/>
        <v>314607.98537791427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2549.2210298656187</v>
      </c>
      <c r="D40" s="683">
        <f ca="1">tertiair!C20</f>
        <v>0</v>
      </c>
      <c r="E40" s="683">
        <f ca="1">tertiair!D20</f>
        <v>2124.3440302490412</v>
      </c>
      <c r="F40" s="683">
        <f>tertiair!E20</f>
        <v>14.678440167443402</v>
      </c>
      <c r="G40" s="683">
        <f ca="1">tertiair!F20</f>
        <v>830.95878363089412</v>
      </c>
      <c r="H40" s="683">
        <f>tertiair!G20</f>
        <v>0</v>
      </c>
      <c r="I40" s="683">
        <f>tertiair!H20</f>
        <v>0</v>
      </c>
      <c r="J40" s="683">
        <f>tertiair!I20</f>
        <v>0</v>
      </c>
      <c r="K40" s="683">
        <f>tertiair!J20</f>
        <v>8.389914914941201E-3</v>
      </c>
      <c r="L40" s="683">
        <f>tertiair!K20</f>
        <v>0</v>
      </c>
      <c r="M40" s="683">
        <f ca="1">tertiair!L20</f>
        <v>0</v>
      </c>
      <c r="N40" s="683">
        <f>tertiair!M20</f>
        <v>0</v>
      </c>
      <c r="O40" s="683">
        <f ca="1">tertiair!N20</f>
        <v>0</v>
      </c>
      <c r="P40" s="683">
        <f>tertiair!O20</f>
        <v>0</v>
      </c>
      <c r="Q40" s="766">
        <f>tertiair!P20</f>
        <v>0</v>
      </c>
      <c r="R40" s="845">
        <f t="shared" ca="1" si="4"/>
        <v>5519.2106738279117</v>
      </c>
    </row>
    <row r="41" spans="1:18">
      <c r="A41" s="817" t="s">
        <v>220</v>
      </c>
      <c r="B41" s="824"/>
      <c r="C41" s="683">
        <f ca="1">huishoudens!B12</f>
        <v>3609.2599840976723</v>
      </c>
      <c r="D41" s="683">
        <f ca="1">huishoudens!C12</f>
        <v>0</v>
      </c>
      <c r="E41" s="683">
        <f>huishoudens!D12</f>
        <v>5449.2499269903483</v>
      </c>
      <c r="F41" s="683">
        <f>huishoudens!E12</f>
        <v>315.25354044901309</v>
      </c>
      <c r="G41" s="683">
        <f>huishoudens!F12</f>
        <v>8123.0749379304652</v>
      </c>
      <c r="H41" s="683">
        <f>huishoudens!G12</f>
        <v>0</v>
      </c>
      <c r="I41" s="683">
        <f>huishoudens!H12</f>
        <v>0</v>
      </c>
      <c r="J41" s="683">
        <f>huishoudens!I12</f>
        <v>0</v>
      </c>
      <c r="K41" s="683">
        <f>huishoudens!J12</f>
        <v>61.37894963657331</v>
      </c>
      <c r="L41" s="683">
        <f>huishoudens!K12</f>
        <v>0</v>
      </c>
      <c r="M41" s="683">
        <f>huishoudens!L12</f>
        <v>0</v>
      </c>
      <c r="N41" s="683">
        <f>huishoudens!M12</f>
        <v>0</v>
      </c>
      <c r="O41" s="683">
        <f>huishoudens!N12</f>
        <v>0</v>
      </c>
      <c r="P41" s="683">
        <f>huishoudens!O12</f>
        <v>0</v>
      </c>
      <c r="Q41" s="766">
        <f>huishoudens!P12</f>
        <v>0</v>
      </c>
      <c r="R41" s="845">
        <f t="shared" ca="1" si="4"/>
        <v>17558.217339104071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17326.775785228936</v>
      </c>
      <c r="D43" s="683">
        <f ca="1">industrie!C22</f>
        <v>1544.5361344537814</v>
      </c>
      <c r="E43" s="683">
        <f>industrie!D22</f>
        <v>10689.229165477289</v>
      </c>
      <c r="F43" s="683">
        <f>industrie!E22</f>
        <v>20.5106100585806</v>
      </c>
      <c r="G43" s="683">
        <f>industrie!F22</f>
        <v>668.74199441626627</v>
      </c>
      <c r="H43" s="683">
        <f>industrie!G22</f>
        <v>0</v>
      </c>
      <c r="I43" s="683">
        <f>industrie!H22</f>
        <v>0</v>
      </c>
      <c r="J43" s="683">
        <f>industrie!I22</f>
        <v>0</v>
      </c>
      <c r="K43" s="683">
        <f>industrie!J22</f>
        <v>0.18847347178696985</v>
      </c>
      <c r="L43" s="683">
        <f>industrie!K22</f>
        <v>0</v>
      </c>
      <c r="M43" s="683">
        <f>industrie!L22</f>
        <v>0</v>
      </c>
      <c r="N43" s="683">
        <f>industrie!M22</f>
        <v>0</v>
      </c>
      <c r="O43" s="683">
        <f>industrie!N22</f>
        <v>0</v>
      </c>
      <c r="P43" s="683">
        <f>industrie!O22</f>
        <v>0</v>
      </c>
      <c r="Q43" s="766">
        <f>industrie!P22</f>
        <v>0</v>
      </c>
      <c r="R43" s="844">
        <f t="shared" ca="1" si="4"/>
        <v>30249.982163106637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23485.256799192226</v>
      </c>
      <c r="D46" s="719">
        <f t="shared" ref="D46:Q46" ca="1" si="5">SUM(D39:D45)</f>
        <v>1544.5361344537814</v>
      </c>
      <c r="E46" s="719">
        <f t="shared" ca="1" si="5"/>
        <v>18262.823122716676</v>
      </c>
      <c r="F46" s="719">
        <f t="shared" si="5"/>
        <v>350.44259067503708</v>
      </c>
      <c r="G46" s="719">
        <f t="shared" ca="1" si="5"/>
        <v>9622.7757159776265</v>
      </c>
      <c r="H46" s="719">
        <f t="shared" si="5"/>
        <v>0</v>
      </c>
      <c r="I46" s="719">
        <f t="shared" si="5"/>
        <v>0</v>
      </c>
      <c r="J46" s="719">
        <f t="shared" si="5"/>
        <v>0</v>
      </c>
      <c r="K46" s="719">
        <f t="shared" si="5"/>
        <v>61.575813023275224</v>
      </c>
      <c r="L46" s="719">
        <f t="shared" si="5"/>
        <v>0</v>
      </c>
      <c r="M46" s="719">
        <f t="shared" ca="1" si="5"/>
        <v>0</v>
      </c>
      <c r="N46" s="719">
        <f t="shared" si="5"/>
        <v>0</v>
      </c>
      <c r="O46" s="719">
        <f t="shared" ca="1" si="5"/>
        <v>0</v>
      </c>
      <c r="P46" s="719">
        <f t="shared" si="5"/>
        <v>0</v>
      </c>
      <c r="Q46" s="719">
        <f t="shared" si="5"/>
        <v>0</v>
      </c>
      <c r="R46" s="719">
        <f ca="1">SUM(R39:R45)</f>
        <v>53327.410176038618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2.752995857921706</v>
      </c>
      <c r="D49" s="683">
        <f ca="1">transport!C58</f>
        <v>0</v>
      </c>
      <c r="E49" s="683">
        <f>transport!D58</f>
        <v>0</v>
      </c>
      <c r="F49" s="683">
        <f>transport!E58</f>
        <v>0</v>
      </c>
      <c r="G49" s="683">
        <f>transport!F58</f>
        <v>0</v>
      </c>
      <c r="H49" s="683">
        <f>transport!G58</f>
        <v>241.42537818167602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244.17837403959774</v>
      </c>
    </row>
    <row r="50" spans="1:18">
      <c r="A50" s="820" t="s">
        <v>302</v>
      </c>
      <c r="B50" s="830"/>
      <c r="C50" s="689">
        <f ca="1">transport!B18</f>
        <v>18.475355186413314</v>
      </c>
      <c r="D50" s="689">
        <f>transport!C18</f>
        <v>0</v>
      </c>
      <c r="E50" s="689">
        <f>transport!D18</f>
        <v>33.874671600049822</v>
      </c>
      <c r="F50" s="689">
        <f>transport!E18</f>
        <v>14.998804632151383</v>
      </c>
      <c r="G50" s="689">
        <f>transport!F18</f>
        <v>0</v>
      </c>
      <c r="H50" s="689">
        <f>transport!G18</f>
        <v>8419.2801937008117</v>
      </c>
      <c r="I50" s="689">
        <f>transport!H18</f>
        <v>2045.0499086943355</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10531.678933813761</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21.228351044335021</v>
      </c>
      <c r="D52" s="719">
        <f t="shared" ref="D52:Q52" ca="1" si="6">SUM(D48:D51)</f>
        <v>0</v>
      </c>
      <c r="E52" s="719">
        <f t="shared" si="6"/>
        <v>33.874671600049822</v>
      </c>
      <c r="F52" s="719">
        <f t="shared" si="6"/>
        <v>14.998804632151383</v>
      </c>
      <c r="G52" s="719">
        <f t="shared" si="6"/>
        <v>0</v>
      </c>
      <c r="H52" s="719">
        <f t="shared" si="6"/>
        <v>8660.7055718824886</v>
      </c>
      <c r="I52" s="719">
        <f t="shared" si="6"/>
        <v>2045.0499086943355</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10775.857307853359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152.76914052270934</v>
      </c>
      <c r="D54" s="689">
        <f ca="1">+landbouw!C12</f>
        <v>0</v>
      </c>
      <c r="E54" s="689">
        <f>+landbouw!D12</f>
        <v>18.641901814316338</v>
      </c>
      <c r="F54" s="689">
        <f>+landbouw!E12</f>
        <v>5.2111186538158538</v>
      </c>
      <c r="G54" s="689">
        <f>+landbouw!F12</f>
        <v>677.4195665619078</v>
      </c>
      <c r="H54" s="689">
        <f>+landbouw!G12</f>
        <v>0</v>
      </c>
      <c r="I54" s="689">
        <f>+landbouw!H12</f>
        <v>0</v>
      </c>
      <c r="J54" s="689">
        <f>+landbouw!I12</f>
        <v>0</v>
      </c>
      <c r="K54" s="689">
        <f>+landbouw!J12</f>
        <v>72.144365722426627</v>
      </c>
      <c r="L54" s="689">
        <f>+landbouw!K12</f>
        <v>0</v>
      </c>
      <c r="M54" s="689">
        <f>+landbouw!L12</f>
        <v>0</v>
      </c>
      <c r="N54" s="689">
        <f>+landbouw!M12</f>
        <v>0</v>
      </c>
      <c r="O54" s="689">
        <f>+landbouw!N12</f>
        <v>0</v>
      </c>
      <c r="P54" s="689">
        <f>+landbouw!O12</f>
        <v>0</v>
      </c>
      <c r="Q54" s="690">
        <f>+landbouw!P12</f>
        <v>0</v>
      </c>
      <c r="R54" s="718">
        <f ca="1">SUM(C54:Q54)</f>
        <v>926.18609327517595</v>
      </c>
    </row>
    <row r="55" spans="1:18" ht="15" thickBot="1">
      <c r="A55" s="820" t="s">
        <v>696</v>
      </c>
      <c r="B55" s="830"/>
      <c r="C55" s="689">
        <f ca="1">C25*'EF ele_warmte'!B12</f>
        <v>158.38597664906078</v>
      </c>
      <c r="D55" s="689"/>
      <c r="E55" s="689">
        <f>E25*EF_CO2_aardgas</f>
        <v>179.44271316360272</v>
      </c>
      <c r="F55" s="689"/>
      <c r="G55" s="689"/>
      <c r="H55" s="689"/>
      <c r="I55" s="689"/>
      <c r="J55" s="689"/>
      <c r="K55" s="689"/>
      <c r="L55" s="689"/>
      <c r="M55" s="689"/>
      <c r="N55" s="689"/>
      <c r="O55" s="689"/>
      <c r="P55" s="689"/>
      <c r="Q55" s="690"/>
      <c r="R55" s="718">
        <f ca="1">SUM(C55:Q55)</f>
        <v>337.82868981266347</v>
      </c>
    </row>
    <row r="56" spans="1:18" ht="15.75" thickBot="1">
      <c r="A56" s="818" t="s">
        <v>697</v>
      </c>
      <c r="B56" s="831"/>
      <c r="C56" s="719">
        <f ca="1">SUM(C54:C55)</f>
        <v>311.15511717177014</v>
      </c>
      <c r="D56" s="719">
        <f t="shared" ref="D56:Q56" ca="1" si="7">SUM(D54:D55)</f>
        <v>0</v>
      </c>
      <c r="E56" s="719">
        <f t="shared" si="7"/>
        <v>198.08461497791905</v>
      </c>
      <c r="F56" s="719">
        <f t="shared" si="7"/>
        <v>5.2111186538158538</v>
      </c>
      <c r="G56" s="719">
        <f t="shared" si="7"/>
        <v>677.4195665619078</v>
      </c>
      <c r="H56" s="719">
        <f t="shared" si="7"/>
        <v>0</v>
      </c>
      <c r="I56" s="719">
        <f t="shared" si="7"/>
        <v>0</v>
      </c>
      <c r="J56" s="719">
        <f t="shared" si="7"/>
        <v>0</v>
      </c>
      <c r="K56" s="719">
        <f t="shared" si="7"/>
        <v>72.144365722426627</v>
      </c>
      <c r="L56" s="719">
        <f t="shared" si="7"/>
        <v>0</v>
      </c>
      <c r="M56" s="719">
        <f t="shared" si="7"/>
        <v>0</v>
      </c>
      <c r="N56" s="719">
        <f t="shared" si="7"/>
        <v>0</v>
      </c>
      <c r="O56" s="719">
        <f t="shared" si="7"/>
        <v>0</v>
      </c>
      <c r="P56" s="719">
        <f t="shared" si="7"/>
        <v>0</v>
      </c>
      <c r="Q56" s="720">
        <f t="shared" si="7"/>
        <v>0</v>
      </c>
      <c r="R56" s="721">
        <f ca="1">SUM(R54:R55)</f>
        <v>1264.0147830878395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23817.640267408329</v>
      </c>
      <c r="D61" s="727">
        <f t="shared" ref="D61:Q61" ca="1" si="8">D46+D52+D56</f>
        <v>1544.5361344537814</v>
      </c>
      <c r="E61" s="727">
        <f t="shared" ca="1" si="8"/>
        <v>18494.782409294647</v>
      </c>
      <c r="F61" s="727">
        <f t="shared" si="8"/>
        <v>370.65251396100433</v>
      </c>
      <c r="G61" s="727">
        <f t="shared" ca="1" si="8"/>
        <v>10300.195282539535</v>
      </c>
      <c r="H61" s="727">
        <f t="shared" si="8"/>
        <v>8660.7055718824886</v>
      </c>
      <c r="I61" s="727">
        <f t="shared" si="8"/>
        <v>2045.0499086943355</v>
      </c>
      <c r="J61" s="727">
        <f t="shared" si="8"/>
        <v>0</v>
      </c>
      <c r="K61" s="727">
        <f t="shared" si="8"/>
        <v>133.72017874570184</v>
      </c>
      <c r="L61" s="727">
        <f t="shared" si="8"/>
        <v>0</v>
      </c>
      <c r="M61" s="727">
        <f t="shared" ca="1" si="8"/>
        <v>0</v>
      </c>
      <c r="N61" s="727">
        <f t="shared" si="8"/>
        <v>0</v>
      </c>
      <c r="O61" s="727">
        <f t="shared" ca="1" si="8"/>
        <v>0</v>
      </c>
      <c r="P61" s="727">
        <f t="shared" si="8"/>
        <v>0</v>
      </c>
      <c r="Q61" s="727">
        <f t="shared" si="8"/>
        <v>0</v>
      </c>
      <c r="R61" s="727">
        <f ca="1">R46+R52+R56</f>
        <v>65367.282266979819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0.19060276896537492</v>
      </c>
      <c r="D63" s="773">
        <f t="shared" ca="1" si="9"/>
        <v>0.23764705882352946</v>
      </c>
      <c r="E63" s="965">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14299.523641440521</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3230.6154895638933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4549.4999999999991</v>
      </c>
      <c r="D76" s="948">
        <f>'lokale energieproductie'!C8</f>
        <v>5352.3529411764703</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1081.1752941176471</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17530.139131004413</v>
      </c>
      <c r="C78" s="745">
        <f>SUM(C72:C77)</f>
        <v>4549.4999999999991</v>
      </c>
      <c r="D78" s="746">
        <f t="shared" ref="D78:H78" si="10">SUM(D76:D77)</f>
        <v>5352.3529411764703</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1081.1752941176471</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6499.2857142857129</v>
      </c>
      <c r="D87" s="769">
        <f>'lokale energieproductie'!C17</f>
        <v>7646.2184873949573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1544.5361344537814</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6499.2857142857129</v>
      </c>
      <c r="D90" s="745">
        <f t="shared" ref="D90:H90" si="12">SUM(D87:D89)</f>
        <v>7646.2184873949573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1544.5361344537814</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18936.031221840924</v>
      </c>
      <c r="C4" s="449">
        <f>huishoudens!C8</f>
        <v>0</v>
      </c>
      <c r="D4" s="449">
        <f>huishoudens!D8</f>
        <v>26976.484787080932</v>
      </c>
      <c r="E4" s="449">
        <f>huishoudens!E8</f>
        <v>1388.7821165154762</v>
      </c>
      <c r="F4" s="449">
        <f>huishoudens!F8</f>
        <v>30423.501640189006</v>
      </c>
      <c r="G4" s="449">
        <f>huishoudens!G8</f>
        <v>0</v>
      </c>
      <c r="H4" s="449">
        <f>huishoudens!H8</f>
        <v>0</v>
      </c>
      <c r="I4" s="449">
        <f>huishoudens!I8</f>
        <v>0</v>
      </c>
      <c r="J4" s="449">
        <f>huishoudens!J8</f>
        <v>173.3868633801506</v>
      </c>
      <c r="K4" s="449">
        <f>huishoudens!K8</f>
        <v>0</v>
      </c>
      <c r="L4" s="449">
        <f>huishoudens!L8</f>
        <v>0</v>
      </c>
      <c r="M4" s="449">
        <f>huishoudens!M8</f>
        <v>0</v>
      </c>
      <c r="N4" s="449">
        <f>huishoudens!N8</f>
        <v>6035.0087578388484</v>
      </c>
      <c r="O4" s="449">
        <f>huishoudens!O8</f>
        <v>420.59914251005074</v>
      </c>
      <c r="P4" s="450">
        <f>huishoudens!P8</f>
        <v>200.14522684601545</v>
      </c>
      <c r="Q4" s="451">
        <f>SUM(B4:P4)</f>
        <v>84553.939756201391</v>
      </c>
    </row>
    <row r="5" spans="1:17">
      <c r="A5" s="448" t="s">
        <v>155</v>
      </c>
      <c r="B5" s="449">
        <f ca="1">tertiair!B16</f>
        <v>12955.576540796415</v>
      </c>
      <c r="C5" s="449">
        <f ca="1">tertiair!C16</f>
        <v>0</v>
      </c>
      <c r="D5" s="449">
        <f ca="1">tertiair!D16</f>
        <v>10516.554605193272</v>
      </c>
      <c r="E5" s="449">
        <f>tertiair!E16</f>
        <v>64.662732015169169</v>
      </c>
      <c r="F5" s="449">
        <f ca="1">tertiair!F16</f>
        <v>3112.2051821381801</v>
      </c>
      <c r="G5" s="449">
        <f>tertiair!G16</f>
        <v>0</v>
      </c>
      <c r="H5" s="449">
        <f>tertiair!H16</f>
        <v>0</v>
      </c>
      <c r="I5" s="449">
        <f>tertiair!I16</f>
        <v>0</v>
      </c>
      <c r="J5" s="449">
        <f>tertiair!J16</f>
        <v>2.3700324618477972E-2</v>
      </c>
      <c r="K5" s="449">
        <f>tertiair!K16</f>
        <v>0</v>
      </c>
      <c r="L5" s="449">
        <f ca="1">tertiair!L16</f>
        <v>0</v>
      </c>
      <c r="M5" s="449">
        <f>tertiair!M16</f>
        <v>0</v>
      </c>
      <c r="N5" s="449">
        <f ca="1">tertiair!N16</f>
        <v>911.05508362411854</v>
      </c>
      <c r="O5" s="449">
        <f>tertiair!O16</f>
        <v>14.691782297523464</v>
      </c>
      <c r="P5" s="450">
        <f>tertiair!P16</f>
        <v>0</v>
      </c>
      <c r="Q5" s="448">
        <f t="shared" ref="Q5:Q14" ca="1" si="0">SUM(B5:P5)</f>
        <v>27574.769626389298</v>
      </c>
    </row>
    <row r="6" spans="1:17">
      <c r="A6" s="448" t="s">
        <v>193</v>
      </c>
      <c r="B6" s="449">
        <f>'openbare verlichting'!B8</f>
        <v>418.94600000000003</v>
      </c>
      <c r="C6" s="449"/>
      <c r="D6" s="449"/>
      <c r="E6" s="449"/>
      <c r="F6" s="449"/>
      <c r="G6" s="449"/>
      <c r="H6" s="449"/>
      <c r="I6" s="449"/>
      <c r="J6" s="449"/>
      <c r="K6" s="449"/>
      <c r="L6" s="449"/>
      <c r="M6" s="449"/>
      <c r="N6" s="449"/>
      <c r="O6" s="449"/>
      <c r="P6" s="450"/>
      <c r="Q6" s="448">
        <f t="shared" si="0"/>
        <v>418.94600000000003</v>
      </c>
    </row>
    <row r="7" spans="1:17">
      <c r="A7" s="448" t="s">
        <v>111</v>
      </c>
      <c r="B7" s="449">
        <f>landbouw!B8</f>
        <v>801.50535772364094</v>
      </c>
      <c r="C7" s="449">
        <f>landbouw!C8</f>
        <v>0</v>
      </c>
      <c r="D7" s="449">
        <f>landbouw!D8</f>
        <v>92.286642645130385</v>
      </c>
      <c r="E7" s="449">
        <f>landbouw!E8</f>
        <v>22.956469840598473</v>
      </c>
      <c r="F7" s="449">
        <f>landbouw!F8</f>
        <v>2537.1519346887931</v>
      </c>
      <c r="G7" s="449">
        <f>landbouw!G8</f>
        <v>0</v>
      </c>
      <c r="H7" s="449">
        <f>landbouw!H8</f>
        <v>0</v>
      </c>
      <c r="I7" s="449">
        <f>landbouw!I8</f>
        <v>0</v>
      </c>
      <c r="J7" s="449">
        <f>landbouw!J8</f>
        <v>203.79764328369103</v>
      </c>
      <c r="K7" s="449">
        <f>landbouw!K8</f>
        <v>0</v>
      </c>
      <c r="L7" s="449">
        <f>landbouw!L8</f>
        <v>0</v>
      </c>
      <c r="M7" s="449">
        <f>landbouw!M8</f>
        <v>0</v>
      </c>
      <c r="N7" s="449">
        <f>landbouw!N8</f>
        <v>0</v>
      </c>
      <c r="O7" s="449">
        <f>landbouw!O8</f>
        <v>0</v>
      </c>
      <c r="P7" s="450">
        <f>landbouw!P8</f>
        <v>0</v>
      </c>
      <c r="Q7" s="448">
        <f t="shared" si="0"/>
        <v>3657.6980481818537</v>
      </c>
    </row>
    <row r="8" spans="1:17">
      <c r="A8" s="448" t="s">
        <v>617</v>
      </c>
      <c r="B8" s="449">
        <f>industrie!B18</f>
        <v>90905.163021931396</v>
      </c>
      <c r="C8" s="449">
        <f>industrie!C18</f>
        <v>6499.2857142857129</v>
      </c>
      <c r="D8" s="449">
        <f>industrie!D18</f>
        <v>52916.976066719253</v>
      </c>
      <c r="E8" s="449">
        <f>industrie!E18</f>
        <v>90.355110390222904</v>
      </c>
      <c r="F8" s="449">
        <f>industrie!F18</f>
        <v>2504.6516644803978</v>
      </c>
      <c r="G8" s="449">
        <f>industrie!G18</f>
        <v>0</v>
      </c>
      <c r="H8" s="449">
        <f>industrie!H18</f>
        <v>0</v>
      </c>
      <c r="I8" s="449">
        <f>industrie!I18</f>
        <v>0</v>
      </c>
      <c r="J8" s="449">
        <f>industrie!J18</f>
        <v>0.53241093725132727</v>
      </c>
      <c r="K8" s="449">
        <f>industrie!K18</f>
        <v>0</v>
      </c>
      <c r="L8" s="449">
        <f>industrie!L18</f>
        <v>0</v>
      </c>
      <c r="M8" s="449">
        <f>industrie!M18</f>
        <v>0</v>
      </c>
      <c r="N8" s="449">
        <f>industrie!N18</f>
        <v>326.3515741441592</v>
      </c>
      <c r="O8" s="449">
        <f>industrie!O18</f>
        <v>0</v>
      </c>
      <c r="P8" s="450">
        <f>industrie!P18</f>
        <v>0</v>
      </c>
      <c r="Q8" s="448">
        <f t="shared" si="0"/>
        <v>153243.31556288837</v>
      </c>
    </row>
    <row r="9" spans="1:17" s="454" customFormat="1">
      <c r="A9" s="452" t="s">
        <v>543</v>
      </c>
      <c r="B9" s="453">
        <f>transport!B14</f>
        <v>96.931200352968432</v>
      </c>
      <c r="C9" s="453">
        <f>transport!C14</f>
        <v>0</v>
      </c>
      <c r="D9" s="453">
        <f>transport!D14</f>
        <v>167.69639405965256</v>
      </c>
      <c r="E9" s="453">
        <f>transport!E14</f>
        <v>66.074029216525915</v>
      </c>
      <c r="F9" s="453">
        <f>transport!F14</f>
        <v>0</v>
      </c>
      <c r="G9" s="453">
        <f>transport!G14</f>
        <v>31532.88462060229</v>
      </c>
      <c r="H9" s="453">
        <f>transport!H14</f>
        <v>8213.0518421459255</v>
      </c>
      <c r="I9" s="453">
        <f>transport!I14</f>
        <v>0</v>
      </c>
      <c r="J9" s="453">
        <f>transport!J14</f>
        <v>0</v>
      </c>
      <c r="K9" s="453">
        <f>transport!K14</f>
        <v>0</v>
      </c>
      <c r="L9" s="453">
        <f>transport!L14</f>
        <v>0</v>
      </c>
      <c r="M9" s="453">
        <f>transport!M14</f>
        <v>2392.7973235435275</v>
      </c>
      <c r="N9" s="453">
        <f>transport!N14</f>
        <v>0</v>
      </c>
      <c r="O9" s="453">
        <f>transport!O14</f>
        <v>0</v>
      </c>
      <c r="P9" s="453">
        <f>transport!P14</f>
        <v>0</v>
      </c>
      <c r="Q9" s="452">
        <f>SUM(B9:P9)</f>
        <v>42469.435409920887</v>
      </c>
    </row>
    <row r="10" spans="1:17">
      <c r="A10" s="448" t="s">
        <v>533</v>
      </c>
      <c r="B10" s="449">
        <f>transport!B54</f>
        <v>14.4436299266031</v>
      </c>
      <c r="C10" s="449">
        <f>transport!C54</f>
        <v>0</v>
      </c>
      <c r="D10" s="449">
        <f>transport!D54</f>
        <v>0</v>
      </c>
      <c r="E10" s="449">
        <f>transport!E54</f>
        <v>0</v>
      </c>
      <c r="F10" s="449">
        <f>transport!F54</f>
        <v>0</v>
      </c>
      <c r="G10" s="449">
        <f>transport!G54</f>
        <v>904.21489955683899</v>
      </c>
      <c r="H10" s="449">
        <f>transport!H54</f>
        <v>0</v>
      </c>
      <c r="I10" s="449">
        <f>transport!I54</f>
        <v>0</v>
      </c>
      <c r="J10" s="449">
        <f>transport!J54</f>
        <v>0</v>
      </c>
      <c r="K10" s="449">
        <f>transport!K54</f>
        <v>0</v>
      </c>
      <c r="L10" s="449">
        <f>transport!L54</f>
        <v>0</v>
      </c>
      <c r="M10" s="449">
        <f>transport!M54</f>
        <v>51.918017390225607</v>
      </c>
      <c r="N10" s="449">
        <f>transport!N54</f>
        <v>0</v>
      </c>
      <c r="O10" s="449">
        <f>transport!O54</f>
        <v>0</v>
      </c>
      <c r="P10" s="450">
        <f>transport!P54</f>
        <v>0</v>
      </c>
      <c r="Q10" s="448">
        <f t="shared" si="0"/>
        <v>970.57654687366767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830.97416427267797</v>
      </c>
      <c r="C14" s="456"/>
      <c r="D14" s="456">
        <f>'SEAP template'!E25</f>
        <v>888.33026318615202</v>
      </c>
      <c r="E14" s="456"/>
      <c r="F14" s="456"/>
      <c r="G14" s="456"/>
      <c r="H14" s="456"/>
      <c r="I14" s="456"/>
      <c r="J14" s="456"/>
      <c r="K14" s="456"/>
      <c r="L14" s="456"/>
      <c r="M14" s="456"/>
      <c r="N14" s="456"/>
      <c r="O14" s="456"/>
      <c r="P14" s="457"/>
      <c r="Q14" s="448">
        <f t="shared" si="0"/>
        <v>1719.3044274588301</v>
      </c>
    </row>
    <row r="15" spans="1:17" s="460" customFormat="1">
      <c r="A15" s="458" t="s">
        <v>537</v>
      </c>
      <c r="B15" s="459">
        <f ca="1">SUM(B4:B14)</f>
        <v>124959.57113684462</v>
      </c>
      <c r="C15" s="459">
        <f t="shared" ref="C15:Q15" ca="1" si="1">SUM(C4:C14)</f>
        <v>6499.2857142857129</v>
      </c>
      <c r="D15" s="459">
        <f t="shared" ca="1" si="1"/>
        <v>91558.328758884396</v>
      </c>
      <c r="E15" s="459">
        <f t="shared" si="1"/>
        <v>1632.8304579779929</v>
      </c>
      <c r="F15" s="459">
        <f t="shared" ca="1" si="1"/>
        <v>38577.510421496379</v>
      </c>
      <c r="G15" s="459">
        <f t="shared" si="1"/>
        <v>32437.099520159129</v>
      </c>
      <c r="H15" s="459">
        <f t="shared" si="1"/>
        <v>8213.0518421459255</v>
      </c>
      <c r="I15" s="459">
        <f t="shared" si="1"/>
        <v>0</v>
      </c>
      <c r="J15" s="459">
        <f t="shared" si="1"/>
        <v>377.74061792571143</v>
      </c>
      <c r="K15" s="459">
        <f t="shared" si="1"/>
        <v>0</v>
      </c>
      <c r="L15" s="459">
        <f t="shared" ca="1" si="1"/>
        <v>0</v>
      </c>
      <c r="M15" s="459">
        <f t="shared" si="1"/>
        <v>2444.7153409337529</v>
      </c>
      <c r="N15" s="459">
        <f t="shared" ca="1" si="1"/>
        <v>7272.4154156071254</v>
      </c>
      <c r="O15" s="459">
        <f t="shared" si="1"/>
        <v>435.29092480757419</v>
      </c>
      <c r="P15" s="459">
        <f t="shared" si="1"/>
        <v>200.14522684601545</v>
      </c>
      <c r="Q15" s="459">
        <f t="shared" ca="1" si="1"/>
        <v>314607.98537791433</v>
      </c>
    </row>
    <row r="17" spans="1:17">
      <c r="A17" s="461" t="s">
        <v>538</v>
      </c>
      <c r="B17" s="778">
        <f ca="1">huishoudens!B10</f>
        <v>0.19060276896537495</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3609.2599840976723</v>
      </c>
      <c r="C22" s="449">
        <f t="shared" ref="C22:C32" ca="1" si="3">C4*$C$17</f>
        <v>0</v>
      </c>
      <c r="D22" s="449">
        <f t="shared" ref="D22:D32" si="4">D4*$D$17</f>
        <v>5449.2499269903483</v>
      </c>
      <c r="E22" s="449">
        <f t="shared" ref="E22:E32" si="5">E4*$E$17</f>
        <v>315.25354044901309</v>
      </c>
      <c r="F22" s="449">
        <f t="shared" ref="F22:F32" si="6">F4*$F$17</f>
        <v>8123.0749379304652</v>
      </c>
      <c r="G22" s="449">
        <f t="shared" ref="G22:G32" si="7">G4*$G$17</f>
        <v>0</v>
      </c>
      <c r="H22" s="449">
        <f t="shared" ref="H22:H32" si="8">H4*$H$17</f>
        <v>0</v>
      </c>
      <c r="I22" s="449">
        <f t="shared" ref="I22:I32" si="9">I4*$I$17</f>
        <v>0</v>
      </c>
      <c r="J22" s="449">
        <f t="shared" ref="J22:J32" si="10">J4*$J$17</f>
        <v>61.37894963657331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17558.217339104071</v>
      </c>
    </row>
    <row r="23" spans="1:17">
      <c r="A23" s="448" t="s">
        <v>155</v>
      </c>
      <c r="B23" s="449">
        <f t="shared" ca="1" si="2"/>
        <v>2469.3687622186508</v>
      </c>
      <c r="C23" s="449">
        <f t="shared" ca="1" si="3"/>
        <v>0</v>
      </c>
      <c r="D23" s="449">
        <f t="shared" ca="1" si="4"/>
        <v>2124.3440302490412</v>
      </c>
      <c r="E23" s="449">
        <f t="shared" si="5"/>
        <v>14.678440167443402</v>
      </c>
      <c r="F23" s="449">
        <f t="shared" ca="1" si="6"/>
        <v>830.95878363089412</v>
      </c>
      <c r="G23" s="449">
        <f t="shared" si="7"/>
        <v>0</v>
      </c>
      <c r="H23" s="449">
        <f t="shared" si="8"/>
        <v>0</v>
      </c>
      <c r="I23" s="449">
        <f t="shared" si="9"/>
        <v>0</v>
      </c>
      <c r="J23" s="449">
        <f t="shared" si="10"/>
        <v>8.389914914941201E-3</v>
      </c>
      <c r="K23" s="449">
        <f t="shared" si="11"/>
        <v>0</v>
      </c>
      <c r="L23" s="449">
        <f t="shared" ca="1" si="12"/>
        <v>0</v>
      </c>
      <c r="M23" s="449">
        <f t="shared" si="13"/>
        <v>0</v>
      </c>
      <c r="N23" s="449">
        <f t="shared" ca="1" si="14"/>
        <v>0</v>
      </c>
      <c r="O23" s="449">
        <f t="shared" si="15"/>
        <v>0</v>
      </c>
      <c r="P23" s="450">
        <f t="shared" si="16"/>
        <v>0</v>
      </c>
      <c r="Q23" s="448">
        <f t="shared" ref="Q23:Q31" ca="1" si="17">SUM(B23:P23)</f>
        <v>5439.3584061809433</v>
      </c>
    </row>
    <row r="24" spans="1:17">
      <c r="A24" s="448" t="s">
        <v>193</v>
      </c>
      <c r="B24" s="449">
        <f t="shared" ca="1" si="2"/>
        <v>79.852267646967974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79.852267646967974</v>
      </c>
    </row>
    <row r="25" spans="1:17">
      <c r="A25" s="448" t="s">
        <v>111</v>
      </c>
      <c r="B25" s="449">
        <f t="shared" ca="1" si="2"/>
        <v>152.76914052270934</v>
      </c>
      <c r="C25" s="449">
        <f t="shared" ca="1" si="3"/>
        <v>0</v>
      </c>
      <c r="D25" s="449">
        <f t="shared" si="4"/>
        <v>18.641901814316338</v>
      </c>
      <c r="E25" s="449">
        <f t="shared" si="5"/>
        <v>5.2111186538158538</v>
      </c>
      <c r="F25" s="449">
        <f t="shared" si="6"/>
        <v>677.4195665619078</v>
      </c>
      <c r="G25" s="449">
        <f t="shared" si="7"/>
        <v>0</v>
      </c>
      <c r="H25" s="449">
        <f t="shared" si="8"/>
        <v>0</v>
      </c>
      <c r="I25" s="449">
        <f t="shared" si="9"/>
        <v>0</v>
      </c>
      <c r="J25" s="449">
        <f t="shared" si="10"/>
        <v>72.144365722426627</v>
      </c>
      <c r="K25" s="449">
        <f t="shared" si="11"/>
        <v>0</v>
      </c>
      <c r="L25" s="449">
        <f t="shared" si="12"/>
        <v>0</v>
      </c>
      <c r="M25" s="449">
        <f t="shared" si="13"/>
        <v>0</v>
      </c>
      <c r="N25" s="449">
        <f t="shared" si="14"/>
        <v>0</v>
      </c>
      <c r="O25" s="449">
        <f t="shared" si="15"/>
        <v>0</v>
      </c>
      <c r="P25" s="450">
        <f t="shared" si="16"/>
        <v>0</v>
      </c>
      <c r="Q25" s="448">
        <f t="shared" ca="1" si="17"/>
        <v>926.18609327517595</v>
      </c>
    </row>
    <row r="26" spans="1:17">
      <c r="A26" s="448" t="s">
        <v>617</v>
      </c>
      <c r="B26" s="449">
        <f t="shared" ca="1" si="2"/>
        <v>17326.775785228936</v>
      </c>
      <c r="C26" s="449">
        <f t="shared" ca="1" si="3"/>
        <v>1544.5361344537814</v>
      </c>
      <c r="D26" s="449">
        <f t="shared" si="4"/>
        <v>10689.229165477289</v>
      </c>
      <c r="E26" s="449">
        <f t="shared" si="5"/>
        <v>20.5106100585806</v>
      </c>
      <c r="F26" s="449">
        <f t="shared" si="6"/>
        <v>668.74199441626627</v>
      </c>
      <c r="G26" s="449">
        <f t="shared" si="7"/>
        <v>0</v>
      </c>
      <c r="H26" s="449">
        <f t="shared" si="8"/>
        <v>0</v>
      </c>
      <c r="I26" s="449">
        <f t="shared" si="9"/>
        <v>0</v>
      </c>
      <c r="J26" s="449">
        <f t="shared" si="10"/>
        <v>0.18847347178696985</v>
      </c>
      <c r="K26" s="449">
        <f t="shared" si="11"/>
        <v>0</v>
      </c>
      <c r="L26" s="449">
        <f t="shared" si="12"/>
        <v>0</v>
      </c>
      <c r="M26" s="449">
        <f t="shared" si="13"/>
        <v>0</v>
      </c>
      <c r="N26" s="449">
        <f t="shared" si="14"/>
        <v>0</v>
      </c>
      <c r="O26" s="449">
        <f t="shared" si="15"/>
        <v>0</v>
      </c>
      <c r="P26" s="450">
        <f t="shared" si="16"/>
        <v>0</v>
      </c>
      <c r="Q26" s="448">
        <f t="shared" ca="1" si="17"/>
        <v>30249.982163106637</v>
      </c>
    </row>
    <row r="27" spans="1:17" s="454" customFormat="1">
      <c r="A27" s="452" t="s">
        <v>543</v>
      </c>
      <c r="B27" s="772">
        <f t="shared" ca="1" si="2"/>
        <v>18.475355186413314</v>
      </c>
      <c r="C27" s="453">
        <f t="shared" ca="1" si="3"/>
        <v>0</v>
      </c>
      <c r="D27" s="453">
        <f t="shared" si="4"/>
        <v>33.874671600049822</v>
      </c>
      <c r="E27" s="453">
        <f t="shared" si="5"/>
        <v>14.998804632151383</v>
      </c>
      <c r="F27" s="453">
        <f t="shared" si="6"/>
        <v>0</v>
      </c>
      <c r="G27" s="453">
        <f t="shared" si="7"/>
        <v>8419.2801937008117</v>
      </c>
      <c r="H27" s="453">
        <f t="shared" si="8"/>
        <v>2045.0499086943355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10531.678933813761</v>
      </c>
    </row>
    <row r="28" spans="1:17" ht="16.5" customHeight="1">
      <c r="A28" s="448" t="s">
        <v>533</v>
      </c>
      <c r="B28" s="449">
        <f t="shared" ca="1" si="2"/>
        <v>2.752995857921706</v>
      </c>
      <c r="C28" s="449">
        <f t="shared" ca="1" si="3"/>
        <v>0</v>
      </c>
      <c r="D28" s="449">
        <f t="shared" si="4"/>
        <v>0</v>
      </c>
      <c r="E28" s="449">
        <f t="shared" si="5"/>
        <v>0</v>
      </c>
      <c r="F28" s="449">
        <f t="shared" si="6"/>
        <v>0</v>
      </c>
      <c r="G28" s="449">
        <f t="shared" si="7"/>
        <v>241.42537818167602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244.17837403959774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158.38597664906078</v>
      </c>
      <c r="C32" s="449">
        <f t="shared" ca="1" si="3"/>
        <v>0</v>
      </c>
      <c r="D32" s="449">
        <f t="shared" si="4"/>
        <v>179.44271316360272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337.82868981266347</v>
      </c>
    </row>
    <row r="33" spans="1:17" s="460" customFormat="1">
      <c r="A33" s="458" t="s">
        <v>537</v>
      </c>
      <c r="B33" s="459">
        <f ca="1">SUM(B22:B32)</f>
        <v>23817.640267408329</v>
      </c>
      <c r="C33" s="459">
        <f t="shared" ref="C33:Q33" ca="1" si="19">SUM(C22:C32)</f>
        <v>1544.5361344537814</v>
      </c>
      <c r="D33" s="459">
        <f t="shared" ca="1" si="19"/>
        <v>18494.782409294647</v>
      </c>
      <c r="E33" s="459">
        <f t="shared" si="19"/>
        <v>370.65251396100433</v>
      </c>
      <c r="F33" s="459">
        <f t="shared" ca="1" si="19"/>
        <v>10300.195282539535</v>
      </c>
      <c r="G33" s="459">
        <f t="shared" si="19"/>
        <v>8660.7055718824886</v>
      </c>
      <c r="H33" s="459">
        <f t="shared" si="19"/>
        <v>2045.0499086943355</v>
      </c>
      <c r="I33" s="459">
        <f t="shared" si="19"/>
        <v>0</v>
      </c>
      <c r="J33" s="459">
        <f t="shared" si="19"/>
        <v>133.72017874570187</v>
      </c>
      <c r="K33" s="459">
        <f t="shared" si="19"/>
        <v>0</v>
      </c>
      <c r="L33" s="459">
        <f t="shared" ca="1" si="19"/>
        <v>0</v>
      </c>
      <c r="M33" s="459">
        <f t="shared" si="19"/>
        <v>0</v>
      </c>
      <c r="N33" s="459">
        <f t="shared" ca="1" si="19"/>
        <v>0</v>
      </c>
      <c r="O33" s="459">
        <f t="shared" si="19"/>
        <v>0</v>
      </c>
      <c r="P33" s="459">
        <f t="shared" si="19"/>
        <v>0</v>
      </c>
      <c r="Q33" s="459">
        <f t="shared" ca="1" si="19"/>
        <v>65367.282266979819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14299.523641440521</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3230.6154895638933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4549.4999999999991</v>
      </c>
      <c r="D8" s="1016">
        <f>'SEAP template'!D76</f>
        <v>5352.3529411764703</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1081.1752941176471</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17530.139131004413</v>
      </c>
      <c r="C10" s="1018">
        <f>SUM(C4:C9)</f>
        <v>4549.4999999999991</v>
      </c>
      <c r="D10" s="1018">
        <f t="shared" ref="D10:H10" si="0">SUM(D8:D9)</f>
        <v>5352.3529411764703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1081.1752941176471</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0.19060276896537495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6499.2857142857129</v>
      </c>
      <c r="D17" s="1017">
        <f>'SEAP template'!D87</f>
        <v>7646.2184873949573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1544.5361344537814</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6499.2857142857129</v>
      </c>
      <c r="D20" s="1018">
        <f t="shared" ref="D20:H20" si="2">SUM(D17:D19)</f>
        <v>7646.2184873949573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1544.5361344537814</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0.19060276896537495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0.19060276896537495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0.19060276896537495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4370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1341.28</v>
      </c>
      <c r="C14" s="326"/>
      <c r="D14" s="326"/>
      <c r="E14" s="326"/>
      <c r="F14" s="326"/>
    </row>
    <row r="15" spans="1:6">
      <c r="A15" s="1312" t="s">
        <v>183</v>
      </c>
      <c r="B15" s="1313">
        <v>11</v>
      </c>
      <c r="C15" s="326"/>
      <c r="D15" s="326"/>
      <c r="E15" s="326"/>
      <c r="F15" s="326"/>
    </row>
    <row r="16" spans="1:6">
      <c r="A16" s="1312" t="s">
        <v>6</v>
      </c>
      <c r="B16" s="1313">
        <v>264</v>
      </c>
      <c r="C16" s="326"/>
      <c r="D16" s="326"/>
      <c r="E16" s="326"/>
      <c r="F16" s="326"/>
    </row>
    <row r="17" spans="1:6">
      <c r="A17" s="1312" t="s">
        <v>7</v>
      </c>
      <c r="B17" s="1313">
        <v>772</v>
      </c>
      <c r="C17" s="326"/>
      <c r="D17" s="326"/>
      <c r="E17" s="326"/>
      <c r="F17" s="326"/>
    </row>
    <row r="18" spans="1:6">
      <c r="A18" s="1312" t="s">
        <v>8</v>
      </c>
      <c r="B18" s="1313">
        <v>872</v>
      </c>
      <c r="C18" s="326"/>
      <c r="D18" s="326"/>
      <c r="E18" s="326"/>
      <c r="F18" s="326"/>
    </row>
    <row r="19" spans="1:6">
      <c r="A19" s="1312" t="s">
        <v>9</v>
      </c>
      <c r="B19" s="1313">
        <v>832</v>
      </c>
      <c r="C19" s="326"/>
      <c r="D19" s="326"/>
      <c r="E19" s="326"/>
      <c r="F19" s="326"/>
    </row>
    <row r="20" spans="1:6">
      <c r="A20" s="1312" t="s">
        <v>10</v>
      </c>
      <c r="B20" s="1313">
        <v>345</v>
      </c>
      <c r="C20" s="326"/>
      <c r="D20" s="326"/>
      <c r="E20" s="326"/>
      <c r="F20" s="326"/>
    </row>
    <row r="21" spans="1:6">
      <c r="A21" s="1312" t="s">
        <v>11</v>
      </c>
      <c r="B21" s="1313">
        <v>798</v>
      </c>
      <c r="C21" s="326"/>
      <c r="D21" s="326"/>
      <c r="E21" s="326"/>
      <c r="F21" s="326"/>
    </row>
    <row r="22" spans="1:6">
      <c r="A22" s="1312" t="s">
        <v>12</v>
      </c>
      <c r="B22" s="1313">
        <v>3272</v>
      </c>
      <c r="C22" s="326"/>
      <c r="D22" s="326"/>
      <c r="E22" s="326"/>
      <c r="F22" s="326"/>
    </row>
    <row r="23" spans="1:6">
      <c r="A23" s="1312" t="s">
        <v>13</v>
      </c>
      <c r="B23" s="1313">
        <v>18</v>
      </c>
      <c r="C23" s="326"/>
      <c r="D23" s="326"/>
      <c r="E23" s="326"/>
      <c r="F23" s="326"/>
    </row>
    <row r="24" spans="1:6">
      <c r="A24" s="1312" t="s">
        <v>14</v>
      </c>
      <c r="B24" s="1313">
        <v>3</v>
      </c>
      <c r="C24" s="326"/>
      <c r="D24" s="326"/>
      <c r="E24" s="326"/>
      <c r="F24" s="326"/>
    </row>
    <row r="25" spans="1:6">
      <c r="A25" s="1312" t="s">
        <v>15</v>
      </c>
      <c r="B25" s="1313">
        <v>198</v>
      </c>
      <c r="C25" s="326"/>
      <c r="D25" s="326"/>
      <c r="E25" s="326"/>
      <c r="F25" s="326"/>
    </row>
    <row r="26" spans="1:6">
      <c r="A26" s="1312" t="s">
        <v>16</v>
      </c>
      <c r="B26" s="1313">
        <v>305</v>
      </c>
      <c r="C26" s="326"/>
      <c r="D26" s="326"/>
      <c r="E26" s="326"/>
      <c r="F26" s="326"/>
    </row>
    <row r="27" spans="1:6">
      <c r="A27" s="1312" t="s">
        <v>17</v>
      </c>
      <c r="B27" s="1313">
        <v>7</v>
      </c>
      <c r="C27" s="326"/>
      <c r="D27" s="326"/>
      <c r="E27" s="326"/>
      <c r="F27" s="326"/>
    </row>
    <row r="28" spans="1:6" s="43" customFormat="1">
      <c r="A28" s="1314" t="s">
        <v>18</v>
      </c>
      <c r="B28" s="1315">
        <v>10</v>
      </c>
      <c r="C28" s="332"/>
      <c r="D28" s="332"/>
      <c r="E28" s="332"/>
      <c r="F28" s="332"/>
    </row>
    <row r="29" spans="1:6">
      <c r="A29" s="1314" t="s">
        <v>684</v>
      </c>
      <c r="B29" s="1315">
        <v>60</v>
      </c>
      <c r="C29" s="332"/>
      <c r="D29" s="332"/>
      <c r="E29" s="332"/>
      <c r="F29" s="332"/>
    </row>
    <row r="30" spans="1:6">
      <c r="A30" s="1307" t="s">
        <v>685</v>
      </c>
      <c r="B30" s="1316">
        <v>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2277</v>
      </c>
      <c r="D39" s="1313">
        <v>29874291.015593499</v>
      </c>
      <c r="E39" s="1313">
        <v>4286</v>
      </c>
      <c r="F39" s="1313">
        <v>16103090.501796899</v>
      </c>
    </row>
    <row r="40" spans="1:6">
      <c r="A40" s="1312" t="s">
        <v>29</v>
      </c>
      <c r="B40" s="1312" t="s">
        <v>28</v>
      </c>
      <c r="C40" s="1313">
        <v>0</v>
      </c>
      <c r="D40" s="1313">
        <v>0</v>
      </c>
      <c r="E40" s="1313">
        <v>0</v>
      </c>
      <c r="F40" s="1313">
        <v>0</v>
      </c>
    </row>
    <row r="41" spans="1:6">
      <c r="A41" s="1312" t="s">
        <v>31</v>
      </c>
      <c r="B41" s="1312" t="s">
        <v>32</v>
      </c>
      <c r="C41" s="1313">
        <v>47</v>
      </c>
      <c r="D41" s="1313">
        <v>822840.53739141405</v>
      </c>
      <c r="E41" s="1313">
        <v>123</v>
      </c>
      <c r="F41" s="1313">
        <v>1098734.73152741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126846.37969527399</v>
      </c>
      <c r="E44" s="1313">
        <v>12</v>
      </c>
      <c r="F44" s="1313">
        <v>173128.936842383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120808.5725228097</v>
      </c>
      <c r="E48" s="1313">
        <v>3</v>
      </c>
      <c r="F48" s="1313">
        <v>71939.578029942204</v>
      </c>
    </row>
    <row r="49" spans="1:6">
      <c r="A49" s="1312" t="s">
        <v>31</v>
      </c>
      <c r="B49" s="1312" t="s">
        <v>39</v>
      </c>
      <c r="C49" s="1313">
        <v>7</v>
      </c>
      <c r="D49" s="1313">
        <v>71789790.985908002</v>
      </c>
      <c r="E49" s="1313">
        <v>9</v>
      </c>
      <c r="F49" s="1313">
        <v>78074729.9218463</v>
      </c>
    </row>
    <row r="50" spans="1:6">
      <c r="A50" s="1312" t="s">
        <v>31</v>
      </c>
      <c r="B50" s="1312" t="s">
        <v>40</v>
      </c>
      <c r="C50" s="1313">
        <v>5</v>
      </c>
      <c r="D50" s="1313">
        <v>135890.15271137599</v>
      </c>
      <c r="E50" s="1313">
        <v>13</v>
      </c>
      <c r="F50" s="1313">
        <v>6937129.8536853697</v>
      </c>
    </row>
    <row r="51" spans="1:6">
      <c r="A51" s="1312" t="s">
        <v>41</v>
      </c>
      <c r="B51" s="1312" t="s">
        <v>42</v>
      </c>
      <c r="C51" s="1313">
        <v>7</v>
      </c>
      <c r="D51" s="1313">
        <v>102200.047226058</v>
      </c>
      <c r="E51" s="1313">
        <v>55</v>
      </c>
      <c r="F51" s="1313">
        <v>801505.35772364098</v>
      </c>
    </row>
    <row r="52" spans="1:6">
      <c r="A52" s="1312" t="s">
        <v>41</v>
      </c>
      <c r="B52" s="1312" t="s">
        <v>28</v>
      </c>
      <c r="C52" s="1313">
        <v>0</v>
      </c>
      <c r="D52" s="1313">
        <v>0</v>
      </c>
      <c r="E52" s="1313">
        <v>0</v>
      </c>
      <c r="F52" s="1313">
        <v>0</v>
      </c>
    </row>
    <row r="53" spans="1:6">
      <c r="A53" s="1312" t="s">
        <v>43</v>
      </c>
      <c r="B53" s="1312" t="s">
        <v>44</v>
      </c>
      <c r="C53" s="1313">
        <v>47</v>
      </c>
      <c r="D53" s="1313">
        <v>888330.26318615198</v>
      </c>
      <c r="E53" s="1313">
        <v>133</v>
      </c>
      <c r="F53" s="1313">
        <v>830974.16427267797</v>
      </c>
    </row>
    <row r="54" spans="1:6">
      <c r="A54" s="1312" t="s">
        <v>45</v>
      </c>
      <c r="B54" s="1312" t="s">
        <v>46</v>
      </c>
      <c r="C54" s="1313">
        <v>0</v>
      </c>
      <c r="D54" s="1313">
        <v>0</v>
      </c>
      <c r="E54" s="1313">
        <v>1</v>
      </c>
      <c r="F54" s="1313">
        <v>418946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3186996.5463577998</v>
      </c>
      <c r="E57" s="1313">
        <v>63</v>
      </c>
      <c r="F57" s="1313">
        <v>2343278.7521136198</v>
      </c>
    </row>
    <row r="58" spans="1:6">
      <c r="A58" s="1312" t="s">
        <v>48</v>
      </c>
      <c r="B58" s="1312" t="s">
        <v>50</v>
      </c>
      <c r="C58" s="1313">
        <v>23</v>
      </c>
      <c r="D58" s="1313">
        <v>1830528.4712224901</v>
      </c>
      <c r="E58" s="1313">
        <v>37</v>
      </c>
      <c r="F58" s="1313">
        <v>893058.19969783095</v>
      </c>
    </row>
    <row r="59" spans="1:6">
      <c r="A59" s="1312" t="s">
        <v>48</v>
      </c>
      <c r="B59" s="1312" t="s">
        <v>51</v>
      </c>
      <c r="C59" s="1313">
        <v>49</v>
      </c>
      <c r="D59" s="1313">
        <v>1620380.30664925</v>
      </c>
      <c r="E59" s="1313">
        <v>132</v>
      </c>
      <c r="F59" s="1313">
        <v>4156801.82969628</v>
      </c>
    </row>
    <row r="60" spans="1:6">
      <c r="A60" s="1312" t="s">
        <v>48</v>
      </c>
      <c r="B60" s="1312" t="s">
        <v>52</v>
      </c>
      <c r="C60" s="1313">
        <v>28</v>
      </c>
      <c r="D60" s="1313">
        <v>1454792.594113</v>
      </c>
      <c r="E60" s="1313">
        <v>56</v>
      </c>
      <c r="F60" s="1313">
        <v>935833.20225550199</v>
      </c>
    </row>
    <row r="61" spans="1:6">
      <c r="A61" s="1312" t="s">
        <v>48</v>
      </c>
      <c r="B61" s="1312" t="s">
        <v>53</v>
      </c>
      <c r="C61" s="1313">
        <v>75</v>
      </c>
      <c r="D61" s="1313">
        <v>2865462.1212170902</v>
      </c>
      <c r="E61" s="1313">
        <v>236</v>
      </c>
      <c r="F61" s="1313">
        <v>4429464.6593247699</v>
      </c>
    </row>
    <row r="62" spans="1:6">
      <c r="A62" s="1312" t="s">
        <v>48</v>
      </c>
      <c r="B62" s="1312" t="s">
        <v>54</v>
      </c>
      <c r="C62" s="1313">
        <v>4</v>
      </c>
      <c r="D62" s="1313">
        <v>688079.83330113499</v>
      </c>
      <c r="E62" s="1313">
        <v>5</v>
      </c>
      <c r="F62" s="1313">
        <v>197139.89770841401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41118.6832284669</v>
      </c>
      <c r="E65" s="1313">
        <v>0</v>
      </c>
      <c r="F65" s="1313">
        <v>0</v>
      </c>
    </row>
    <row r="66" spans="1:6">
      <c r="A66" s="1312" t="s">
        <v>55</v>
      </c>
      <c r="B66" s="1312" t="s">
        <v>57</v>
      </c>
      <c r="C66" s="1313">
        <v>0</v>
      </c>
      <c r="D66" s="1313">
        <v>0</v>
      </c>
      <c r="E66" s="1313">
        <v>3</v>
      </c>
      <c r="F66" s="1313">
        <v>51138.455500015698</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53336.845729501503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44132420</v>
      </c>
      <c r="E73" s="447"/>
      <c r="F73" s="326"/>
    </row>
    <row r="74" spans="1:6">
      <c r="A74" s="1312" t="s">
        <v>63</v>
      </c>
      <c r="B74" s="1312" t="s">
        <v>638</v>
      </c>
      <c r="C74" s="1326" t="s">
        <v>640</v>
      </c>
      <c r="D74" s="1327">
        <v>4099777.4213069496</v>
      </c>
      <c r="E74" s="447"/>
      <c r="F74" s="326"/>
    </row>
    <row r="75" spans="1:6">
      <c r="A75" s="1312" t="s">
        <v>64</v>
      </c>
      <c r="B75" s="1312" t="s">
        <v>637</v>
      </c>
      <c r="C75" s="1326" t="s">
        <v>641</v>
      </c>
      <c r="D75" s="1327">
        <v>4391341</v>
      </c>
      <c r="E75" s="447"/>
      <c r="F75" s="326"/>
    </row>
    <row r="76" spans="1:6">
      <c r="A76" s="1312" t="s">
        <v>64</v>
      </c>
      <c r="B76" s="1312" t="s">
        <v>638</v>
      </c>
      <c r="C76" s="1326" t="s">
        <v>642</v>
      </c>
      <c r="D76" s="1327">
        <v>268445.42130694946</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269405.15738610103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14299.523641440521</v>
      </c>
      <c r="C90" s="326"/>
      <c r="D90" s="326"/>
      <c r="E90" s="326"/>
      <c r="F90" s="326"/>
    </row>
    <row r="91" spans="1:6">
      <c r="A91" s="1312" t="s">
        <v>67</v>
      </c>
      <c r="B91" s="1313">
        <v>2832.9407200440237</v>
      </c>
      <c r="C91" s="326"/>
      <c r="D91" s="326"/>
      <c r="E91" s="326"/>
      <c r="F91" s="326"/>
    </row>
    <row r="92" spans="1:6">
      <c r="A92" s="1307" t="s">
        <v>68</v>
      </c>
      <c r="B92" s="1308">
        <v>397.67476951986953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453</v>
      </c>
      <c r="C97" s="326"/>
      <c r="D97" s="326"/>
      <c r="E97" s="326"/>
      <c r="F97" s="326"/>
    </row>
    <row r="98" spans="1:6">
      <c r="A98" s="1312" t="s">
        <v>71</v>
      </c>
      <c r="B98" s="1313">
        <v>0</v>
      </c>
      <c r="C98" s="326"/>
      <c r="D98" s="326"/>
      <c r="E98" s="326"/>
      <c r="F98" s="326"/>
    </row>
    <row r="99" spans="1:6">
      <c r="A99" s="1312" t="s">
        <v>72</v>
      </c>
      <c r="B99" s="1313">
        <v>45</v>
      </c>
      <c r="C99" s="326"/>
      <c r="D99" s="326"/>
      <c r="E99" s="326"/>
      <c r="F99" s="326"/>
    </row>
    <row r="100" spans="1:6">
      <c r="A100" s="1312" t="s">
        <v>73</v>
      </c>
      <c r="B100" s="1313">
        <v>570</v>
      </c>
      <c r="C100" s="326"/>
      <c r="D100" s="326"/>
      <c r="E100" s="326"/>
      <c r="F100" s="326"/>
    </row>
    <row r="101" spans="1:6">
      <c r="A101" s="1312" t="s">
        <v>74</v>
      </c>
      <c r="B101" s="1313">
        <v>51</v>
      </c>
      <c r="C101" s="326"/>
      <c r="D101" s="326"/>
      <c r="E101" s="326"/>
      <c r="F101" s="326"/>
    </row>
    <row r="102" spans="1:6">
      <c r="A102" s="1312" t="s">
        <v>75</v>
      </c>
      <c r="B102" s="1313">
        <v>69</v>
      </c>
      <c r="C102" s="326"/>
      <c r="D102" s="326"/>
      <c r="E102" s="326"/>
      <c r="F102" s="326"/>
    </row>
    <row r="103" spans="1:6">
      <c r="A103" s="1312" t="s">
        <v>76</v>
      </c>
      <c r="B103" s="1313">
        <v>142</v>
      </c>
      <c r="C103" s="326"/>
      <c r="D103" s="326"/>
      <c r="E103" s="326"/>
      <c r="F103" s="326"/>
    </row>
    <row r="104" spans="1:6">
      <c r="A104" s="1312" t="s">
        <v>77</v>
      </c>
      <c r="B104" s="1313">
        <v>2239</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v>
      </c>
      <c r="C123" s="1313">
        <v>49</v>
      </c>
      <c r="D123" s="326"/>
      <c r="E123" s="326"/>
      <c r="F123" s="326"/>
    </row>
    <row r="124" spans="1:6" s="43" customFormat="1">
      <c r="A124" s="1314" t="s">
        <v>88</v>
      </c>
      <c r="B124" s="1335">
        <v>1</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161</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124959.57113684462</v>
      </c>
      <c r="C3" s="43" t="s">
        <v>169</v>
      </c>
      <c r="D3" s="43"/>
      <c r="E3" s="154"/>
      <c r="F3" s="43"/>
      <c r="G3" s="43"/>
      <c r="H3" s="43"/>
      <c r="I3" s="43"/>
      <c r="J3" s="43"/>
      <c r="K3" s="96"/>
    </row>
    <row r="4" spans="1:11">
      <c r="A4" s="354" t="s">
        <v>170</v>
      </c>
      <c r="B4" s="49">
        <f>IF(ISERROR('SEAP template'!B78+'SEAP template'!C78),0,'SEAP template'!B78+'SEAP template'!C78)</f>
        <v>22079.639131004413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1081.1752941176471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0.19060276896537495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1544.5361344537814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6499.2857142857129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418.94600000000003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418.94600000000003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0.19060276896537495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79.852267646967974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16103.0905017969</v>
      </c>
      <c r="C5" s="17">
        <f>IF(ISERROR('Eigen informatie GS &amp; warmtenet'!B59),0,'Eigen informatie GS &amp; warmtenet'!B59)</f>
        <v>0</v>
      </c>
      <c r="D5" s="30">
        <f>(SUM(HH_hh_gas_kWh,HH_rest_gas_kWh)/1000)*0.903</f>
        <v>26976.484787080932</v>
      </c>
      <c r="E5" s="17">
        <f>B32*B41</f>
        <v>1388.7821165154762</v>
      </c>
      <c r="F5" s="17">
        <f>B36*B45</f>
        <v>30423.501640189006</v>
      </c>
      <c r="G5" s="18"/>
      <c r="H5" s="17"/>
      <c r="I5" s="17"/>
      <c r="J5" s="17">
        <f>B35*B44+C35*C44</f>
        <v>173.3868633801506</v>
      </c>
      <c r="K5" s="17"/>
      <c r="L5" s="17"/>
      <c r="M5" s="17"/>
      <c r="N5" s="17">
        <f>B34*B43+C34*C43</f>
        <v>6035.0087578388484</v>
      </c>
      <c r="O5" s="17">
        <f>B52*B53*B54</f>
        <v>420.59914251005074</v>
      </c>
      <c r="P5" s="17">
        <f>B60*B61*B62/1000-B60*B61*B62/1000/B63</f>
        <v>200.14522684601545</v>
      </c>
    </row>
    <row r="6" spans="1:16">
      <c r="A6" s="16" t="s">
        <v>603</v>
      </c>
      <c r="B6" s="780">
        <f>kWh_PV_kleiner_dan_10kW</f>
        <v>2832.9407200440237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18936.031221840924</v>
      </c>
      <c r="C8" s="21">
        <f>C5</f>
        <v>0</v>
      </c>
      <c r="D8" s="21">
        <f>D5</f>
        <v>26976.484787080932</v>
      </c>
      <c r="E8" s="21">
        <f>E5</f>
        <v>1388.7821165154762</v>
      </c>
      <c r="F8" s="21">
        <f>F5</f>
        <v>30423.501640189006</v>
      </c>
      <c r="G8" s="21"/>
      <c r="H8" s="21"/>
      <c r="I8" s="21"/>
      <c r="J8" s="21">
        <f>J5</f>
        <v>173.3868633801506</v>
      </c>
      <c r="K8" s="21"/>
      <c r="L8" s="21">
        <f>L5</f>
        <v>0</v>
      </c>
      <c r="M8" s="21">
        <f>M5</f>
        <v>0</v>
      </c>
      <c r="N8" s="21">
        <f>N5</f>
        <v>6035.0087578388484</v>
      </c>
      <c r="O8" s="21">
        <f>O5</f>
        <v>420.59914251005074</v>
      </c>
      <c r="P8" s="21">
        <f>P5</f>
        <v>200.14522684601545</v>
      </c>
    </row>
    <row r="9" spans="1:16">
      <c r="B9" s="19"/>
      <c r="C9" s="19"/>
      <c r="D9" s="254"/>
      <c r="E9" s="19"/>
      <c r="F9" s="19"/>
      <c r="G9" s="19"/>
      <c r="H9" s="19"/>
      <c r="I9" s="19"/>
      <c r="J9" s="19"/>
      <c r="K9" s="19"/>
      <c r="L9" s="19"/>
      <c r="M9" s="19"/>
      <c r="N9" s="19"/>
      <c r="O9" s="19"/>
      <c r="P9" s="19"/>
    </row>
    <row r="10" spans="1:16">
      <c r="A10" s="24" t="s">
        <v>213</v>
      </c>
      <c r="B10" s="25">
        <f ca="1">'EF ele_warmte'!B12</f>
        <v>0.19060276896537495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3609.2599840976723</v>
      </c>
      <c r="C12" s="23">
        <f ca="1">C10*C8</f>
        <v>0</v>
      </c>
      <c r="D12" s="23">
        <f>D8*D10</f>
        <v>5449.2499269903483</v>
      </c>
      <c r="E12" s="23">
        <f>E10*E8</f>
        <v>315.25354044901309</v>
      </c>
      <c r="F12" s="23">
        <f>F10*F8</f>
        <v>8123.0749379304652</v>
      </c>
      <c r="G12" s="23"/>
      <c r="H12" s="23"/>
      <c r="I12" s="23"/>
      <c r="J12" s="23">
        <f>J10*J8</f>
        <v>61.37894963657331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4370</v>
      </c>
      <c r="C26" s="36"/>
      <c r="D26" s="225"/>
    </row>
    <row r="27" spans="1:5" s="15" customFormat="1">
      <c r="A27" s="227" t="s">
        <v>866</v>
      </c>
      <c r="B27" s="37">
        <f>SUM(HH_hh_gas_aantal,HH_rest_gas_aantal)</f>
        <v>2277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2163.15</v>
      </c>
      <c r="C31" s="34" t="s">
        <v>110</v>
      </c>
      <c r="D31" s="171"/>
    </row>
    <row r="32" spans="1:5">
      <c r="A32" s="168" t="s">
        <v>72</v>
      </c>
      <c r="B32" s="33">
        <f>IF((B21*($B$26-($B$27-0.05*$B$27)-$B$60))&lt;0,0,(B21*($B$26-($B$27-0.05*$B$27)-$B$60)))</f>
        <v>34.732553462525026</v>
      </c>
      <c r="C32" s="34" t="s">
        <v>110</v>
      </c>
      <c r="D32" s="171"/>
    </row>
    <row r="33" spans="1:6">
      <c r="A33" s="168" t="s">
        <v>73</v>
      </c>
      <c r="B33" s="33">
        <f>IF((B22*($B$26-($B$27-0.05*$B$27)-$B$60))&lt;0,0,B22*($B$26-($B$27-0.05*$B$27)-$B$60))</f>
        <v>563.98787965425822</v>
      </c>
      <c r="C33" s="34" t="s">
        <v>110</v>
      </c>
      <c r="D33" s="171"/>
    </row>
    <row r="34" spans="1:6">
      <c r="A34" s="168" t="s">
        <v>74</v>
      </c>
      <c r="B34" s="33">
        <f>IF((B24*($B$26-($B$27-0.05*$B$27)-$B$60))&lt;0,0,B24*($B$26-($B$27-0.05*$B$27)-$B$60))</f>
        <v>108.12402407727129</v>
      </c>
      <c r="C34" s="33">
        <f>B26*C24</f>
        <v>895.43895695459798</v>
      </c>
      <c r="D34" s="230"/>
    </row>
    <row r="35" spans="1:6">
      <c r="A35" s="168" t="s">
        <v>76</v>
      </c>
      <c r="B35" s="33">
        <f>IF((B19*($B$26-($B$27-0.05*$B$27)-$B$60))&lt;0,0,B19*($B$26-($B$27-0.05*$B$27)-$B$60))</f>
        <v>15.098158185485696</v>
      </c>
      <c r="C35" s="33">
        <f>B35/2</f>
        <v>7.5490790927428479</v>
      </c>
      <c r="D35" s="230"/>
    </row>
    <row r="36" spans="1:6">
      <c r="A36" s="168" t="s">
        <v>77</v>
      </c>
      <c r="B36" s="33">
        <f>IF((B18*($B$26-($B$27-0.05*$B$27)-$B$60))&lt;0,0,B18*($B$26-($B$27-0.05*$B$27)-$B$60))</f>
        <v>1465.9073846204592</v>
      </c>
      <c r="C36" s="34" t="s">
        <v>110</v>
      </c>
      <c r="D36" s="171"/>
    </row>
    <row r="37" spans="1:6">
      <c r="A37" s="168" t="s">
        <v>78</v>
      </c>
      <c r="B37" s="33">
        <f>B60</f>
        <v>19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12955.576540796415</v>
      </c>
      <c r="C5" s="17">
        <f>IF(ISERROR('Eigen informatie GS &amp; warmtenet'!B60),0,'Eigen informatie GS &amp; warmtenet'!B60)</f>
        <v>0</v>
      </c>
      <c r="D5" s="30">
        <f>SUM(D6:D12)</f>
        <v>10516.554605193272</v>
      </c>
      <c r="E5" s="17">
        <f>SUM(E6:E12)</f>
        <v>64.662732015169169</v>
      </c>
      <c r="F5" s="17">
        <f>SUM(F6:F12)</f>
        <v>3112.2051821381801</v>
      </c>
      <c r="G5" s="18"/>
      <c r="H5" s="17"/>
      <c r="I5" s="17"/>
      <c r="J5" s="17">
        <f>SUM(J6:J12)</f>
        <v>2.3700324618477972E-2</v>
      </c>
      <c r="K5" s="17"/>
      <c r="L5" s="17"/>
      <c r="M5" s="17"/>
      <c r="N5" s="17">
        <f>SUM(N6:N12)</f>
        <v>911.05508362411854</v>
      </c>
      <c r="O5" s="17">
        <f>B38*B39*B40</f>
        <v>14.691782297523464</v>
      </c>
      <c r="P5" s="17">
        <f>B46*B47*B48/1000-B46*B47*B48/1000/B49</f>
        <v>0</v>
      </c>
      <c r="R5" s="32"/>
    </row>
    <row r="6" spans="1:18">
      <c r="A6" s="32" t="s">
        <v>53</v>
      </c>
      <c r="B6" s="37">
        <f>B26</f>
        <v>4429.4646593247699</v>
      </c>
      <c r="C6" s="33"/>
      <c r="D6" s="37">
        <f>IF(ISERROR(TER_kantoor_gas_kWh/1000),0,TER_kantoor_gas_kWh/1000)*0.903</f>
        <v>2587.5122954590324</v>
      </c>
      <c r="E6" s="33">
        <f>$C$26*'E Balans VL '!I12/100/3.6*1000000</f>
        <v>1.0554108712738051</v>
      </c>
      <c r="F6" s="33">
        <f>$C$26*('E Balans VL '!L12+'E Balans VL '!N12)/100/3.6*1000000</f>
        <v>384.74239735792582</v>
      </c>
      <c r="G6" s="34"/>
      <c r="H6" s="33"/>
      <c r="I6" s="33"/>
      <c r="J6" s="33">
        <f>$C$26*('E Balans VL '!D12+'E Balans VL '!E12)/100/3.6*1000000</f>
        <v>0</v>
      </c>
      <c r="K6" s="33"/>
      <c r="L6" s="33"/>
      <c r="M6" s="33"/>
      <c r="N6" s="33">
        <f>$C$26*'E Balans VL '!Y12/100/3.6*1000000</f>
        <v>5.9205992001750856</v>
      </c>
      <c r="O6" s="33"/>
      <c r="P6" s="33"/>
      <c r="R6" s="32"/>
    </row>
    <row r="7" spans="1:18">
      <c r="A7" s="32" t="s">
        <v>52</v>
      </c>
      <c r="B7" s="37">
        <f t="shared" ref="B7:B12" si="0">B27</f>
        <v>935.83320225550199</v>
      </c>
      <c r="C7" s="33"/>
      <c r="D7" s="37">
        <f>IF(ISERROR(TER_horeca_gas_kWh/1000),0,TER_horeca_gas_kWh/1000)*0.903</f>
        <v>1313.6777124840389</v>
      </c>
      <c r="E7" s="33">
        <f>$C$27*'E Balans VL '!I9/100/3.6*1000000</f>
        <v>0</v>
      </c>
      <c r="F7" s="33">
        <f>$C$27*('E Balans VL '!L9+'E Balans VL '!N9)/100/3.6*1000000</f>
        <v>76.253469822138342</v>
      </c>
      <c r="G7" s="34"/>
      <c r="H7" s="33"/>
      <c r="I7" s="33"/>
      <c r="J7" s="33">
        <f>$C$27*('E Balans VL '!D9+'E Balans VL '!E9)/100/3.6*1000000</f>
        <v>0</v>
      </c>
      <c r="K7" s="33"/>
      <c r="L7" s="33"/>
      <c r="M7" s="33"/>
      <c r="N7" s="33">
        <f>$C$27*'E Balans VL '!Y9/100/3.6*1000000</f>
        <v>0.25920837428978288</v>
      </c>
      <c r="O7" s="33"/>
      <c r="P7" s="33"/>
      <c r="R7" s="32"/>
    </row>
    <row r="8" spans="1:18">
      <c r="A8" s="6" t="s">
        <v>51</v>
      </c>
      <c r="B8" s="37">
        <f t="shared" si="0"/>
        <v>4156.80182969628</v>
      </c>
      <c r="C8" s="33"/>
      <c r="D8" s="37">
        <f>IF(ISERROR(TER_handel_gas_kWh/1000),0,TER_handel_gas_kWh/1000)*0.903</f>
        <v>1463.2034169042729</v>
      </c>
      <c r="E8" s="33">
        <f>$C$28*'E Balans VL '!I13/100/3.6*1000000</f>
        <v>33.227871789428498</v>
      </c>
      <c r="F8" s="33">
        <f>$C$28*('E Balans VL '!L13+'E Balans VL '!N13)/100/3.6*1000000</f>
        <v>412.95242159251114</v>
      </c>
      <c r="G8" s="34"/>
      <c r="H8" s="33"/>
      <c r="I8" s="33"/>
      <c r="J8" s="33">
        <f>$C$28*('E Balans VL '!D13+'E Balans VL '!E13)/100/3.6*1000000</f>
        <v>0</v>
      </c>
      <c r="K8" s="33"/>
      <c r="L8" s="33"/>
      <c r="M8" s="33"/>
      <c r="N8" s="33">
        <f>$C$28*'E Balans VL '!Y13/100/3.6*1000000</f>
        <v>1.5528129127062247</v>
      </c>
      <c r="O8" s="33"/>
      <c r="P8" s="33"/>
      <c r="R8" s="32"/>
    </row>
    <row r="9" spans="1:18">
      <c r="A9" s="32" t="s">
        <v>50</v>
      </c>
      <c r="B9" s="37">
        <f t="shared" si="0"/>
        <v>893.0581996978309</v>
      </c>
      <c r="C9" s="33"/>
      <c r="D9" s="37">
        <f>IF(ISERROR(TER_gezond_gas_kWh/1000),0,TER_gezond_gas_kWh/1000)*0.903</f>
        <v>1652.9672095139085</v>
      </c>
      <c r="E9" s="33">
        <f>$C$29*'E Balans VL '!I10/100/3.6*1000000</f>
        <v>0</v>
      </c>
      <c r="F9" s="33">
        <f>$C$29*('E Balans VL '!L10+'E Balans VL '!N10)/100/3.6*1000000</f>
        <v>81.416807907973606</v>
      </c>
      <c r="G9" s="34"/>
      <c r="H9" s="33"/>
      <c r="I9" s="33"/>
      <c r="J9" s="33">
        <f>$C$29*('E Balans VL '!D10+'E Balans VL '!E10)/100/3.6*1000000</f>
        <v>0</v>
      </c>
      <c r="K9" s="33"/>
      <c r="L9" s="33"/>
      <c r="M9" s="33"/>
      <c r="N9" s="33">
        <f>$C$29*'E Balans VL '!Y10/100/3.6*1000000</f>
        <v>6.5274551167158394</v>
      </c>
      <c r="O9" s="33"/>
      <c r="P9" s="33"/>
      <c r="R9" s="32"/>
    </row>
    <row r="10" spans="1:18">
      <c r="A10" s="32" t="s">
        <v>49</v>
      </c>
      <c r="B10" s="37">
        <f t="shared" si="0"/>
        <v>2343.2787521136197</v>
      </c>
      <c r="C10" s="33"/>
      <c r="D10" s="37">
        <f>IF(ISERROR(TER_ander_gas_kWh/1000),0,TER_ander_gas_kWh/1000)*0.903</f>
        <v>2877.857881361093</v>
      </c>
      <c r="E10" s="33">
        <f>$C$30*'E Balans VL '!I14/100/3.6*1000000</f>
        <v>30.37944935446686</v>
      </c>
      <c r="F10" s="33">
        <f>$C$30*('E Balans VL '!L14+'E Balans VL '!N14)/100/3.6*1000000</f>
        <v>2149.1156182718264</v>
      </c>
      <c r="G10" s="34"/>
      <c r="H10" s="33"/>
      <c r="I10" s="33"/>
      <c r="J10" s="33">
        <f>$C$30*('E Balans VL '!D14+'E Balans VL '!E14)/100/3.6*1000000</f>
        <v>2.3700324618477972E-2</v>
      </c>
      <c r="K10" s="33"/>
      <c r="L10" s="33"/>
      <c r="M10" s="33"/>
      <c r="N10" s="33">
        <f>$C$30*'E Balans VL '!Y14/100/3.6*1000000</f>
        <v>896.17416577443612</v>
      </c>
      <c r="O10" s="33"/>
      <c r="P10" s="33"/>
      <c r="R10" s="32"/>
    </row>
    <row r="11" spans="1:18">
      <c r="A11" s="32" t="s">
        <v>54</v>
      </c>
      <c r="B11" s="37">
        <f t="shared" si="0"/>
        <v>197.139897708414</v>
      </c>
      <c r="C11" s="33"/>
      <c r="D11" s="37">
        <f>IF(ISERROR(TER_onderwijs_gas_kWh/1000),0,TER_onderwijs_gas_kWh/1000)*0.903</f>
        <v>621.33608947092489</v>
      </c>
      <c r="E11" s="33">
        <f>$C$31*'E Balans VL '!I11/100/3.6*1000000</f>
        <v>0</v>
      </c>
      <c r="F11" s="33">
        <f>$C$31*('E Balans VL '!L11+'E Balans VL '!N11)/100/3.6*1000000</f>
        <v>7.7244671858048983</v>
      </c>
      <c r="G11" s="34"/>
      <c r="H11" s="33"/>
      <c r="I11" s="33"/>
      <c r="J11" s="33">
        <f>$C$31*('E Balans VL '!D11+'E Balans VL '!E11)/100/3.6*1000000</f>
        <v>0</v>
      </c>
      <c r="K11" s="33"/>
      <c r="L11" s="33"/>
      <c r="M11" s="33"/>
      <c r="N11" s="33">
        <f>$C$31*'E Balans VL '!Y11/100/3.6*1000000</f>
        <v>0.62084224579551772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12955.576540796415</v>
      </c>
      <c r="C16" s="21">
        <f t="shared" ca="1" si="1"/>
        <v>0</v>
      </c>
      <c r="D16" s="21">
        <f t="shared" ca="1" si="1"/>
        <v>10516.554605193272</v>
      </c>
      <c r="E16" s="21">
        <f t="shared" si="1"/>
        <v>64.662732015169169</v>
      </c>
      <c r="F16" s="21">
        <f t="shared" ca="1" si="1"/>
        <v>3112.2051821381801</v>
      </c>
      <c r="G16" s="21">
        <f t="shared" si="1"/>
        <v>0</v>
      </c>
      <c r="H16" s="21">
        <f t="shared" si="1"/>
        <v>0</v>
      </c>
      <c r="I16" s="21">
        <f t="shared" si="1"/>
        <v>0</v>
      </c>
      <c r="J16" s="21">
        <f t="shared" si="1"/>
        <v>2.3700324618477972E-2</v>
      </c>
      <c r="K16" s="21">
        <f t="shared" si="1"/>
        <v>0</v>
      </c>
      <c r="L16" s="21">
        <f t="shared" ca="1" si="1"/>
        <v>0</v>
      </c>
      <c r="M16" s="21">
        <f t="shared" si="1"/>
        <v>0</v>
      </c>
      <c r="N16" s="21">
        <f t="shared" ca="1" si="1"/>
        <v>911.05508362411854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0.19060276896537495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2469.3687622186508</v>
      </c>
      <c r="C20" s="23">
        <f t="shared" ref="C20:P20" ca="1" si="2">C16*C18</f>
        <v>0</v>
      </c>
      <c r="D20" s="23">
        <f t="shared" ca="1" si="2"/>
        <v>2124.3440302490412</v>
      </c>
      <c r="E20" s="23">
        <f t="shared" si="2"/>
        <v>14.678440167443402</v>
      </c>
      <c r="F20" s="23">
        <f t="shared" ca="1" si="2"/>
        <v>830.95878363089412</v>
      </c>
      <c r="G20" s="23">
        <f t="shared" si="2"/>
        <v>0</v>
      </c>
      <c r="H20" s="23">
        <f t="shared" si="2"/>
        <v>0</v>
      </c>
      <c r="I20" s="23">
        <f t="shared" si="2"/>
        <v>0</v>
      </c>
      <c r="J20" s="23">
        <f t="shared" si="2"/>
        <v>8.389914914941201E-3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4429.4646593247699</v>
      </c>
      <c r="C26" s="39">
        <f>IF(ISERROR(B26*3.6/1000000/'E Balans VL '!Z12*100),0,B26*3.6/1000000/'E Balans VL '!Z12*100)</f>
        <v>0.12708092424078485</v>
      </c>
      <c r="D26" s="233" t="s">
        <v>841</v>
      </c>
      <c r="F26" s="6"/>
    </row>
    <row r="27" spans="1:18" ht="30">
      <c r="A27" s="228" t="s">
        <v>52</v>
      </c>
      <c r="B27" s="33">
        <f>IF(ISERROR(TER_horeca_ele_kWh/1000),0,TER_horeca_ele_kWh/1000)</f>
        <v>935.83320225550199</v>
      </c>
      <c r="C27" s="39">
        <f>IF(ISERROR(B27*3.6/1000000/'E Balans VL '!Z9*100),0,B27*3.6/1000000/'E Balans VL '!Z9*100)</f>
        <v>6.855947171546993E-2</v>
      </c>
      <c r="D27" s="233" t="s">
        <v>841</v>
      </c>
      <c r="F27" s="6"/>
    </row>
    <row r="28" spans="1:18" ht="30">
      <c r="A28" s="168" t="s">
        <v>51</v>
      </c>
      <c r="B28" s="33">
        <f>IF(ISERROR(TER_handel_ele_kWh/1000),0,TER_handel_ele_kWh/1000)</f>
        <v>4156.80182969628</v>
      </c>
      <c r="C28" s="39">
        <f>IF(ISERROR(B28*3.6/1000000/'E Balans VL '!Z13*100),0,B28*3.6/1000000/'E Balans VL '!Z13*100)</f>
        <v>0.12844868259767472</v>
      </c>
      <c r="D28" s="233" t="s">
        <v>841</v>
      </c>
      <c r="F28" s="6"/>
    </row>
    <row r="29" spans="1:18" ht="30">
      <c r="A29" s="228" t="s">
        <v>50</v>
      </c>
      <c r="B29" s="33">
        <f>IF(ISERROR(TER_gezond_ele_kWh/1000),0,TER_gezond_ele_kWh/1000)</f>
        <v>893.0581996978309</v>
      </c>
      <c r="C29" s="39">
        <f>IF(ISERROR(B29*3.6/1000000/'E Balans VL '!Z10*100),0,B29*3.6/1000000/'E Balans VL '!Z10*100)</f>
        <v>8.7525194945068621E-2</v>
      </c>
      <c r="D29" s="233" t="s">
        <v>841</v>
      </c>
      <c r="F29" s="6"/>
    </row>
    <row r="30" spans="1:18" ht="30">
      <c r="A30" s="228" t="s">
        <v>49</v>
      </c>
      <c r="B30" s="33">
        <f>IF(ISERROR(TER_ander_ele_kWh/1000),0,TER_ander_ele_kWh/1000)</f>
        <v>2343.2787521136197</v>
      </c>
      <c r="C30" s="39">
        <f>IF(ISERROR(B30*3.6/1000000/'E Balans VL '!Z14*100),0,B30*3.6/1000000/'E Balans VL '!Z14*100)</f>
        <v>9.7066175911855165E-2</v>
      </c>
      <c r="D30" s="233" t="s">
        <v>841</v>
      </c>
      <c r="F30" s="6"/>
    </row>
    <row r="31" spans="1:18" ht="30">
      <c r="A31" s="228" t="s">
        <v>54</v>
      </c>
      <c r="B31" s="33">
        <f>IF(ISERROR(TER_onderwijs_ele_kWh/1000),0,TER_onderwijs_ele_kWh/1000)</f>
        <v>197.139897708414</v>
      </c>
      <c r="C31" s="39">
        <f>IF(ISERROR(B31*3.6/1000000/'E Balans VL '!Z11*100),0,B31*3.6/1000000/'E Balans VL '!Z11*100)</f>
        <v>6.0575096996381916E-2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86355.663021931396</v>
      </c>
      <c r="C5" s="17">
        <f>IF(ISERROR('Eigen informatie GS &amp; warmtenet'!B61),0,'Eigen informatie GS &amp; warmtenet'!B61)</f>
        <v>0</v>
      </c>
      <c r="D5" s="30">
        <f>SUM(D6:D15)</f>
        <v>65915.547495290681</v>
      </c>
      <c r="E5" s="17">
        <f>SUM(E6:E15)</f>
        <v>90.355110390222904</v>
      </c>
      <c r="F5" s="17">
        <f>SUM(F6:F15)</f>
        <v>2504.6516644803978</v>
      </c>
      <c r="G5" s="18"/>
      <c r="H5" s="17"/>
      <c r="I5" s="17"/>
      <c r="J5" s="17">
        <f>SUM(J6:J15)</f>
        <v>0.53241093725132727</v>
      </c>
      <c r="K5" s="17"/>
      <c r="L5" s="17"/>
      <c r="M5" s="17"/>
      <c r="N5" s="17">
        <f>SUM(N6:N15)</f>
        <v>326.3515741441592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173.12893684238301</v>
      </c>
      <c r="C8" s="33"/>
      <c r="D8" s="37">
        <f>IF( ISERROR(IND_metaal_Gas_kWH/1000),0,IND_metaal_Gas_kWH/1000)*0.903</f>
        <v>114.54228086483242</v>
      </c>
      <c r="E8" s="33">
        <f>C30*'E Balans VL '!I18/100/3.6*1000000</f>
        <v>0.94375283547915334</v>
      </c>
      <c r="F8" s="33">
        <f>C30*'E Balans VL '!L18/100/3.6*1000000+C30*'E Balans VL '!N18/100/3.6*1000000</f>
        <v>11.149516756705372</v>
      </c>
      <c r="G8" s="34"/>
      <c r="H8" s="33"/>
      <c r="I8" s="33"/>
      <c r="J8" s="40">
        <f>C30*'E Balans VL '!D18/100/3.6*1000000+C30*'E Balans VL '!E18/100/3.6*1000000</f>
        <v>0.14181371726600855</v>
      </c>
      <c r="K8" s="33"/>
      <c r="L8" s="33"/>
      <c r="M8" s="33"/>
      <c r="N8" s="33">
        <f>C30*'E Balans VL '!Y18/100/3.6*1000000</f>
        <v>3.7403362774153552</v>
      </c>
      <c r="O8" s="33"/>
      <c r="P8" s="33"/>
      <c r="R8" s="32"/>
    </row>
    <row r="9" spans="1:18">
      <c r="A9" s="6" t="s">
        <v>32</v>
      </c>
      <c r="B9" s="37">
        <f t="shared" si="0"/>
        <v>1098.7347315274101</v>
      </c>
      <c r="C9" s="33"/>
      <c r="D9" s="37">
        <f>IF( ISERROR(IND_andere_gas_kWh/1000),0,IND_andere_gas_kWh/1000)*0.903</f>
        <v>743.02500526444692</v>
      </c>
      <c r="E9" s="33">
        <f>C31*'E Balans VL '!I19/100/3.6*1000000</f>
        <v>3.5469028285057571</v>
      </c>
      <c r="F9" s="33">
        <f>C31*'E Balans VL '!L19/100/3.6*1000000+C31*'E Balans VL '!N19/100/3.6*1000000</f>
        <v>710.45050254074874</v>
      </c>
      <c r="G9" s="34"/>
      <c r="H9" s="33"/>
      <c r="I9" s="33"/>
      <c r="J9" s="40">
        <f>C31*'E Balans VL '!D19/100/3.6*1000000+C31*'E Balans VL '!E19/100/3.6*1000000</f>
        <v>0</v>
      </c>
      <c r="K9" s="33"/>
      <c r="L9" s="33"/>
      <c r="M9" s="33"/>
      <c r="N9" s="33">
        <f>C31*'E Balans VL '!Y19/100/3.6*1000000</f>
        <v>44.398601351103395</v>
      </c>
      <c r="O9" s="33"/>
      <c r="P9" s="33"/>
      <c r="R9" s="32"/>
    </row>
    <row r="10" spans="1:18">
      <c r="A10" s="6" t="s">
        <v>40</v>
      </c>
      <c r="B10" s="37">
        <f t="shared" si="0"/>
        <v>6937.1298536853701</v>
      </c>
      <c r="C10" s="33"/>
      <c r="D10" s="37">
        <f>IF( ISERROR(IND_voed_gas_kWh/1000),0,IND_voed_gas_kWh/1000)*0.903</f>
        <v>122.70880789837254</v>
      </c>
      <c r="E10" s="33">
        <f>C32*'E Balans VL '!I20/100/3.6*1000000</f>
        <v>14.541924280429425</v>
      </c>
      <c r="F10" s="33">
        <f>C32*'E Balans VL '!L20/100/3.6*1000000+C32*'E Balans VL '!N20/100/3.6*1000000</f>
        <v>135.15926341838264</v>
      </c>
      <c r="G10" s="34"/>
      <c r="H10" s="33"/>
      <c r="I10" s="33"/>
      <c r="J10" s="40">
        <f>C32*'E Balans VL '!D20/100/3.6*1000000+C32*'E Balans VL '!E20/100/3.6*1000000</f>
        <v>0</v>
      </c>
      <c r="K10" s="33"/>
      <c r="L10" s="33"/>
      <c r="M10" s="33"/>
      <c r="N10" s="33">
        <f>C32*'E Balans VL '!Y20/100/3.6*1000000</f>
        <v>275.93979303696756</v>
      </c>
      <c r="O10" s="33"/>
      <c r="P10" s="33"/>
      <c r="R10" s="32"/>
    </row>
    <row r="11" spans="1:18">
      <c r="A11" s="6" t="s">
        <v>39</v>
      </c>
      <c r="B11" s="37">
        <f t="shared" si="0"/>
        <v>78074.729921846301</v>
      </c>
      <c r="C11" s="33"/>
      <c r="D11" s="37">
        <f>IF( ISERROR(IND_textiel_gas_kWh/1000),0,IND_textiel_gas_kWh/1000)*0.903</f>
        <v>64826.18126027492</v>
      </c>
      <c r="E11" s="33">
        <f>C33*'E Balans VL '!I21/100/3.6*1000000</f>
        <v>67.087268458397517</v>
      </c>
      <c r="F11" s="33">
        <f>C33*'E Balans VL '!L21/100/3.6*1000000+C33*'E Balans VL '!N21/100/3.6*1000000</f>
        <v>1636.9177451797652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71.939578029942197</v>
      </c>
      <c r="C15" s="33"/>
      <c r="D15" s="37">
        <f>IF( ISERROR(IND_rest_gas_kWh/1000),0,IND_rest_gas_kWh/1000)*0.903</f>
        <v>109.09014098809716</v>
      </c>
      <c r="E15" s="33">
        <f>C37*'E Balans VL '!I15/100/3.6*1000000</f>
        <v>4.2352619874110493</v>
      </c>
      <c r="F15" s="33">
        <f>C37*'E Balans VL '!L15/100/3.6*1000000+C37*'E Balans VL '!N15/100/3.6*1000000</f>
        <v>10.974636584795745</v>
      </c>
      <c r="G15" s="34"/>
      <c r="H15" s="33"/>
      <c r="I15" s="33"/>
      <c r="J15" s="40">
        <f>C37*'E Balans VL '!D15/100/3.6*1000000+C37*'E Balans VL '!E15/100/3.6*1000000</f>
        <v>0.39059721998531866</v>
      </c>
      <c r="K15" s="33"/>
      <c r="L15" s="33"/>
      <c r="M15" s="33"/>
      <c r="N15" s="33">
        <f>C37*'E Balans VL '!Y15/100/3.6*1000000</f>
        <v>2.2728434786729097</v>
      </c>
      <c r="O15" s="33"/>
      <c r="P15" s="33"/>
      <c r="R15" s="32"/>
    </row>
    <row r="16" spans="1:18">
      <c r="A16" s="16" t="s">
        <v>473</v>
      </c>
      <c r="B16" s="243">
        <f>'lokale energieproductie'!N37+'lokale energieproductie'!N30</f>
        <v>4549.4999999999991</v>
      </c>
      <c r="C16" s="243">
        <f>'lokale energieproductie'!O37+'lokale energieproductie'!O30</f>
        <v>6499.2857142857129</v>
      </c>
      <c r="D16" s="304">
        <f>('lokale energieproductie'!P30+'lokale energieproductie'!P37)*(-1)</f>
        <v>-12998.571428571428</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90905.163021931396</v>
      </c>
      <c r="C18" s="21">
        <f>C5+C16</f>
        <v>6499.2857142857129</v>
      </c>
      <c r="D18" s="21">
        <f>MAX((D5+D16),0)</f>
        <v>52916.976066719253</v>
      </c>
      <c r="E18" s="21">
        <f>MAX((E5+E16),0)</f>
        <v>90.355110390222904</v>
      </c>
      <c r="F18" s="21">
        <f>MAX((F5+F16),0)</f>
        <v>2504.6516644803978</v>
      </c>
      <c r="G18" s="21"/>
      <c r="H18" s="21"/>
      <c r="I18" s="21"/>
      <c r="J18" s="21">
        <f>MAX((J5+J16),0)</f>
        <v>0.53241093725132727</v>
      </c>
      <c r="K18" s="21"/>
      <c r="L18" s="21">
        <f>MAX((L5+L16),0)</f>
        <v>0</v>
      </c>
      <c r="M18" s="21"/>
      <c r="N18" s="21">
        <f>MAX((N5+N16),0)</f>
        <v>326.3515741441592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0.19060276896537495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17326.775785228936</v>
      </c>
      <c r="C22" s="23">
        <f ca="1">C18*C20</f>
        <v>1544.5361344537814</v>
      </c>
      <c r="D22" s="23">
        <f>D18*D20</f>
        <v>10689.229165477289</v>
      </c>
      <c r="E22" s="23">
        <f>E18*E20</f>
        <v>20.5106100585806</v>
      </c>
      <c r="F22" s="23">
        <f>F18*F20</f>
        <v>668.74199441626627</v>
      </c>
      <c r="G22" s="23"/>
      <c r="H22" s="23"/>
      <c r="I22" s="23"/>
      <c r="J22" s="23">
        <f>J18*J20</f>
        <v>0.18847347178696985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173.12893684238301</v>
      </c>
      <c r="C30" s="39">
        <f>IF(ISERROR(B30*3.6/1000000/'E Balans VL '!Z18*100),0,B30*3.6/1000000/'E Balans VL '!Z18*100)</f>
        <v>1.0425349850063966E-2</v>
      </c>
      <c r="D30" s="233" t="s">
        <v>841</v>
      </c>
    </row>
    <row r="31" spans="1:18" ht="30">
      <c r="A31" s="6" t="s">
        <v>32</v>
      </c>
      <c r="B31" s="37">
        <f>IF( ISERROR(IND_ander_ele_kWh/1000),0,IND_ander_ele_kWh/1000)</f>
        <v>1098.7347315274101</v>
      </c>
      <c r="C31" s="39">
        <f>IF(ISERROR(B31*3.6/1000000/'E Balans VL '!Z19*100),0,B31*3.6/1000000/'E Balans VL '!Z19*100)</f>
        <v>4.4764727605089732E-2</v>
      </c>
      <c r="D31" s="233" t="s">
        <v>841</v>
      </c>
    </row>
    <row r="32" spans="1:18" ht="30">
      <c r="A32" s="168" t="s">
        <v>40</v>
      </c>
      <c r="B32" s="37">
        <f>IF( ISERROR(IND_voed_ele_kWh/1000),0,IND_voed_ele_kWh/1000)</f>
        <v>6937.1298536853701</v>
      </c>
      <c r="C32" s="39">
        <f>IF(ISERROR(B32*3.6/1000000/'E Balans VL '!Z20*100),0,B32*3.6/1000000/'E Balans VL '!Z20*100)</f>
        <v>0.20058034116661816</v>
      </c>
      <c r="D32" s="233" t="s">
        <v>841</v>
      </c>
    </row>
    <row r="33" spans="1:5" ht="30">
      <c r="A33" s="168" t="s">
        <v>39</v>
      </c>
      <c r="B33" s="37">
        <f>IF( ISERROR(IND_textiel_ele_kWh/1000),0,IND_textiel_ele_kWh/1000)</f>
        <v>78074.729921846301</v>
      </c>
      <c r="C33" s="39">
        <f>IF(ISERROR(B33*3.6/1000000/'E Balans VL '!Z21*100),0,B33*3.6/1000000/'E Balans VL '!Z21*100)</f>
        <v>12.839668604477994</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71.939578029942197</v>
      </c>
      <c r="C37" s="39">
        <f>IF(ISERROR(B37*3.6/1000000/'E Balans VL '!Z15*100),0,B37*3.6/1000000/'E Balans VL '!Z15*100)</f>
        <v>5.9067842421404971E-4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801.50535772364094</v>
      </c>
      <c r="C5" s="17">
        <f>'Eigen informatie GS &amp; warmtenet'!B62</f>
        <v>0</v>
      </c>
      <c r="D5" s="30">
        <f>IF(ISERROR(SUM(LB_lb_gas_kWh,LB_rest_gas_kWh)/1000),0,SUM(LB_lb_gas_kWh,LB_rest_gas_kWh)/1000)*0.903</f>
        <v>92.286642645130385</v>
      </c>
      <c r="E5" s="17">
        <f>B17*'E Balans VL '!I25/3.6*1000000/100</f>
        <v>22.956469840598473</v>
      </c>
      <c r="F5" s="17">
        <f>B17*('E Balans VL '!L25/3.6*1000000+'E Balans VL '!N25/3.6*1000000)/100</f>
        <v>2537.1519346887931</v>
      </c>
      <c r="G5" s="18"/>
      <c r="H5" s="17"/>
      <c r="I5" s="17"/>
      <c r="J5" s="17">
        <f>('E Balans VL '!D25+'E Balans VL '!E25)/3.6*1000000*landbouw!B17/100</f>
        <v>203.79764328369103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801.50535772364094</v>
      </c>
      <c r="C8" s="21">
        <f>C5+C6</f>
        <v>0</v>
      </c>
      <c r="D8" s="21">
        <f>MAX((D5+D6),0)</f>
        <v>92.286642645130385</v>
      </c>
      <c r="E8" s="21">
        <f>MAX((E5+E6),0)</f>
        <v>22.956469840598473</v>
      </c>
      <c r="F8" s="21">
        <f>MAX((F5+F6),0)</f>
        <v>2537.1519346887931</v>
      </c>
      <c r="G8" s="21"/>
      <c r="H8" s="21"/>
      <c r="I8" s="21"/>
      <c r="J8" s="21">
        <f>MAX((J5+J6),0)</f>
        <v>203.79764328369103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0.19060276896537495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152.76914052270934</v>
      </c>
      <c r="C12" s="23">
        <f ca="1">C8*C10</f>
        <v>0</v>
      </c>
      <c r="D12" s="23">
        <f>D8*D10</f>
        <v>18.641901814316338</v>
      </c>
      <c r="E12" s="23">
        <f>E8*E10</f>
        <v>5.2111186538158538</v>
      </c>
      <c r="F12" s="23">
        <f>F8*F10</f>
        <v>677.4195665619078</v>
      </c>
      <c r="G12" s="23"/>
      <c r="H12" s="23"/>
      <c r="I12" s="23"/>
      <c r="J12" s="23">
        <f>J8*J10</f>
        <v>72.144365722426627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0.11099030949512799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181.04522557927217</v>
      </c>
      <c r="C26" s="243">
        <f>B26*'GWP N2O_CH4'!B5</f>
        <v>3801.9497371647158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36.585418284744314</v>
      </c>
      <c r="C27" s="243">
        <f>B27*'GWP N2O_CH4'!B5</f>
        <v>768.29378397963058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2.8590945002258707</v>
      </c>
      <c r="C28" s="243">
        <f>B28*'GWP N2O_CH4'!B4</f>
        <v>886.31929507001996</v>
      </c>
      <c r="D28" s="50"/>
    </row>
    <row r="29" spans="1:4">
      <c r="A29" s="41" t="s">
        <v>272</v>
      </c>
      <c r="B29" s="243">
        <f>B34*'ha_N2O bodem landbouw'!B4</f>
        <v>8.7474290889046493</v>
      </c>
      <c r="C29" s="243">
        <f>B29*'GWP N2O_CH4'!B4</f>
        <v>2711.7030175604414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1.9872593338316393E-3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3.4895232127068635E-4</v>
      </c>
      <c r="C5" s="434" t="s">
        <v>210</v>
      </c>
      <c r="D5" s="419">
        <f>SUM(D6:D11)</f>
        <v>6.0370701861474916E-4</v>
      </c>
      <c r="E5" s="419">
        <f>SUM(E6:E11)</f>
        <v>2.3786650517949328E-4</v>
      </c>
      <c r="F5" s="432" t="s">
        <v>210</v>
      </c>
      <c r="G5" s="419">
        <f>SUM(G6:G11)</f>
        <v>0.11351838463416823</v>
      </c>
      <c r="H5" s="419">
        <f>SUM(H6:H11)</f>
        <v>2.9566986631725332E-2</v>
      </c>
      <c r="I5" s="434" t="s">
        <v>210</v>
      </c>
      <c r="J5" s="434" t="s">
        <v>210</v>
      </c>
      <c r="K5" s="434" t="s">
        <v>210</v>
      </c>
      <c r="L5" s="434" t="s">
        <v>210</v>
      </c>
      <c r="M5" s="419">
        <f>SUM(M6:M11)</f>
        <v>8.6140703647567003E-3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3.0946559435412243E-4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5.1596773583193303E-4</v>
      </c>
      <c r="E6" s="886">
        <f>vkm_GW_PW*SUMIFS(TableVerdeelsleutelVkm[LPG],TableVerdeelsleutelVkm[Voertuigtype],"Lichte voertuigen")*SUMIFS(TableECFTransport[EnergieConsumptieFactor (PJ per km)],TableECFTransport[Index],CONCATENATE($A6,"_LPG_LPG"))</f>
        <v>2.0456022172456512E-4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6.1475485271057125E-2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2.5303960835736203E-2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5.3236630983612707E-3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9.9746880435601928E-7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3.9540292119965091E-2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2.9175012320609145E-7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2.2703367051928598E-3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3.8423945802316539E-5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8.773928278281616E-5</v>
      </c>
      <c r="E8" s="422">
        <f>vkm_NGW_PW*SUMIFS(TableVerdeelsleutelVkm[LPG],TableVerdeelsleutelVkm[Voertuigtype],"Lichte voertuigen")*SUMIFS(TableECFTransport[EnergieConsumptieFactor (PJ per km)],TableECFTransport[Index],CONCATENATE($A8,"_LPG_LPG"))</f>
        <v>3.3306283454928152E-5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9.1685564246261047E-3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4.2627109877819754E-3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8.2863511090835659E-4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6.5312309891333279E-8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3.3340508185199041E-3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2.3058083944274878E-8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1.9143545029421321E-4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96.931200352968432</v>
      </c>
      <c r="C14" s="21"/>
      <c r="D14" s="21">
        <f t="shared" ref="D14:M14" si="0">((D5)*10^9/3600)+D12</f>
        <v>167.69639405965256</v>
      </c>
      <c r="E14" s="21">
        <f t="shared" si="0"/>
        <v>66.074029216525915</v>
      </c>
      <c r="F14" s="21"/>
      <c r="G14" s="21">
        <f t="shared" si="0"/>
        <v>31532.88462060229</v>
      </c>
      <c r="H14" s="21">
        <f t="shared" si="0"/>
        <v>8213.0518421459255</v>
      </c>
      <c r="I14" s="21"/>
      <c r="J14" s="21"/>
      <c r="K14" s="21"/>
      <c r="L14" s="21"/>
      <c r="M14" s="21">
        <f t="shared" si="0"/>
        <v>2392.7973235435275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0.19060276896537495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18.475355186413314</v>
      </c>
      <c r="C18" s="23"/>
      <c r="D18" s="23">
        <f t="shared" ref="D18:M18" si="1">D14*D16</f>
        <v>33.874671600049822</v>
      </c>
      <c r="E18" s="23">
        <f t="shared" si="1"/>
        <v>14.998804632151383</v>
      </c>
      <c r="F18" s="23"/>
      <c r="G18" s="23">
        <f t="shared" si="1"/>
        <v>8419.2801937008117</v>
      </c>
      <c r="H18" s="23">
        <f t="shared" si="1"/>
        <v>2045.0499086943355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5.1997067735771158E-5</v>
      </c>
      <c r="C50" s="315">
        <f t="shared" ref="C50:P50" si="2">SUM(C51:C52)</f>
        <v>0</v>
      </c>
      <c r="D50" s="315">
        <f t="shared" si="2"/>
        <v>0</v>
      </c>
      <c r="E50" s="315">
        <f t="shared" si="2"/>
        <v>0</v>
      </c>
      <c r="F50" s="315">
        <f t="shared" si="2"/>
        <v>0</v>
      </c>
      <c r="G50" s="315">
        <f t="shared" si="2"/>
        <v>3.2551736384046205E-3</v>
      </c>
      <c r="H50" s="315">
        <f t="shared" si="2"/>
        <v>0</v>
      </c>
      <c r="I50" s="315">
        <f t="shared" si="2"/>
        <v>0</v>
      </c>
      <c r="J50" s="315">
        <f t="shared" si="2"/>
        <v>0</v>
      </c>
      <c r="K50" s="315">
        <f t="shared" si="2"/>
        <v>0</v>
      </c>
      <c r="L50" s="315">
        <f t="shared" si="2"/>
        <v>0</v>
      </c>
      <c r="M50" s="315">
        <f t="shared" si="2"/>
        <v>1.869048626048122E-4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5.1997067735771158E-5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3.2551736384046205E-3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1.869048626048122E-4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14.4436299266031</v>
      </c>
      <c r="C54" s="21">
        <f t="shared" ref="C54:P54" si="3">(C50)*10^9/3600</f>
        <v>0</v>
      </c>
      <c r="D54" s="21">
        <f t="shared" si="3"/>
        <v>0</v>
      </c>
      <c r="E54" s="21">
        <f t="shared" si="3"/>
        <v>0</v>
      </c>
      <c r="F54" s="21">
        <f t="shared" si="3"/>
        <v>0</v>
      </c>
      <c r="G54" s="21">
        <f t="shared" si="3"/>
        <v>904.21489955683899</v>
      </c>
      <c r="H54" s="21">
        <f t="shared" si="3"/>
        <v>0</v>
      </c>
      <c r="I54" s="21">
        <f t="shared" si="3"/>
        <v>0</v>
      </c>
      <c r="J54" s="21">
        <f t="shared" si="3"/>
        <v>0</v>
      </c>
      <c r="K54" s="21">
        <f t="shared" si="3"/>
        <v>0</v>
      </c>
      <c r="L54" s="21">
        <f t="shared" si="3"/>
        <v>0</v>
      </c>
      <c r="M54" s="21">
        <f t="shared" si="3"/>
        <v>51.918017390225607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0.19060276896537495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2.752995857921706</v>
      </c>
      <c r="C58" s="23">
        <f t="shared" ref="C58:P58" ca="1" si="4">C54*C56</f>
        <v>0</v>
      </c>
      <c r="D58" s="23">
        <f t="shared" si="4"/>
        <v>0</v>
      </c>
      <c r="E58" s="23">
        <f t="shared" si="4"/>
        <v>0</v>
      </c>
      <c r="F58" s="23">
        <f t="shared" si="4"/>
        <v>0</v>
      </c>
      <c r="G58" s="23">
        <f t="shared" si="4"/>
        <v>241.42537818167602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14299.523641440521</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3230.6154895638933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4549.4999999999991</v>
      </c>
      <c r="C8" s="545">
        <f>B48</f>
        <v>5352.3529411764703</v>
      </c>
      <c r="D8" s="546"/>
      <c r="E8" s="546">
        <f>E48</f>
        <v>0</v>
      </c>
      <c r="F8" s="547"/>
      <c r="G8" s="548"/>
      <c r="H8" s="546">
        <f>I48</f>
        <v>0</v>
      </c>
      <c r="I8" s="546">
        <f>G48+F48</f>
        <v>0</v>
      </c>
      <c r="J8" s="546">
        <f>H48+D48+C48</f>
        <v>0</v>
      </c>
      <c r="K8" s="546"/>
      <c r="L8" s="546"/>
      <c r="M8" s="546"/>
      <c r="N8" s="549"/>
      <c r="O8" s="550">
        <f>C8*$C$12+D8*$D$12+E8*$E$12+F8*$F$12+G8*$G$12+H8*$H$12+I8*$I$12+J8*$J$12</f>
        <v>1081.1752941176471</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22079.639131004413</v>
      </c>
      <c r="C10" s="560">
        <f t="shared" ref="C10:L10" si="0">SUM(C8:C9)</f>
        <v>5352.3529411764703</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1081.1752941176471</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6499.2857142857129</v>
      </c>
      <c r="C17" s="576">
        <f>B49</f>
        <v>7646.2184873949573</v>
      </c>
      <c r="D17" s="577"/>
      <c r="E17" s="577">
        <f>E49</f>
        <v>0</v>
      </c>
      <c r="F17" s="578"/>
      <c r="G17" s="579"/>
      <c r="H17" s="576">
        <f>I49</f>
        <v>0</v>
      </c>
      <c r="I17" s="577">
        <f>G49+F49</f>
        <v>0</v>
      </c>
      <c r="J17" s="577">
        <f>H49+D49+C49</f>
        <v>0</v>
      </c>
      <c r="K17" s="577"/>
      <c r="L17" s="577"/>
      <c r="M17" s="577"/>
      <c r="N17" s="962"/>
      <c r="O17" s="580">
        <f>C17*$C$22+E17*$E$22+H17*$H$22+I17*$I$22+J17*$J$22+D17*$D$22+F17*$F$22+G17*$G$22+K17*$K$22+L17*$L$22</f>
        <v>1544.5361344537814</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6499.2857142857129</v>
      </c>
      <c r="C20" s="559">
        <f>SUM(C17:C19)</f>
        <v>7646.2184873949573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1544.5361344537814</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34003</v>
      </c>
      <c r="C28" s="787">
        <v>8580</v>
      </c>
      <c r="D28" s="637" t="s">
        <v>874</v>
      </c>
      <c r="E28" s="636" t="s">
        <v>875</v>
      </c>
      <c r="F28" s="636" t="s">
        <v>876</v>
      </c>
      <c r="G28" s="636" t="s">
        <v>877</v>
      </c>
      <c r="H28" s="636" t="s">
        <v>878</v>
      </c>
      <c r="I28" s="636" t="s">
        <v>879</v>
      </c>
      <c r="J28" s="786">
        <v>41543</v>
      </c>
      <c r="K28" s="786">
        <v>42059</v>
      </c>
      <c r="L28" s="636" t="s">
        <v>880</v>
      </c>
      <c r="M28" s="636">
        <v>1011</v>
      </c>
      <c r="N28" s="636">
        <v>4549.4999999999991</v>
      </c>
      <c r="O28" s="636">
        <v>6499.2857142857129</v>
      </c>
      <c r="P28" s="636">
        <v>12998.571428571428</v>
      </c>
      <c r="Q28" s="636">
        <v>0</v>
      </c>
      <c r="R28" s="636">
        <v>0</v>
      </c>
      <c r="S28" s="636">
        <v>0</v>
      </c>
      <c r="T28" s="636">
        <v>0</v>
      </c>
      <c r="U28" s="636">
        <v>0</v>
      </c>
      <c r="V28" s="636">
        <v>0</v>
      </c>
      <c r="W28" s="636">
        <v>0</v>
      </c>
      <c r="X28" s="636">
        <v>600</v>
      </c>
      <c r="Y28" s="636" t="s">
        <v>39</v>
      </c>
      <c r="Z28" s="638" t="s">
        <v>379</v>
      </c>
    </row>
    <row r="29" spans="1:26" s="570" customFormat="1">
      <c r="A29" s="592" t="s">
        <v>275</v>
      </c>
      <c r="B29" s="593"/>
      <c r="C29" s="593"/>
      <c r="D29" s="593"/>
      <c r="E29" s="593"/>
      <c r="F29" s="593"/>
      <c r="G29" s="593"/>
      <c r="H29" s="593"/>
      <c r="I29" s="593"/>
      <c r="J29" s="593"/>
      <c r="K29" s="593"/>
      <c r="L29" s="594"/>
      <c r="M29" s="594">
        <f>SUM(M28:M28)</f>
        <v>1011</v>
      </c>
      <c r="N29" s="594">
        <f>SUM(N28:N28)</f>
        <v>4549.4999999999991</v>
      </c>
      <c r="O29" s="594">
        <f>SUM(O28:O28)</f>
        <v>6499.2857142857129</v>
      </c>
      <c r="P29" s="594">
        <f>SUM(P28:P28)</f>
        <v>12998.571428571428</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1011</v>
      </c>
      <c r="N30" s="594">
        <f>SUMIF($Z$28:$Z$28,"industrie",N28:N28)</f>
        <v>4549.4999999999991</v>
      </c>
      <c r="O30" s="594">
        <f>SUMIF($Z$28:$Z$28,"industrie",O28:O28)</f>
        <v>6499.2857142857129</v>
      </c>
      <c r="P30" s="594">
        <f>SUMIF($Z$28:$Z$28,"industrie",P28:P28)</f>
        <v>12998.571428571428</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5352.3529411764703</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7646.2184873949573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2021-06-29T14:17:20Z</dcterms:modified>
</cp:coreProperties>
</file>