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22" i="59"/>
  <c r="C20" i="16"/>
  <c r="C22" i="16" s="1"/>
  <c r="D43" i="14" s="1"/>
  <c r="C10" i="17"/>
  <c r="C12" i="17" s="1"/>
  <c r="D54" i="14" s="1"/>
  <c r="D56" i="14" s="1"/>
  <c r="C17" i="19"/>
  <c r="C19" i="19" s="1"/>
  <c r="D39"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<sst xmlns="http://schemas.openxmlformats.org/spreadsheetml/2006/main" count="2446" uniqueCount="885">
  <si>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</si>
  <si>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</si>
  <si>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</si>
  <si>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</si>
  <si>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</si>
  <si>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</si>
  <si>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</si>
  <si>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</si>
  <si>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</si>
  <si>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</si>
  <si>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</si>
  <si>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</si>
  <si>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</si>
  <si>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</si>
  <si>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</si>
  <si>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</si>
  <si>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</si>
  <si>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</si>
  <si>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</si>
  <si>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</si>
  <si>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</si>
  <si>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</si>
  <si>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</si>
  <si>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</si>
  <si>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</si>
  <si>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</si>
  <si>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</si>
  <si>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</si>
  <si>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</si>
  <si>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</si>
  <si>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</si>
  <si>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</si>
  <si>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</si>
  <si>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</si>
  <si>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</si>
  <si>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</si>
  <si>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</si>
  <si>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</si>
  <si>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</si>
  <si>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</si>
  <si>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</si>
  <si>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</si>
  <si>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</si>
  <si>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</si>
  <si>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</si>
  <si>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</si>
  <si>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</si>
  <si>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</si>
  <si>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</si>
  <si>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</si>
  <si>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</si>
  <si>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</si>
  <si>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</si>
  <si>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</si>
  <si>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</si>
  <si>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</si>
  <si>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</si>
  <si>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</si>
  <si>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</si>
  <si>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</si>
  <si>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</si>
  <si>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</si>
  <si>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</si>
  <si>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</si>
  <si>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</si>
  <si>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</si>
  <si>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</si>
  <si>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</si>
  <si>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</si>
  <si>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</si>
  <si>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</si>
  <si>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</si>
  <si>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</si>
  <si>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</si>
  <si>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</si>
  <si>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</si>
  <si>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</si>
  <si>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</si>
  <si>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</si>
  <si>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</si>
  <si>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</si>
  <si>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</si>
  <si>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</si>
  <si>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</si>
  <si>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</si>
  <si>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</si>
  <si>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</si>
  <si>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</si>
  <si>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</si>
  <si>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</si>
  <si>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</si>
  <si>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</si>
  <si>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</si>
  <si>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</si>
  <si>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</si>
  <si>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</si>
  <si>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</si>
  <si>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</si>
  <si>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</si>
  <si>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</si>
  <si>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</si>
  <si>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</si>
  <si>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</si>
  <si>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</si>
  <si>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</si>
  <si>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</si>
  <si>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</si>
  <si>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</si>
  <si>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</si>
  <si>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</si>
  <si>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</si>
  <si>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</si>
  <si>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</si>
  <si>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</si>
  <si>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</si>
  <si>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</si>
  <si>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</si>
  <si>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</si>
  <si>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</si>
  <si>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</si>
  <si>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</si>
  <si>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</si>
  <si>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</si>
  <si>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</si>
  <si>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</si>
  <si>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</si>
  <si>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</si>
  <si>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</si>
  <si>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</si>
  <si>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</si>
  <si>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</si>
  <si>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</si>
  <si>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</si>
  <si>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</si>
  <si>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</si>
  <si>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</si>
  <si>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</si>
  <si>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</si>
  <si>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</si>
  <si>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</si>
  <si>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</si>
  <si>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</si>
  <si>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</si>
  <si>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</si>
  <si>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</si>
  <si>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</si>
  <si>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</si>
  <si>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</si>
  <si>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</si>
  <si>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</si>
  <si>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</si>
  <si>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</si>
  <si>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</si>
  <si>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</si>
  <si>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</si>
  <si>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</si>
  <si>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</si>
  <si>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</si>
  <si>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</si>
  <si>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</si>
  <si>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</si>
  <si>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</si>
  <si>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</si>
  <si>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</si>
  <si>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</si>
  <si>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</si>
  <si>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</si>
  <si>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</si>
  <si>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</si>
  <si>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</si>
  <si>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</si>
  <si>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</si>
  <si>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</si>
  <si>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</si>
  <si>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</si>
  <si>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</si>
  <si>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</si>
  <si>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</si>
  <si>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</si>
  <si>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</si>
  <si>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</si>
  <si>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</si>
  <si>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</si>
  <si>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</si>
  <si>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</si>
  <si>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</si>
  <si>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</si>
  <si>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</si>
  <si>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</si>
  <si>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</si>
  <si>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</si>
  <si>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</si>
  <si>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</si>
  <si>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</si>
  <si>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</si>
  <si>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</si>
  <si>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</si>
  <si>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</si>
  <si>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</si>
  <si>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</si>
  <si>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</si>
  <si>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</si>
  <si>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</si>
  <si>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</si>
  <si>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</si>
  <si>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</si>
  <si>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</si>
  <si>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</si>
  <si>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</si>
  <si>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</si>
  <si>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</si>
  <si>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</si>
  <si>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</si>
  <si>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</si>
  <si>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</si>
  <si>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</si>
  <si>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</si>
  <si>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</si>
  <si>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</si>
  <si>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</si>
  <si>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</si>
  <si>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</si>
  <si>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</si>
  <si>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</si>
  <si>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</si>
  <si>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</si>
  <si>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</si>
  <si>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</si>
  <si>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</si>
  <si>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</si>
  <si>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</si>
  <si>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</si>
  <si>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</si>
  <si>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</si>
  <si>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</si>
  <si>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</si>
  <si>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</si>
  <si>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</si>
  <si>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</si>
  <si>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</si>
  <si>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</si>
  <si>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</si>
  <si>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</si>
  <si>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</si>
  <si>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</si>
  <si>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</si>
  <si>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</si>
  <si>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</si>
  <si>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</si>
  <si>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</si>
  <si>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</si>
  <si>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</si>
  <si>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</si>
  <si>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</si>
  <si>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</si>
  <si>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</si>
  <si>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</si>
  <si>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</si>
  <si>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</si>
  <si>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</si>
  <si>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</si>
  <si>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</si>
  <si>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</si>
  <si>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</si>
  <si>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</si>
  <si>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</si>
  <si>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</si>
  <si>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</si>
  <si>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</si>
  <si>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</si>
  <si>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</si>
  <si>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</si>
  <si>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</si>
  <si>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</si>
  <si>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</si>
  <si>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</si>
  <si>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</si>
  <si>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</si>
  <si>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</si>
  <si>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</si>
  <si>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</si>
  <si>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</si>
  <si>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</si>
  <si>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</si>
  <si>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</si>
  <si>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</si>
  <si>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</si>
  <si>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</si>
  <si>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</si>
  <si>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</si>
  <si>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</si>
  <si>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</si>
  <si>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</si>
  <si>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</si>
  <si>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</si>
  <si>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</si>
  <si>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</si>
  <si>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</si>
  <si>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</si>
  <si>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</si>
  <si>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</si>
  <si>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</si>
  <si>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</si>
  <si>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</si>
  <si>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</si>
  <si>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</si>
  <si>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</si>
  <si>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</si>
  <si>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</si>
  <si>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</si>
  <si>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</si>
  <si>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</si>
  <si>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</si>
  <si>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</si>
  <si>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</si>
  <si>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</si>
  <si>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</si>
  <si>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</si>
  <si>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</si>
  <si>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</si>
  <si>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</si>
  <si>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</si>
  <si>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</si>
  <si>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</si>
  <si>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</si>
  <si>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</si>
  <si>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</si>
  <si>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</si>
  <si>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</si>
  <si>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</si>
  <si>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</si>
  <si>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</si>
  <si>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</si>
  <si>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</si>
  <si>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</si>
  <si>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</si>
  <si>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</si>
  <si>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</si>
  <si>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</si>
  <si>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</si>
  <si>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</si>
  <si>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</si>
  <si>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</si>
  <si>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</si>
  <si>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</si>
  <si>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</si>
  <si>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</si>
  <si>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</si>
  <si>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</si>
  <si>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</si>
  <si>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</si>
  <si>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</si>
  <si>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</si>
  <si>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</si>
  <si>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</si>
  <si>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</si>
  <si>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</si>
  <si>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</si>
  <si>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</si>
  <si>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</si>
  <si>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</si>
  <si>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</si>
  <si>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</si>
  <si>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</si>
  <si>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</si>
  <si>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</si>
  <si>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</si>
  <si>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</si>
  <si>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</si>
  <si>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</si>
  <si>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</si>
  <si>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</si>
  <si>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</si>
  <si>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</si>
  <si>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</si>
  <si>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</si>
  <si>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</si>
  <si>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</si>
  <si>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</si>
  <si>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</si>
  <si>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</si>
  <si>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</si>
  <si>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</si>
  <si>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</si>
  <si>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</si>
  <si>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</si>
  <si>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</si>
  <si>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</si>
  <si>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</si>
  <si>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</si>
  <si>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</si>
  <si>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</si>
  <si>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</si>
  <si>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</si>
  <si>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</si>
  <si>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</si>
  <si>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</si>
  <si>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</si>
  <si>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</si>
  <si>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</si>
  <si>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</si>
  <si>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</si>
  <si>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</si>
  <si>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</si>
  <si>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</si>
  <si>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</si>
  <si>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</si>
  <si>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</si>
  <si>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</si>
  <si>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</si>
  <si>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</si>
  <si>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</si>
  <si>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</si>
  <si>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</si>
  <si>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</si>
  <si>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</si>
  <si>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</si>
  <si>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</si>
  <si>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</si>
  <si>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</si>
  <si>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</si>
  <si>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</si>
  <si>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</si>
  <si>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</si>
  <si>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</si>
  <si>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</si>
  <si>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</si>
  <si>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</si>
  <si>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</si>
  <si>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</si>
  <si>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</si>
  <si>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</si>
  <si>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</si>
  <si>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</si>
  <si>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</si>
  <si>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</si>
  <si>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</si>
  <si>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</si>
  <si>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</si>
  <si>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</si>
  <si>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</si>
  <si>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</si>
  <si>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</si>
  <si>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</si>
  <si>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</si>
  <si>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</si>
  <si>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</si>
  <si>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</si>
  <si>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</si>
  <si>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</si>
  <si>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</si>
  <si>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</si>
  <si>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</si>
  <si>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</si>
  <si>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</si>
  <si>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</si>
  <si>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</si>
  <si>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</si>
  <si>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</si>
  <si>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</si>
  <si>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</si>
  <si>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</si>
  <si>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</si>
  <si>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</si>
  <si>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</si>
  <si>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</si>
  <si>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</si>
  <si>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</si>
  <si>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</si>
  <si>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</si>
  <si>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</si>
  <si>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</si>
  <si>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</si>
  <si>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</si>
  <si>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</si>
  <si>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</si>
  <si>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</si>
  <si>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</si>
  <si>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</si>
  <si>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</si>
  <si>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</si>
  <si>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</si>
  <si>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</si>
  <si>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</si>
  <si>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</si>
  <si>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</si>
  <si>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</si>
  <si>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</si>
  <si>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</si>
  <si>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</si>
  <si>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</si>
  <si>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</si>
  <si>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</si>
  <si>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</si>
  <si>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</si>
  <si>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</si>
  <si>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</si>
  <si>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</si>
  <si>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</si>
  <si>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</si>
  <si>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</si>
  <si>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</si>
  <si>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</si>
  <si>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</si>
  <si>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</si>
  <si>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</si>
  <si>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</si>
  <si>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</si>
  <si>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</si>
  <si>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</si>
  <si>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</si>
  <si>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</si>
  <si>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</si>
  <si>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</si>
  <si>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</si>
  <si>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</si>
  <si>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</si>
  <si>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</si>
  <si>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</si>
  <si>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</si>
  <si>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</si>
  <si>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</si>
  <si>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</si>
  <si>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</si>
  <si>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</si>
  <si>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</si>
  <si>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</si>
  <si>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</si>
  <si>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</si>
  <si>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</si>
  <si>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</si>
  <si>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</si>
  <si>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</si>
  <si>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</si>
  <si>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</si>
  <si>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</si>
  <si>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</si>
  <si>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</si>
  <si>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</si>
  <si>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</si>
  <si>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</si>
  <si>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</si>
  <si>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</si>
  <si>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</si>
  <si>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</si>
  <si>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</si>
  <si>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</si>
  <si>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</si>
  <si>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</si>
  <si>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</si>
  <si>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</si>
  <si>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</si>
  <si>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</si>
  <si>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</si>
  <si>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</si>
  <si>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</si>
  <si>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</si>
  <si>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</si>
  <si>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</si>
  <si>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</si>
  <si>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</si>
  <si>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</si>
  <si>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</si>
  <si>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</si>
  <si>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</si>
  <si>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</si>
  <si>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</si>
  <si>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</si>
  <si>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</si>
  <si>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</si>
  <si>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</si>
  <si>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</si>
  <si>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</si>
  <si>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</si>
  <si>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</si>
  <si>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</si>
  <si>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</si>
  <si>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</si>
  <si>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</si>
  <si>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</si>
  <si>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</si>
  <si>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</si>
  <si>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</si>
  <si>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</si>
  <si>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</si>
  <si>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</si>
  <si>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</si>
  <si>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</si>
  <si>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</si>
  <si>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</si>
  <si>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</si>
  <si>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</si>
  <si>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</si>
  <si>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</si>
  <si>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</si>
  <si>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</si>
  <si>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</si>
  <si>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</si>
  <si>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</si>
  <si>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</si>
  <si>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</si>
  <si>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</si>
  <si>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</si>
  <si>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</si>
  <si>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</si>
  <si>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</si>
  <si>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</si>
  <si>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</si>
  <si>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</si>
  <si>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</si>
  <si>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</si>
  <si>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</si>
  <si>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</si>
  <si>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</si>
  <si>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</si>
  <si>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</si>
  <si>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</si>
  <si>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</si>
  <si>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</si>
  <si>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</si>
  <si>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</si>
  <si>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</si>
  <si>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</si>
  <si>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</si>
  <si>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</si>
  <si>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</si>
  <si>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</si>
  <si>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</si>
  <si>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</si>
  <si>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</si>
  <si>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</si>
  <si>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</si>
  <si>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</si>
  <si>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</si>
  <si>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</si>
  <si>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</si>
  <si>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</si>
  <si>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</si>
  <si>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</si>
  <si>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</si>
  <si>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</si>
  <si>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</si>
  <si>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</si>
  <si>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</si>
  <si>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</si>
  <si>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</si>
  <si>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</si>
  <si>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</si>
  <si>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</si>
  <si>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</si>
  <si>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</si>
  <si>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</si>
  <si>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</si>
  <si>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</si>
  <si>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</si>
  <si>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</si>
  <si>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</si>
  <si>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</si>
  <si>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</si>
  <si>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</si>
  <si>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</si>
  <si>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</si>
  <si>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</si>
  <si>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</si>
  <si>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</si>
  <si>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</si>
  <si>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</si>
  <si>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</si>
  <si>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</si>
  <si>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</si>
  <si>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</si>
  <si>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</si>
  <si>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</si>
  <si>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</si>
  <si>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</si>
  <si>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</si>
  <si>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</si>
  <si>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</si>
  <si>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</si>
  <si>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</si>
  <si>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</si>
  <si>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</si>
  <si>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</si>
  <si>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</si>
  <si>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</si>
  <si>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</si>
  <si>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</si>
  <si>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</si>
  <si>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</si>
  <si>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</si>
  <si>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</si>
  <si>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</si>
  <si>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</si>
  <si>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</si>
  <si>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</si>
  <si>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</si>
  <si>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</si>
  <si>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</si>
  <si>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</si>
  <si>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</si>
  <si>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</si>
  <si>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</si>
  <si>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</si>
  <si>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</si>
  <si>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</si>
  <si>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</si>
  <si>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</si>
  <si>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</si>
  <si>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</si>
  <si>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</si>
  <si>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</si>
  <si>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</si>
  <si>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</si>
  <si>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</si>
  <si>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</si>
  <si>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</si>
  <si>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</si>
  <si>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</si>
  <si>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</si>
  <si>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</si>
  <si>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</si>
  <si>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</si>
  <si>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</si>
  <si>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</si>
  <si>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</si>
  <si>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</si>
  <si>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</si>
  <si>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</si>
  <si>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</si>
  <si>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</si>
  <si>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</si>
  <si>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</si>
  <si>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</si>
  <si>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</si>
  <si>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</si>
  <si>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</si>
  <si>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</si>
  <si>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</si>
  <si>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</si>
  <si>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</si>
  <si>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</si>
  <si>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</si>
  <si>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</si>
  <si>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</si>
  <si>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</si>
  <si>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</si>
  <si>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</si>
  <si>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</si>
  <si>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</si>
  <si>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</si>
  <si>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</si>
  <si>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</si>
  <si>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</si>
  <si>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</si>
  <si>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</si>
  <si>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</si>
  <si>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</si>
  <si>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</si>
  <si>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</si>
  <si>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</si>
  <si>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</si>
  <si>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</si>
  <si>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</si>
  <si>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</si>
  <si>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</si>
  <si>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</si>
  <si>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</si>
  <si>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</si>
  <si>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</si>
  <si>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</si>
  <si>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</si>
  <si>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</si>
  <si>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</si>
  <si>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</si>
  <si>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</si>
  <si>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</si>
  <si>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</si>
  <si>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</si>
  <si>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</si>
  <si>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</si>
  <si>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</si>
  <si>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</si>
  <si>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</si>
  <si>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</si>
  <si>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</si>
  <si>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</si>
  <si>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</si>
  <si>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</si>
  <si>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</si>
  <si>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</si>
  <si>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</si>
  <si>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</si>
  <si>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</si>
  <si>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</si>
  <si>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</si>
  <si>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</si>
  <si>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</si>
  <si>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</si>
  <si>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</si>
  <si>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</si>
  <si>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</si>
  <si>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</si>
  <si>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</si>
  <si>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</si>
  <si>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</si>
  <si>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</si>
  <si>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</si>
  <si>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</si>
  <si>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</si>
  <si>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</si>
  <si>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</si>
  <si>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</si>
  <si>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</si>
  <si>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</si>
  <si>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</si>
  <si>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</si>
  <si>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</si>
  <si>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</si>
  <si>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</si>
  <si>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</si>
  <si>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</si>
  <si>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</si>
  <si>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</si>
  <si>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</si>
  <si>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</si>
  <si>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</si>
  <si>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</si>
  <si>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</si>
  <si>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</si>
  <si>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</si>
  <si>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</si>
  <si>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</si>
  <si>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</si>
  <si>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</si>
  <si>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</si>
  <si>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</si>
  <si>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</si>
  <si>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</si>
  <si>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</si>
  <si>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</si>
  <si>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</si>
  <si>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</si>
  <si>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</si>
  <si>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</si>
  <si>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</si>
  <si>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</si>
  <si>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</si>
  <si>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</si>
  <si>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</si>
  <si>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</si>
  <si>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</si>
  <si>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</si>
  <si>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</si>
  <si>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</si>
  <si>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</si>
  <si>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</si>
  <si>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</si>
  <si>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</si>
  <si>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</si>
  <si>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</si>
  <si>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</si>
  <si>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</si>
  <si>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</si>
  <si>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</si>
  <si>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</si>
  <si>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</si>
  <si>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</si>
  <si>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</si>
  <si>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</si>
  <si>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</si>
  <si>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33037</t>
  </si>
  <si>
    <t>ZONNEBEKE</t>
  </si>
  <si>
    <t>referentietaak LNE (2017); Jaarverslag De Lijn</t>
  </si>
  <si>
    <t>waterkracht</t>
  </si>
  <si>
    <t>Holsteinthema-Legrand LV</t>
  </si>
  <si>
    <t>Houtemstraat 33 , 8980 Zonnebeke</t>
  </si>
  <si>
    <t>WKK-0440 Holsteinthema-Legrand</t>
  </si>
  <si>
    <t>interne verbrandingsmotor</t>
  </si>
  <si>
    <t>WKK interne verbrandinsgmotor (gas)</t>
  </si>
  <si>
    <t>GASELWEST</t>
  </si>
  <si>
    <t>Joghema</t>
  </si>
  <si>
    <t>WKK-1070</t>
  </si>
  <si>
    <t>Interne verbrandingsmotor</t>
  </si>
  <si>
    <t>Houtemstraat 30</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</si>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</sst>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99151.546489953209</c:v>
                </c:pt>
                <c:pt idx="1">
                  <c:v>36526.134611482172</c:v>
                </c:pt>
                <c:pt idx="2">
                  <c:v>731.40200000000004</c:v>
                </c:pt>
                <c:pt idx="3">
                  <c:v>26151.760409520026</c:v>
                </c:pt>
                <c:pt idx="4">
                  <c:v>200633.52488499906</c:v>
                </c:pt>
                <c:pt idx="5">
                  <c:v>129909.58657981992</c:v>
                </c:pt>
                <c:pt idx="6">
                  <c:v>1000.1152065422747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99151.546489953209</c:v>
                </c:pt>
                <c:pt idx="1">
                  <c:v>36526.134611482172</c:v>
                </c:pt>
                <c:pt idx="2">
                  <c:v>731.40200000000004</c:v>
                </c:pt>
                <c:pt idx="3">
                  <c:v>26151.760409520026</c:v>
                </c:pt>
                <c:pt idx="4">
                  <c:v>200633.52488499906</c:v>
                </c:pt>
                <c:pt idx="5">
                  <c:v>129909.58657981992</c:v>
                </c:pt>
                <c:pt idx="6">
                  <c:v>1000.1152065422747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20494.787743891804</c:v>
                </c:pt>
                <c:pt idx="1">
                  <c:v>7283.5157557746452</c:v>
                </c:pt>
                <c:pt idx="2">
                  <c:v>147.00985144719587</c:v>
                </c:pt>
                <c:pt idx="3">
                  <c:v>6627.2666439539389</c:v>
                </c:pt>
                <c:pt idx="4">
                  <c:v>39001.527903731439</c:v>
                </c:pt>
                <c:pt idx="5">
                  <c:v>32279.461924569208</c:v>
                </c:pt>
                <c:pt idx="6">
                  <c:v>251.76443662016857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20494.787743891804</c:v>
                </c:pt>
                <c:pt idx="1">
                  <c:v>7283.5157557746452</c:v>
                </c:pt>
                <c:pt idx="2">
                  <c:v>147.00985144719587</c:v>
                </c:pt>
                <c:pt idx="3">
                  <c:v>6627.2666439539389</c:v>
                </c:pt>
                <c:pt idx="4">
                  <c:v>39001.527903731439</c:v>
                </c:pt>
                <c:pt idx="5">
                  <c:v>32279.461924569208</c:v>
                </c:pt>
                <c:pt idx="6">
                  <c:v>251.76443662016857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33037</v>
      </c>
      <c r="B6" s="386"/>
      <c r="C6" s="387"/>
    </row>
    <row r="7" spans="1:7" s="384" customFormat="1" ht="15.75" customHeight="1">
      <c r="A7" s="388" t="str">
        <f>txtMunicipality</f>
        <v>ZONNEBEKE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16124.432358142025</v>
      </c>
      <c r="D10" s="683">
        <f ca="1">tertiair!C16</f>
        <v>62.357142857142847</v>
      </c>
      <c r="E10" s="683">
        <f ca="1">tertiair!D16</f>
        <v>10938.722063462828</v>
      </c>
      <c r="F10" s="683">
        <f>tertiair!E16</f>
        <v>125.86240038269597</v>
      </c>
      <c r="G10" s="683">
        <f ca="1">tertiair!F16</f>
        <v>7277.695926113709</v>
      </c>
      <c r="H10" s="683">
        <f>tertiair!G16</f>
        <v>0</v>
      </c>
      <c r="I10" s="683">
        <f>tertiair!H16</f>
        <v>0</v>
      </c>
      <c r="J10" s="683">
        <f>tertiair!I16</f>
        <v>0</v>
      </c>
      <c r="K10" s="683">
        <f>tertiair!J16</f>
        <v>7.1855738224786081E-2</v>
      </c>
      <c r="L10" s="683">
        <f>tertiair!K16</f>
        <v>0</v>
      </c>
      <c r="M10" s="683">
        <f ca="1">tertiair!L16</f>
        <v>0</v>
      </c>
      <c r="N10" s="683">
        <f>tertiair!M16</f>
        <v>0</v>
      </c>
      <c r="O10" s="683">
        <f ca="1">tertiair!N16</f>
        <v>2603.7275451091868</v>
      </c>
      <c r="P10" s="683">
        <f>tertiair!O16</f>
        <v>19.589043063364617</v>
      </c>
      <c r="Q10" s="684">
        <f>tertiair!P16</f>
        <v>105.07827661299004</v>
      </c>
      <c r="R10" s="686">
        <f ca="1">SUM(C10:Q10)</f>
        <v>37257.536611482174</v>
      </c>
      <c r="S10" s="67"/>
    </row>
    <row r="11" spans="1:19" s="445" customFormat="1">
      <c r="A11" s="804" t="s">
        <v>220</v>
      </c>
      <c r="B11" s="809"/>
      <c r="C11" s="683">
        <f>huishoudens!B8</f>
        <v>21160.262391105483</v>
      </c>
      <c r="D11" s="683">
        <f>huishoudens!C8</f>
        <v>0</v>
      </c>
      <c r="E11" s="683">
        <f>huishoudens!D8</f>
        <v>35957.877786180848</v>
      </c>
      <c r="F11" s="683">
        <f>huishoudens!E8</f>
        <v>1466.9540742131617</v>
      </c>
      <c r="G11" s="683">
        <f>huishoudens!F8</f>
        <v>32135.983861085908</v>
      </c>
      <c r="H11" s="683">
        <f>huishoudens!G8</f>
        <v>0</v>
      </c>
      <c r="I11" s="683">
        <f>huishoudens!H8</f>
        <v>0</v>
      </c>
      <c r="J11" s="683">
        <f>huishoudens!I8</f>
        <v>0</v>
      </c>
      <c r="K11" s="683">
        <f>huishoudens!J8</f>
        <v>183.14648685765843</v>
      </c>
      <c r="L11" s="683">
        <f>huishoudens!K8</f>
        <v>0</v>
      </c>
      <c r="M11" s="683">
        <f>huishoudens!L8</f>
        <v>0</v>
      </c>
      <c r="N11" s="683">
        <f>huishoudens!M8</f>
        <v>0</v>
      </c>
      <c r="O11" s="683">
        <f>huishoudens!N8</f>
        <v>6902.712070252619</v>
      </c>
      <c r="P11" s="683">
        <f>huishoudens!O8</f>
        <v>638.83454664262422</v>
      </c>
      <c r="Q11" s="684">
        <f>huishoudens!P8</f>
        <v>705.77527361489661</v>
      </c>
      <c r="R11" s="686">
        <f>SUM(C11:Q11)</f>
        <v>99151.546489953209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93572.465503116895</v>
      </c>
      <c r="D13" s="683">
        <f>industrie!C18</f>
        <v>0</v>
      </c>
      <c r="E13" s="683">
        <f>industrie!D18</f>
        <v>93756.613513606004</v>
      </c>
      <c r="F13" s="683">
        <f>industrie!E18</f>
        <v>340.67606586226464</v>
      </c>
      <c r="G13" s="683">
        <f>industrie!F18</f>
        <v>3909.7047057889386</v>
      </c>
      <c r="H13" s="683">
        <f>industrie!G18</f>
        <v>0</v>
      </c>
      <c r="I13" s="683">
        <f>industrie!H18</f>
        <v>0</v>
      </c>
      <c r="J13" s="683">
        <f>industrie!I18</f>
        <v>0</v>
      </c>
      <c r="K13" s="683">
        <f>industrie!J18</f>
        <v>377.54612966557681</v>
      </c>
      <c r="L13" s="683">
        <f>industrie!K18</f>
        <v>0</v>
      </c>
      <c r="M13" s="683">
        <f>industrie!L18</f>
        <v>0</v>
      </c>
      <c r="N13" s="683">
        <f>industrie!M18</f>
        <v>0</v>
      </c>
      <c r="O13" s="683">
        <f>industrie!N18</f>
        <v>8676.5189669593947</v>
      </c>
      <c r="P13" s="683">
        <f>industrie!O18</f>
        <v>0</v>
      </c>
      <c r="Q13" s="684">
        <f>industrie!P18</f>
        <v>0</v>
      </c>
      <c r="R13" s="686">
        <f>SUM(C13:Q13)</f>
        <v>200633.52488499906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130857.16025236441</v>
      </c>
      <c r="D16" s="719">
        <f t="shared" ref="D16:R16" ca="1" si="0">SUM(D9:D15)</f>
        <v>62.357142857142847</v>
      </c>
      <c r="E16" s="719">
        <f t="shared" ca="1" si="0"/>
        <v>140653.21336324967</v>
      </c>
      <c r="F16" s="719">
        <f t="shared" si="0"/>
        <v>1933.4925404581222</v>
      </c>
      <c r="G16" s="719">
        <f t="shared" ca="1" si="0"/>
        <v>43323.384492988553</v>
      </c>
      <c r="H16" s="719">
        <f t="shared" si="0"/>
        <v>0</v>
      </c>
      <c r="I16" s="719">
        <f t="shared" si="0"/>
        <v>0</v>
      </c>
      <c r="J16" s="719">
        <f t="shared" si="0"/>
        <v>0</v>
      </c>
      <c r="K16" s="719">
        <f t="shared" si="0"/>
        <v>560.76447226146001</v>
      </c>
      <c r="L16" s="719">
        <f t="shared" si="0"/>
        <v>0</v>
      </c>
      <c r="M16" s="719">
        <f t="shared" ca="1" si="0"/>
        <v>0</v>
      </c>
      <c r="N16" s="719">
        <f t="shared" si="0"/>
        <v>0</v>
      </c>
      <c r="O16" s="719">
        <f t="shared" ca="1" si="0"/>
        <v>18182.9585823212</v>
      </c>
      <c r="P16" s="719">
        <f t="shared" si="0"/>
        <v>658.42358970598889</v>
      </c>
      <c r="Q16" s="719">
        <f t="shared" si="0"/>
        <v>810.85355022788667</v>
      </c>
      <c r="R16" s="719">
        <f t="shared" ca="1" si="0"/>
        <v>337042.60798643448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14.883209339639102</v>
      </c>
      <c r="D19" s="683">
        <f>transport!C54</f>
        <v>0</v>
      </c>
      <c r="E19" s="683">
        <f>transport!D54</f>
        <v>0</v>
      </c>
      <c r="F19" s="683">
        <f>transport!E54</f>
        <v>0</v>
      </c>
      <c r="G19" s="683">
        <f>transport!F54</f>
        <v>0</v>
      </c>
      <c r="H19" s="683">
        <f>transport!G54</f>
        <v>931.73389975453256</v>
      </c>
      <c r="I19" s="683">
        <f>transport!H54</f>
        <v>0</v>
      </c>
      <c r="J19" s="683">
        <f>transport!I54</f>
        <v>0</v>
      </c>
      <c r="K19" s="683">
        <f>transport!J54</f>
        <v>0</v>
      </c>
      <c r="L19" s="683">
        <f>transport!K54</f>
        <v>0</v>
      </c>
      <c r="M19" s="683">
        <f>transport!L54</f>
        <v>0</v>
      </c>
      <c r="N19" s="683">
        <f>transport!M54</f>
        <v>53.498097448103117</v>
      </c>
      <c r="O19" s="683">
        <f>transport!N54</f>
        <v>0</v>
      </c>
      <c r="P19" s="683">
        <f>transport!O54</f>
        <v>0</v>
      </c>
      <c r="Q19" s="684">
        <f>transport!P54</f>
        <v>0</v>
      </c>
      <c r="R19" s="686">
        <f>SUM(C19:Q19)</f>
        <v>1000.1152065422747</v>
      </c>
      <c r="S19" s="67"/>
    </row>
    <row r="20" spans="1:19" s="445" customFormat="1">
      <c r="A20" s="804" t="s">
        <v>302</v>
      </c>
      <c r="B20" s="809"/>
      <c r="C20" s="683">
        <f>transport!B14</f>
        <v>276.21539868501384</v>
      </c>
      <c r="D20" s="683">
        <f>transport!C14</f>
        <v>0</v>
      </c>
      <c r="E20" s="683">
        <f>transport!D14</f>
        <v>448.57433838034075</v>
      </c>
      <c r="F20" s="683">
        <f>transport!E14</f>
        <v>194.85087164688781</v>
      </c>
      <c r="G20" s="683">
        <f>transport!F14</f>
        <v>0</v>
      </c>
      <c r="H20" s="683">
        <f>transport!G14</f>
        <v>99220.406249167747</v>
      </c>
      <c r="I20" s="683">
        <f>transport!H14</f>
        <v>22478.922623771665</v>
      </c>
      <c r="J20" s="683">
        <f>transport!I14</f>
        <v>0</v>
      </c>
      <c r="K20" s="683">
        <f>transport!J14</f>
        <v>0</v>
      </c>
      <c r="L20" s="683">
        <f>transport!K14</f>
        <v>0</v>
      </c>
      <c r="M20" s="683">
        <f>transport!L14</f>
        <v>0</v>
      </c>
      <c r="N20" s="683">
        <f>transport!M14</f>
        <v>7290.6170981682671</v>
      </c>
      <c r="O20" s="683">
        <f>transport!N14</f>
        <v>0</v>
      </c>
      <c r="P20" s="683">
        <f>transport!O14</f>
        <v>0</v>
      </c>
      <c r="Q20" s="684">
        <f>transport!P14</f>
        <v>0</v>
      </c>
      <c r="R20" s="686">
        <f>SUM(C20:Q20)</f>
        <v>129909.58657981992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291.09860802465295</v>
      </c>
      <c r="D22" s="807">
        <f t="shared" ref="D22:R22" si="1">SUM(D18:D21)</f>
        <v>0</v>
      </c>
      <c r="E22" s="807">
        <f t="shared" si="1"/>
        <v>448.57433838034075</v>
      </c>
      <c r="F22" s="807">
        <f t="shared" si="1"/>
        <v>194.85087164688781</v>
      </c>
      <c r="G22" s="807">
        <f t="shared" si="1"/>
        <v>0</v>
      </c>
      <c r="H22" s="807">
        <f t="shared" si="1"/>
        <v>100152.14014892228</v>
      </c>
      <c r="I22" s="807">
        <f t="shared" si="1"/>
        <v>22478.922623771665</v>
      </c>
      <c r="J22" s="807">
        <f t="shared" si="1"/>
        <v>0</v>
      </c>
      <c r="K22" s="807">
        <f t="shared" si="1"/>
        <v>0</v>
      </c>
      <c r="L22" s="807">
        <f t="shared" si="1"/>
        <v>0</v>
      </c>
      <c r="M22" s="807">
        <f t="shared" si="1"/>
        <v>0</v>
      </c>
      <c r="N22" s="807">
        <f t="shared" si="1"/>
        <v>7344.1151956163703</v>
      </c>
      <c r="O22" s="807">
        <f t="shared" si="1"/>
        <v>0</v>
      </c>
      <c r="P22" s="807">
        <f t="shared" si="1"/>
        <v>0</v>
      </c>
      <c r="Q22" s="807">
        <f t="shared" si="1"/>
        <v>0</v>
      </c>
      <c r="R22" s="807">
        <f t="shared" si="1"/>
        <v>130909.7017863622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5530.3275425848105</v>
      </c>
      <c r="D24" s="683">
        <f>+landbouw!C8</f>
        <v>77.142857142857139</v>
      </c>
      <c r="E24" s="683">
        <f>+landbouw!D8</f>
        <v>1473.5432031218602</v>
      </c>
      <c r="F24" s="683">
        <f>+landbouw!E8</f>
        <v>158.39793984727672</v>
      </c>
      <c r="G24" s="683">
        <f>+landbouw!F8</f>
        <v>17506.160238257267</v>
      </c>
      <c r="H24" s="683">
        <f>+landbouw!G8</f>
        <v>0</v>
      </c>
      <c r="I24" s="683">
        <f>+landbouw!H8</f>
        <v>0</v>
      </c>
      <c r="J24" s="683">
        <f>+landbouw!I8</f>
        <v>0</v>
      </c>
      <c r="K24" s="683">
        <f>+landbouw!J8</f>
        <v>1406.1886285659536</v>
      </c>
      <c r="L24" s="683">
        <f>+landbouw!K8</f>
        <v>0</v>
      </c>
      <c r="M24" s="683">
        <f>+landbouw!L8</f>
        <v>0</v>
      </c>
      <c r="N24" s="683">
        <f>+landbouw!M8</f>
        <v>0</v>
      </c>
      <c r="O24" s="683">
        <f>+landbouw!N8</f>
        <v>0</v>
      </c>
      <c r="P24" s="683">
        <f>+landbouw!O8</f>
        <v>0</v>
      </c>
      <c r="Q24" s="684">
        <f>+landbouw!P8</f>
        <v>0</v>
      </c>
      <c r="R24" s="686">
        <f>SUM(C24:Q24)</f>
        <v>26151.760409520026</v>
      </c>
      <c r="S24" s="67"/>
    </row>
    <row r="25" spans="1:19" s="445" customFormat="1" ht="15" thickBot="1">
      <c r="A25" s="826" t="s">
        <v>696</v>
      </c>
      <c r="B25" s="939"/>
      <c r="C25" s="940">
        <f>IF(Onbekend_ele_kWh="---",0,Onbekend_ele_kWh)/1000+IF(REST_rest_ele_kWh="---",0,REST_rest_ele_kWh)/1000</f>
        <v>455.64174315041896</v>
      </c>
      <c r="D25" s="940"/>
      <c r="E25" s="940">
        <f>IF(onbekend_gas_kWh="---",0,onbekend_gas_kWh)/1000+IF(REST_rest_gas_kWh="---",0,REST_rest_gas_kWh)/1000</f>
        <v>650.08659788162095</v>
      </c>
      <c r="F25" s="940"/>
      <c r="G25" s="940"/>
      <c r="H25" s="940"/>
      <c r="I25" s="940"/>
      <c r="J25" s="940"/>
      <c r="K25" s="940"/>
      <c r="L25" s="940"/>
      <c r="M25" s="940"/>
      <c r="N25" s="940"/>
      <c r="O25" s="940"/>
      <c r="P25" s="940"/>
      <c r="Q25" s="941"/>
      <c r="R25" s="686">
        <f>SUM(C25:Q25)</f>
        <v>1105.7283410320399</v>
      </c>
      <c r="S25" s="67"/>
    </row>
    <row r="26" spans="1:19" s="445" customFormat="1" ht="15.75" thickBot="1">
      <c r="A26" s="691" t="s">
        <v>697</v>
      </c>
      <c r="B26" s="812"/>
      <c r="C26" s="807">
        <f>SUM(C24:C25)</f>
        <v>5985.9692857352293</v>
      </c>
      <c r="D26" s="807">
        <f t="shared" ref="D26:R26" si="2">SUM(D24:D25)</f>
        <v>77.142857142857139</v>
      </c>
      <c r="E26" s="807">
        <f t="shared" si="2"/>
        <v>2123.6298010034811</v>
      </c>
      <c r="F26" s="807">
        <f t="shared" si="2"/>
        <v>158.39793984727672</v>
      </c>
      <c r="G26" s="807">
        <f t="shared" si="2"/>
        <v>17506.160238257267</v>
      </c>
      <c r="H26" s="807">
        <f t="shared" si="2"/>
        <v>0</v>
      </c>
      <c r="I26" s="807">
        <f t="shared" si="2"/>
        <v>0</v>
      </c>
      <c r="J26" s="807">
        <f t="shared" si="2"/>
        <v>0</v>
      </c>
      <c r="K26" s="807">
        <f t="shared" si="2"/>
        <v>1406.1886285659536</v>
      </c>
      <c r="L26" s="807">
        <f t="shared" si="2"/>
        <v>0</v>
      </c>
      <c r="M26" s="807">
        <f t="shared" si="2"/>
        <v>0</v>
      </c>
      <c r="N26" s="807">
        <f t="shared" si="2"/>
        <v>0</v>
      </c>
      <c r="O26" s="807">
        <f t="shared" si="2"/>
        <v>0</v>
      </c>
      <c r="P26" s="807">
        <f t="shared" si="2"/>
        <v>0</v>
      </c>
      <c r="Q26" s="807">
        <f t="shared" si="2"/>
        <v>0</v>
      </c>
      <c r="R26" s="807">
        <f t="shared" si="2"/>
        <v>27257.488750552067</v>
      </c>
      <c r="S26" s="67"/>
    </row>
    <row r="27" spans="1:19" s="445" customFormat="1" ht="17.25" thickTop="1" thickBot="1">
      <c r="A27" s="692" t="s">
        <v>115</v>
      </c>
      <c r="B27" s="799"/>
      <c r="C27" s="693">
        <f ca="1">C22+C16+C26</f>
        <v>137134.22814612428</v>
      </c>
      <c r="D27" s="693">
        <f t="shared" ref="D27:R27" ca="1" si="3">D22+D16+D26</f>
        <v>139.5</v>
      </c>
      <c r="E27" s="693">
        <f t="shared" ca="1" si="3"/>
        <v>143225.4175026335</v>
      </c>
      <c r="F27" s="693">
        <f t="shared" si="3"/>
        <v>2286.7413519522865</v>
      </c>
      <c r="G27" s="693">
        <f t="shared" ca="1" si="3"/>
        <v>60829.54473124582</v>
      </c>
      <c r="H27" s="693">
        <f t="shared" si="3"/>
        <v>100152.14014892228</v>
      </c>
      <c r="I27" s="693">
        <f t="shared" si="3"/>
        <v>22478.922623771665</v>
      </c>
      <c r="J27" s="693">
        <f t="shared" si="3"/>
        <v>0</v>
      </c>
      <c r="K27" s="693">
        <f t="shared" si="3"/>
        <v>1966.9531008274137</v>
      </c>
      <c r="L27" s="693">
        <f t="shared" si="3"/>
        <v>0</v>
      </c>
      <c r="M27" s="693">
        <f t="shared" ca="1" si="3"/>
        <v>0</v>
      </c>
      <c r="N27" s="693">
        <f t="shared" si="3"/>
        <v>7344.1151956163703</v>
      </c>
      <c r="O27" s="693">
        <f t="shared" ca="1" si="3"/>
        <v>18182.9585823212</v>
      </c>
      <c r="P27" s="693">
        <f t="shared" si="3"/>
        <v>658.42358970598889</v>
      </c>
      <c r="Q27" s="693">
        <f t="shared" si="3"/>
        <v>810.85355022788667</v>
      </c>
      <c r="R27" s="693">
        <f t="shared" ca="1" si="3"/>
        <v>495209.79852334876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3240.9679022491287</v>
      </c>
      <c r="D40" s="683">
        <f ca="1">tertiair!C20</f>
        <v>8.1948340626573213</v>
      </c>
      <c r="E40" s="683">
        <f ca="1">tertiair!D20</f>
        <v>2209.6218568194913</v>
      </c>
      <c r="F40" s="683">
        <f>tertiair!E20</f>
        <v>28.570764886871984</v>
      </c>
      <c r="G40" s="683">
        <f ca="1">tertiair!F20</f>
        <v>1943.1448122723605</v>
      </c>
      <c r="H40" s="683">
        <f>tertiair!G20</f>
        <v>0</v>
      </c>
      <c r="I40" s="683">
        <f>tertiair!H20</f>
        <v>0</v>
      </c>
      <c r="J40" s="683">
        <f>tertiair!I20</f>
        <v>0</v>
      </c>
      <c r="K40" s="683">
        <f>tertiair!J20</f>
        <v>2.5436931331574271E-2</v>
      </c>
      <c r="L40" s="683">
        <f>tertiair!K20</f>
        <v>0</v>
      </c>
      <c r="M40" s="683">
        <f ca="1">tertiair!L20</f>
        <v>0</v>
      </c>
      <c r="N40" s="683">
        <f>tertiair!M20</f>
        <v>0</v>
      </c>
      <c r="O40" s="683">
        <f ca="1">tertiair!N20</f>
        <v>0</v>
      </c>
      <c r="P40" s="683">
        <f>tertiair!O20</f>
        <v>0</v>
      </c>
      <c r="Q40" s="766">
        <f>tertiair!P20</f>
        <v>0</v>
      </c>
      <c r="R40" s="845">
        <f t="shared" ca="1" si="4"/>
        <v>7430.5256072218408</v>
      </c>
    </row>
    <row r="41" spans="1:18">
      <c r="A41" s="817" t="s">
        <v>220</v>
      </c>
      <c r="B41" s="824"/>
      <c r="C41" s="683">
        <f ca="1">huishoudens!B12</f>
        <v>4253.1563089793335</v>
      </c>
      <c r="D41" s="683">
        <f ca="1">huishoudens!C12</f>
        <v>0</v>
      </c>
      <c r="E41" s="683">
        <f>huishoudens!D12</f>
        <v>7263.4913128085318</v>
      </c>
      <c r="F41" s="683">
        <f>huishoudens!E12</f>
        <v>332.99857484638773</v>
      </c>
      <c r="G41" s="683">
        <f>huishoudens!F12</f>
        <v>8580.3076909099382</v>
      </c>
      <c r="H41" s="683">
        <f>huishoudens!G12</f>
        <v>0</v>
      </c>
      <c r="I41" s="683">
        <f>huishoudens!H12</f>
        <v>0</v>
      </c>
      <c r="J41" s="683">
        <f>huishoudens!I12</f>
        <v>0</v>
      </c>
      <c r="K41" s="683">
        <f>huishoudens!J12</f>
        <v>64.833856347611075</v>
      </c>
      <c r="L41" s="683">
        <f>huishoudens!K12</f>
        <v>0</v>
      </c>
      <c r="M41" s="683">
        <f>huishoudens!L12</f>
        <v>0</v>
      </c>
      <c r="N41" s="683">
        <f>huishoudens!M12</f>
        <v>0</v>
      </c>
      <c r="O41" s="683">
        <f>huishoudens!N12</f>
        <v>0</v>
      </c>
      <c r="P41" s="683">
        <f>huishoudens!O12</f>
        <v>0</v>
      </c>
      <c r="Q41" s="766">
        <f>huishoudens!P12</f>
        <v>0</v>
      </c>
      <c r="R41" s="845">
        <f t="shared" ca="1" si="4"/>
        <v>20494.787743891804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18807.81602068503</v>
      </c>
      <c r="D43" s="683">
        <f ca="1">industrie!C22</f>
        <v>0</v>
      </c>
      <c r="E43" s="683">
        <f>industrie!D22</f>
        <v>18938.835929748413</v>
      </c>
      <c r="F43" s="683">
        <f>industrie!E22</f>
        <v>77.333466950734078</v>
      </c>
      <c r="G43" s="683">
        <f>industrie!F22</f>
        <v>1043.8911564456466</v>
      </c>
      <c r="H43" s="683">
        <f>industrie!G22</f>
        <v>0</v>
      </c>
      <c r="I43" s="683">
        <f>industrie!H22</f>
        <v>0</v>
      </c>
      <c r="J43" s="683">
        <f>industrie!I22</f>
        <v>0</v>
      </c>
      <c r="K43" s="683">
        <f>industrie!J22</f>
        <v>133.65132990161419</v>
      </c>
      <c r="L43" s="683">
        <f>industrie!K22</f>
        <v>0</v>
      </c>
      <c r="M43" s="683">
        <f>industrie!L22</f>
        <v>0</v>
      </c>
      <c r="N43" s="683">
        <f>industrie!M22</f>
        <v>0</v>
      </c>
      <c r="O43" s="683">
        <f>industrie!N22</f>
        <v>0</v>
      </c>
      <c r="P43" s="683">
        <f>industrie!O22</f>
        <v>0</v>
      </c>
      <c r="Q43" s="766">
        <f>industrie!P22</f>
        <v>0</v>
      </c>
      <c r="R43" s="844">
        <f t="shared" ca="1" si="4"/>
        <v>39001.527903731439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26301.94023191349</v>
      </c>
      <c r="D46" s="719">
        <f t="shared" ref="D46:Q46" ca="1" si="5">SUM(D39:D45)</f>
        <v>8.1948340626573213</v>
      </c>
      <c r="E46" s="719">
        <f t="shared" ca="1" si="5"/>
        <v>28411.949099376434</v>
      </c>
      <c r="F46" s="719">
        <f t="shared" si="5"/>
        <v>438.90280668399379</v>
      </c>
      <c r="G46" s="719">
        <f t="shared" ca="1" si="5"/>
        <v>11567.343659627946</v>
      </c>
      <c r="H46" s="719">
        <f t="shared" si="5"/>
        <v>0</v>
      </c>
      <c r="I46" s="719">
        <f t="shared" si="5"/>
        <v>0</v>
      </c>
      <c r="J46" s="719">
        <f t="shared" si="5"/>
        <v>0</v>
      </c>
      <c r="K46" s="719">
        <f t="shared" si="5"/>
        <v>198.51062318055682</v>
      </c>
      <c r="L46" s="719">
        <f t="shared" si="5"/>
        <v>0</v>
      </c>
      <c r="M46" s="719">
        <f t="shared" ca="1" si="5"/>
        <v>0</v>
      </c>
      <c r="N46" s="719">
        <f t="shared" si="5"/>
        <v>0</v>
      </c>
      <c r="O46" s="719">
        <f t="shared" ca="1" si="5"/>
        <v>0</v>
      </c>
      <c r="P46" s="719">
        <f t="shared" si="5"/>
        <v>0</v>
      </c>
      <c r="Q46" s="719">
        <f t="shared" si="5"/>
        <v>0</v>
      </c>
      <c r="R46" s="719">
        <f ca="1">SUM(R39:R45)</f>
        <v>66926.841254845087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2.991485385708355</v>
      </c>
      <c r="D49" s="683">
        <f ca="1">transport!C58</f>
        <v>0</v>
      </c>
      <c r="E49" s="683">
        <f>transport!D58</f>
        <v>0</v>
      </c>
      <c r="F49" s="683">
        <f>transport!E58</f>
        <v>0</v>
      </c>
      <c r="G49" s="683">
        <f>transport!F58</f>
        <v>0</v>
      </c>
      <c r="H49" s="683">
        <f>transport!G58</f>
        <v>248.77295123446021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251.76443662016857</v>
      </c>
    </row>
    <row r="50" spans="1:18">
      <c r="A50" s="820" t="s">
        <v>302</v>
      </c>
      <c r="B50" s="830"/>
      <c r="C50" s="689">
        <f ca="1">transport!B18</f>
        <v>55.518558505598648</v>
      </c>
      <c r="D50" s="689">
        <f>transport!C18</f>
        <v>0</v>
      </c>
      <c r="E50" s="689">
        <f>transport!D18</f>
        <v>90.612016352828832</v>
      </c>
      <c r="F50" s="689">
        <f>transport!E18</f>
        <v>44.231147863843532</v>
      </c>
      <c r="G50" s="689">
        <f>transport!F18</f>
        <v>0</v>
      </c>
      <c r="H50" s="689">
        <f>transport!G18</f>
        <v>26491.848468527791</v>
      </c>
      <c r="I50" s="689">
        <f>transport!H18</f>
        <v>5597.2517333191445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32279.461924569208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58.510043891307006</v>
      </c>
      <c r="D52" s="719">
        <f t="shared" ref="D52:Q52" ca="1" si="6">SUM(D48:D51)</f>
        <v>0</v>
      </c>
      <c r="E52" s="719">
        <f t="shared" si="6"/>
        <v>90.612016352828832</v>
      </c>
      <c r="F52" s="719">
        <f t="shared" si="6"/>
        <v>44.231147863843532</v>
      </c>
      <c r="G52" s="719">
        <f t="shared" si="6"/>
        <v>0</v>
      </c>
      <c r="H52" s="719">
        <f t="shared" si="6"/>
        <v>26740.62141976225</v>
      </c>
      <c r="I52" s="719">
        <f t="shared" si="6"/>
        <v>5597.2517333191445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32531.226361189376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1111.5810874043668</v>
      </c>
      <c r="D54" s="689">
        <f ca="1">+landbouw!C12</f>
        <v>10.137939046586379</v>
      </c>
      <c r="E54" s="689">
        <f>+landbouw!D12</f>
        <v>297.65572703061576</v>
      </c>
      <c r="F54" s="689">
        <f>+landbouw!E12</f>
        <v>35.956332345331816</v>
      </c>
      <c r="G54" s="689">
        <f>+landbouw!F12</f>
        <v>4674.1447836146908</v>
      </c>
      <c r="H54" s="689">
        <f>+landbouw!G12</f>
        <v>0</v>
      </c>
      <c r="I54" s="689">
        <f>+landbouw!H12</f>
        <v>0</v>
      </c>
      <c r="J54" s="689">
        <f>+landbouw!I12</f>
        <v>0</v>
      </c>
      <c r="K54" s="689">
        <f>+landbouw!J12</f>
        <v>497.79077451234758</v>
      </c>
      <c r="L54" s="689">
        <f>+landbouw!K12</f>
        <v>0</v>
      </c>
      <c r="M54" s="689">
        <f>+landbouw!L12</f>
        <v>0</v>
      </c>
      <c r="N54" s="689">
        <f>+landbouw!M12</f>
        <v>0</v>
      </c>
      <c r="O54" s="689">
        <f>+landbouw!N12</f>
        <v>0</v>
      </c>
      <c r="P54" s="689">
        <f>+landbouw!O12</f>
        <v>0</v>
      </c>
      <c r="Q54" s="690">
        <f>+landbouw!P12</f>
        <v>0</v>
      </c>
      <c r="R54" s="718">
        <f ca="1">SUM(C54:Q54)</f>
        <v>6627.2666439539389</v>
      </c>
    </row>
    <row r="55" spans="1:18" ht="15" thickBot="1">
      <c r="A55" s="820" t="s">
        <v>696</v>
      </c>
      <c r="B55" s="830"/>
      <c r="C55" s="689">
        <f ca="1">C25*'EF ele_warmte'!B12</f>
        <v>91.582775236715875</v>
      </c>
      <c r="D55" s="689"/>
      <c r="E55" s="689">
        <f>E25*EF_CO2_aardgas</f>
        <v>131.31749277208743</v>
      </c>
      <c r="F55" s="689"/>
      <c r="G55" s="689"/>
      <c r="H55" s="689"/>
      <c r="I55" s="689"/>
      <c r="J55" s="689"/>
      <c r="K55" s="689"/>
      <c r="L55" s="689"/>
      <c r="M55" s="689"/>
      <c r="N55" s="689"/>
      <c r="O55" s="689"/>
      <c r="P55" s="689"/>
      <c r="Q55" s="690"/>
      <c r="R55" s="718">
        <f ca="1">SUM(C55:Q55)</f>
        <v>222.90026800880332</v>
      </c>
    </row>
    <row r="56" spans="1:18" ht="15.75" thickBot="1">
      <c r="A56" s="818" t="s">
        <v>697</v>
      </c>
      <c r="B56" s="831"/>
      <c r="C56" s="719">
        <f ca="1">SUM(C54:C55)</f>
        <v>1203.1638626410827</v>
      </c>
      <c r="D56" s="719">
        <f t="shared" ref="D56:Q56" ca="1" si="7">SUM(D54:D55)</f>
        <v>10.137939046586379</v>
      </c>
      <c r="E56" s="719">
        <f t="shared" si="7"/>
        <v>428.97321980270317</v>
      </c>
      <c r="F56" s="719">
        <f t="shared" si="7"/>
        <v>35.956332345331816</v>
      </c>
      <c r="G56" s="719">
        <f t="shared" si="7"/>
        <v>4674.1447836146908</v>
      </c>
      <c r="H56" s="719">
        <f t="shared" si="7"/>
        <v>0</v>
      </c>
      <c r="I56" s="719">
        <f t="shared" si="7"/>
        <v>0</v>
      </c>
      <c r="J56" s="719">
        <f t="shared" si="7"/>
        <v>0</v>
      </c>
      <c r="K56" s="719">
        <f t="shared" si="7"/>
        <v>497.79077451234758</v>
      </c>
      <c r="L56" s="719">
        <f t="shared" si="7"/>
        <v>0</v>
      </c>
      <c r="M56" s="719">
        <f t="shared" si="7"/>
        <v>0</v>
      </c>
      <c r="N56" s="719">
        <f t="shared" si="7"/>
        <v>0</v>
      </c>
      <c r="O56" s="719">
        <f t="shared" si="7"/>
        <v>0</v>
      </c>
      <c r="P56" s="719">
        <f t="shared" si="7"/>
        <v>0</v>
      </c>
      <c r="Q56" s="720">
        <f t="shared" si="7"/>
        <v>0</v>
      </c>
      <c r="R56" s="721">
        <f ca="1">SUM(R54:R55)</f>
        <v>6850.1669119627422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27563.614138445879</v>
      </c>
      <c r="D61" s="727">
        <f t="shared" ref="D61:Q61" ca="1" si="8">D46+D52+D56</f>
        <v>18.3327731092437</v>
      </c>
      <c r="E61" s="727">
        <f t="shared" ca="1" si="8"/>
        <v>28931.534335531964</v>
      </c>
      <c r="F61" s="727">
        <f t="shared" si="8"/>
        <v>519.09028689316915</v>
      </c>
      <c r="G61" s="727">
        <f t="shared" ca="1" si="8"/>
        <v>16241.488443242637</v>
      </c>
      <c r="H61" s="727">
        <f t="shared" si="8"/>
        <v>26740.62141976225</v>
      </c>
      <c r="I61" s="727">
        <f t="shared" si="8"/>
        <v>5597.2517333191445</v>
      </c>
      <c r="J61" s="727">
        <f t="shared" si="8"/>
        <v>0</v>
      </c>
      <c r="K61" s="727">
        <f t="shared" si="8"/>
        <v>696.3013976929044</v>
      </c>
      <c r="L61" s="727">
        <f t="shared" si="8"/>
        <v>0</v>
      </c>
      <c r="M61" s="727">
        <f t="shared" ca="1" si="8"/>
        <v>0</v>
      </c>
      <c r="N61" s="727">
        <f t="shared" si="8"/>
        <v>0</v>
      </c>
      <c r="O61" s="727">
        <f t="shared" ca="1" si="8"/>
        <v>0</v>
      </c>
      <c r="P61" s="727">
        <f t="shared" si="8"/>
        <v>0</v>
      </c>
      <c r="Q61" s="727">
        <f t="shared" si="8"/>
        <v>0</v>
      </c>
      <c r="R61" s="727">
        <f ca="1">R46+R52+R56</f>
        <v>106308.23452799721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0.20099733313170573</v>
      </c>
      <c r="D63" s="773">
        <f t="shared" ca="1" si="9"/>
        <v>0.13141772838167526</v>
      </c>
      <c r="E63" s="965">
        <f t="shared" ca="1" si="9"/>
        <v>0.20199999999999999</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12372.40983268803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54.000000000000014</v>
      </c>
      <c r="D76" s="948">
        <f>'lokale energieproductie'!C8</f>
        <v>63.529411764705891</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12.832941176470591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12416.05983268803</v>
      </c>
      <c r="C78" s="745">
        <f>SUM(C72:C77)</f>
        <v>54.000000000000014</v>
      </c>
      <c r="D78" s="746">
        <f t="shared" ref="D78:H78" si="10">SUM(D76:D77)</f>
        <v>63.529411764705891</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12.832941176470591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v>
      </c>
      <c r="C87" s="758">
        <f>'lokale energieproductie'!B17*IFERROR(SUM(D87:H87)/SUM(D87:O87),0)</f>
        <v>77.142857142857153</v>
      </c>
      <c r="D87" s="769">
        <f>'lokale energieproductie'!C17</f>
        <v>90.756302521008422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18.332773109243703</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v>
      </c>
      <c r="C90" s="745">
        <f>SUM(C87:C89)</f>
        <v>77.142857142857153</v>
      </c>
      <c r="D90" s="745">
        <f t="shared" ref="D90:H90" si="12">SUM(D87:D89)</f>
        <v>90.756302521008422</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18.332773109243703</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21160.262391105483</v>
      </c>
      <c r="C4" s="449">
        <f>huishoudens!C8</f>
        <v>0</v>
      </c>
      <c r="D4" s="449">
        <f>huishoudens!D8</f>
        <v>35957.877786180848</v>
      </c>
      <c r="E4" s="449">
        <f>huishoudens!E8</f>
        <v>1466.9540742131617</v>
      </c>
      <c r="F4" s="449">
        <f>huishoudens!F8</f>
        <v>32135.983861085908</v>
      </c>
      <c r="G4" s="449">
        <f>huishoudens!G8</f>
        <v>0</v>
      </c>
      <c r="H4" s="449">
        <f>huishoudens!H8</f>
        <v>0</v>
      </c>
      <c r="I4" s="449">
        <f>huishoudens!I8</f>
        <v>0</v>
      </c>
      <c r="J4" s="449">
        <f>huishoudens!J8</f>
        <v>183.14648685765843</v>
      </c>
      <c r="K4" s="449">
        <f>huishoudens!K8</f>
        <v>0</v>
      </c>
      <c r="L4" s="449">
        <f>huishoudens!L8</f>
        <v>0</v>
      </c>
      <c r="M4" s="449">
        <f>huishoudens!M8</f>
        <v>0</v>
      </c>
      <c r="N4" s="449">
        <f>huishoudens!N8</f>
        <v>6902.712070252619</v>
      </c>
      <c r="O4" s="449">
        <f>huishoudens!O8</f>
        <v>638.83454664262422</v>
      </c>
      <c r="P4" s="450">
        <f>huishoudens!P8</f>
        <v>705.77527361489661</v>
      </c>
      <c r="Q4" s="451">
        <f>SUM(B4:P4)</f>
        <v>99151.546489953209</v>
      </c>
    </row>
    <row r="5" spans="1:17">
      <c r="A5" s="448" t="s">
        <v>155</v>
      </c>
      <c r="B5" s="449">
        <f ca="1">tertiair!B16</f>
        <v>15393.030358142025</v>
      </c>
      <c r="C5" s="449">
        <f ca="1">tertiair!C16</f>
        <v>62.357142857142847</v>
      </c>
      <c r="D5" s="449">
        <f ca="1">tertiair!D16</f>
        <v>10938.722063462828</v>
      </c>
      <c r="E5" s="449">
        <f>tertiair!E16</f>
        <v>125.86240038269597</v>
      </c>
      <c r="F5" s="449">
        <f ca="1">tertiair!F16</f>
        <v>7277.695926113709</v>
      </c>
      <c r="G5" s="449">
        <f>tertiair!G16</f>
        <v>0</v>
      </c>
      <c r="H5" s="449">
        <f>tertiair!H16</f>
        <v>0</v>
      </c>
      <c r="I5" s="449">
        <f>tertiair!I16</f>
        <v>0</v>
      </c>
      <c r="J5" s="449">
        <f>tertiair!J16</f>
        <v>7.1855738224786081E-2</v>
      </c>
      <c r="K5" s="449">
        <f>tertiair!K16</f>
        <v>0</v>
      </c>
      <c r="L5" s="449">
        <f ca="1">tertiair!L16</f>
        <v>0</v>
      </c>
      <c r="M5" s="449">
        <f>tertiair!M16</f>
        <v>0</v>
      </c>
      <c r="N5" s="449">
        <f ca="1">tertiair!N16</f>
        <v>2603.7275451091868</v>
      </c>
      <c r="O5" s="449">
        <f>tertiair!O16</f>
        <v>19.589043063364617</v>
      </c>
      <c r="P5" s="450">
        <f>tertiair!P16</f>
        <v>105.07827661299004</v>
      </c>
      <c r="Q5" s="448">
        <f t="shared" ref="Q5:Q14" ca="1" si="0">SUM(B5:P5)</f>
        <v>36526.134611482172</v>
      </c>
    </row>
    <row r="6" spans="1:17">
      <c r="A6" s="448" t="s">
        <v>193</v>
      </c>
      <c r="B6" s="449">
        <f>'openbare verlichting'!B8</f>
        <v>731.40200000000004</v>
      </c>
      <c r="C6" s="449"/>
      <c r="D6" s="449"/>
      <c r="E6" s="449"/>
      <c r="F6" s="449"/>
      <c r="G6" s="449"/>
      <c r="H6" s="449"/>
      <c r="I6" s="449"/>
      <c r="J6" s="449"/>
      <c r="K6" s="449"/>
      <c r="L6" s="449"/>
      <c r="M6" s="449"/>
      <c r="N6" s="449"/>
      <c r="O6" s="449"/>
      <c r="P6" s="450"/>
      <c r="Q6" s="448">
        <f t="shared" si="0"/>
        <v>731.40200000000004</v>
      </c>
    </row>
    <row r="7" spans="1:17">
      <c r="A7" s="448" t="s">
        <v>111</v>
      </c>
      <c r="B7" s="449">
        <f>landbouw!B8</f>
        <v>5530.3275425848105</v>
      </c>
      <c r="C7" s="449">
        <f>landbouw!C8</f>
        <v>77.142857142857139</v>
      </c>
      <c r="D7" s="449">
        <f>landbouw!D8</f>
        <v>1473.5432031218602</v>
      </c>
      <c r="E7" s="449">
        <f>landbouw!E8</f>
        <v>158.39793984727672</v>
      </c>
      <c r="F7" s="449">
        <f>landbouw!F8</f>
        <v>17506.160238257267</v>
      </c>
      <c r="G7" s="449">
        <f>landbouw!G8</f>
        <v>0</v>
      </c>
      <c r="H7" s="449">
        <f>landbouw!H8</f>
        <v>0</v>
      </c>
      <c r="I7" s="449">
        <f>landbouw!I8</f>
        <v>0</v>
      </c>
      <c r="J7" s="449">
        <f>landbouw!J8</f>
        <v>1406.1886285659536</v>
      </c>
      <c r="K7" s="449">
        <f>landbouw!K8</f>
        <v>0</v>
      </c>
      <c r="L7" s="449">
        <f>landbouw!L8</f>
        <v>0</v>
      </c>
      <c r="M7" s="449">
        <f>landbouw!M8</f>
        <v>0</v>
      </c>
      <c r="N7" s="449">
        <f>landbouw!N8</f>
        <v>0</v>
      </c>
      <c r="O7" s="449">
        <f>landbouw!O8</f>
        <v>0</v>
      </c>
      <c r="P7" s="450">
        <f>landbouw!P8</f>
        <v>0</v>
      </c>
      <c r="Q7" s="448">
        <f t="shared" si="0"/>
        <v>26151.760409520026</v>
      </c>
    </row>
    <row r="8" spans="1:17">
      <c r="A8" s="448" t="s">
        <v>617</v>
      </c>
      <c r="B8" s="449">
        <f>industrie!B18</f>
        <v>93572.465503116895</v>
      </c>
      <c r="C8" s="449">
        <f>industrie!C18</f>
        <v>0</v>
      </c>
      <c r="D8" s="449">
        <f>industrie!D18</f>
        <v>93756.613513606004</v>
      </c>
      <c r="E8" s="449">
        <f>industrie!E18</f>
        <v>340.67606586226464</v>
      </c>
      <c r="F8" s="449">
        <f>industrie!F18</f>
        <v>3909.7047057889386</v>
      </c>
      <c r="G8" s="449">
        <f>industrie!G18</f>
        <v>0</v>
      </c>
      <c r="H8" s="449">
        <f>industrie!H18</f>
        <v>0</v>
      </c>
      <c r="I8" s="449">
        <f>industrie!I18</f>
        <v>0</v>
      </c>
      <c r="J8" s="449">
        <f>industrie!J18</f>
        <v>377.54612966557681</v>
      </c>
      <c r="K8" s="449">
        <f>industrie!K18</f>
        <v>0</v>
      </c>
      <c r="L8" s="449">
        <f>industrie!L18</f>
        <v>0</v>
      </c>
      <c r="M8" s="449">
        <f>industrie!M18</f>
        <v>0</v>
      </c>
      <c r="N8" s="449">
        <f>industrie!N18</f>
        <v>8676.5189669593947</v>
      </c>
      <c r="O8" s="449">
        <f>industrie!O18</f>
        <v>0</v>
      </c>
      <c r="P8" s="450">
        <f>industrie!P18</f>
        <v>0</v>
      </c>
      <c r="Q8" s="448">
        <f t="shared" si="0"/>
        <v>200633.52488499906</v>
      </c>
    </row>
    <row r="9" spans="1:17" s="454" customFormat="1">
      <c r="A9" s="452" t="s">
        <v>543</v>
      </c>
      <c r="B9" s="453">
        <f>transport!B14</f>
        <v>276.21539868501384</v>
      </c>
      <c r="C9" s="453">
        <f>transport!C14</f>
        <v>0</v>
      </c>
      <c r="D9" s="453">
        <f>transport!D14</f>
        <v>448.57433838034075</v>
      </c>
      <c r="E9" s="453">
        <f>transport!E14</f>
        <v>194.85087164688781</v>
      </c>
      <c r="F9" s="453">
        <f>transport!F14</f>
        <v>0</v>
      </c>
      <c r="G9" s="453">
        <f>transport!G14</f>
        <v>99220.406249167747</v>
      </c>
      <c r="H9" s="453">
        <f>transport!H14</f>
        <v>22478.922623771665</v>
      </c>
      <c r="I9" s="453">
        <f>transport!I14</f>
        <v>0</v>
      </c>
      <c r="J9" s="453">
        <f>transport!J14</f>
        <v>0</v>
      </c>
      <c r="K9" s="453">
        <f>transport!K14</f>
        <v>0</v>
      </c>
      <c r="L9" s="453">
        <f>transport!L14</f>
        <v>0</v>
      </c>
      <c r="M9" s="453">
        <f>transport!M14</f>
        <v>7290.6170981682671</v>
      </c>
      <c r="N9" s="453">
        <f>transport!N14</f>
        <v>0</v>
      </c>
      <c r="O9" s="453">
        <f>transport!O14</f>
        <v>0</v>
      </c>
      <c r="P9" s="453">
        <f>transport!P14</f>
        <v>0</v>
      </c>
      <c r="Q9" s="452">
        <f>SUM(B9:P9)</f>
        <v>129909.58657981992</v>
      </c>
    </row>
    <row r="10" spans="1:17">
      <c r="A10" s="448" t="s">
        <v>533</v>
      </c>
      <c r="B10" s="449">
        <f>transport!B54</f>
        <v>14.883209339639102</v>
      </c>
      <c r="C10" s="449">
        <f>transport!C54</f>
        <v>0</v>
      </c>
      <c r="D10" s="449">
        <f>transport!D54</f>
        <v>0</v>
      </c>
      <c r="E10" s="449">
        <f>transport!E54</f>
        <v>0</v>
      </c>
      <c r="F10" s="449">
        <f>transport!F54</f>
        <v>0</v>
      </c>
      <c r="G10" s="449">
        <f>transport!G54</f>
        <v>931.73389975453256</v>
      </c>
      <c r="H10" s="449">
        <f>transport!H54</f>
        <v>0</v>
      </c>
      <c r="I10" s="449">
        <f>transport!I54</f>
        <v>0</v>
      </c>
      <c r="J10" s="449">
        <f>transport!J54</f>
        <v>0</v>
      </c>
      <c r="K10" s="449">
        <f>transport!K54</f>
        <v>0</v>
      </c>
      <c r="L10" s="449">
        <f>transport!L54</f>
        <v>0</v>
      </c>
      <c r="M10" s="449">
        <f>transport!M54</f>
        <v>53.498097448103117</v>
      </c>
      <c r="N10" s="449">
        <f>transport!N54</f>
        <v>0</v>
      </c>
      <c r="O10" s="449">
        <f>transport!O54</f>
        <v>0</v>
      </c>
      <c r="P10" s="450">
        <f>transport!P54</f>
        <v>0</v>
      </c>
      <c r="Q10" s="448">
        <f t="shared" si="0"/>
        <v>1000.1152065422747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455.64174315041896</v>
      </c>
      <c r="C14" s="456"/>
      <c r="D14" s="456">
        <f>'SEAP template'!E25</f>
        <v>650.08659788162095</v>
      </c>
      <c r="E14" s="456"/>
      <c r="F14" s="456"/>
      <c r="G14" s="456"/>
      <c r="H14" s="456"/>
      <c r="I14" s="456"/>
      <c r="J14" s="456"/>
      <c r="K14" s="456"/>
      <c r="L14" s="456"/>
      <c r="M14" s="456"/>
      <c r="N14" s="456"/>
      <c r="O14" s="456"/>
      <c r="P14" s="457"/>
      <c r="Q14" s="448">
        <f t="shared" si="0"/>
        <v>1105.7283410320399</v>
      </c>
    </row>
    <row r="15" spans="1:17" s="460" customFormat="1">
      <c r="A15" s="458" t="s">
        <v>537</v>
      </c>
      <c r="B15" s="459">
        <f ca="1">SUM(B4:B14)</f>
        <v>137134.22814612428</v>
      </c>
      <c r="C15" s="459">
        <f t="shared" ref="C15:Q15" ca="1" si="1">SUM(C4:C14)</f>
        <v>139.5</v>
      </c>
      <c r="D15" s="459">
        <f t="shared" ca="1" si="1"/>
        <v>143225.4175026335</v>
      </c>
      <c r="E15" s="459">
        <f t="shared" si="1"/>
        <v>2286.741351952287</v>
      </c>
      <c r="F15" s="459">
        <f t="shared" ca="1" si="1"/>
        <v>60829.54473124582</v>
      </c>
      <c r="G15" s="459">
        <f t="shared" si="1"/>
        <v>100152.14014892228</v>
      </c>
      <c r="H15" s="459">
        <f t="shared" si="1"/>
        <v>22478.922623771665</v>
      </c>
      <c r="I15" s="459">
        <f t="shared" si="1"/>
        <v>0</v>
      </c>
      <c r="J15" s="459">
        <f t="shared" si="1"/>
        <v>1966.9531008274139</v>
      </c>
      <c r="K15" s="459">
        <f t="shared" si="1"/>
        <v>0</v>
      </c>
      <c r="L15" s="459">
        <f t="shared" ca="1" si="1"/>
        <v>0</v>
      </c>
      <c r="M15" s="459">
        <f t="shared" si="1"/>
        <v>7344.1151956163703</v>
      </c>
      <c r="N15" s="459">
        <f t="shared" ca="1" si="1"/>
        <v>18182.9585823212</v>
      </c>
      <c r="O15" s="459">
        <f t="shared" si="1"/>
        <v>658.42358970598889</v>
      </c>
      <c r="P15" s="459">
        <f t="shared" si="1"/>
        <v>810.85355022788667</v>
      </c>
      <c r="Q15" s="459">
        <f t="shared" ca="1" si="1"/>
        <v>495209.7985233487</v>
      </c>
    </row>
    <row r="17" spans="1:17">
      <c r="A17" s="461" t="s">
        <v>538</v>
      </c>
      <c r="B17" s="778">
        <f ca="1">huishoudens!B10</f>
        <v>0.20099733313170576</v>
      </c>
      <c r="C17" s="778">
        <f ca="1">huishoudens!C10</f>
        <v>0.13141772838167529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4253.1563089793335</v>
      </c>
      <c r="C22" s="449">
        <f t="shared" ref="C22:C32" ca="1" si="3">C4*$C$17</f>
        <v>0</v>
      </c>
      <c r="D22" s="449">
        <f t="shared" ref="D22:D32" si="4">D4*$D$17</f>
        <v>7263.4913128085318</v>
      </c>
      <c r="E22" s="449">
        <f t="shared" ref="E22:E32" si="5">E4*$E$17</f>
        <v>332.99857484638773</v>
      </c>
      <c r="F22" s="449">
        <f t="shared" ref="F22:F32" si="6">F4*$F$17</f>
        <v>8580.3076909099382</v>
      </c>
      <c r="G22" s="449">
        <f t="shared" ref="G22:G32" si="7">G4*$G$17</f>
        <v>0</v>
      </c>
      <c r="H22" s="449">
        <f t="shared" ref="H22:H32" si="8">H4*$H$17</f>
        <v>0</v>
      </c>
      <c r="I22" s="449">
        <f t="shared" ref="I22:I32" si="9">I4*$I$17</f>
        <v>0</v>
      </c>
      <c r="J22" s="449">
        <f t="shared" ref="J22:J32" si="10">J4*$J$17</f>
        <v>64.833856347611075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20494.787743891804</v>
      </c>
    </row>
    <row r="23" spans="1:17">
      <c r="A23" s="448" t="s">
        <v>155</v>
      </c>
      <c r="B23" s="449">
        <f t="shared" ca="1" si="2"/>
        <v>3093.9580508019326</v>
      </c>
      <c r="C23" s="449">
        <f t="shared" ca="1" si="3"/>
        <v>8.1948340626573213</v>
      </c>
      <c r="D23" s="449">
        <f t="shared" ca="1" si="4"/>
        <v>2209.6218568194913</v>
      </c>
      <c r="E23" s="449">
        <f t="shared" si="5"/>
        <v>28.570764886871984</v>
      </c>
      <c r="F23" s="449">
        <f t="shared" ca="1" si="6"/>
        <v>1943.1448122723605</v>
      </c>
      <c r="G23" s="449">
        <f t="shared" si="7"/>
        <v>0</v>
      </c>
      <c r="H23" s="449">
        <f t="shared" si="8"/>
        <v>0</v>
      </c>
      <c r="I23" s="449">
        <f t="shared" si="9"/>
        <v>0</v>
      </c>
      <c r="J23" s="449">
        <f t="shared" si="10"/>
        <v>2.5436931331574271E-2</v>
      </c>
      <c r="K23" s="449">
        <f t="shared" si="11"/>
        <v>0</v>
      </c>
      <c r="L23" s="449">
        <f t="shared" ca="1" si="12"/>
        <v>0</v>
      </c>
      <c r="M23" s="449">
        <f t="shared" si="13"/>
        <v>0</v>
      </c>
      <c r="N23" s="449">
        <f t="shared" ca="1" si="14"/>
        <v>0</v>
      </c>
      <c r="O23" s="449">
        <f t="shared" si="15"/>
        <v>0</v>
      </c>
      <c r="P23" s="450">
        <f t="shared" si="16"/>
        <v>0</v>
      </c>
      <c r="Q23" s="448">
        <f t="shared" ref="Q23:Q31" ca="1" si="17">SUM(B23:P23)</f>
        <v>7283.5157557746452</v>
      </c>
    </row>
    <row r="24" spans="1:17">
      <c r="A24" s="448" t="s">
        <v>193</v>
      </c>
      <c r="B24" s="449">
        <f t="shared" ca="1" si="2"/>
        <v>147.00985144719587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147.00985144719587</v>
      </c>
    </row>
    <row r="25" spans="1:17">
      <c r="A25" s="448" t="s">
        <v>111</v>
      </c>
      <c r="B25" s="449">
        <f t="shared" ca="1" si="2"/>
        <v>1111.5810874043668</v>
      </c>
      <c r="C25" s="449">
        <f t="shared" ca="1" si="3"/>
        <v>10.137939046586379</v>
      </c>
      <c r="D25" s="449">
        <f t="shared" si="4"/>
        <v>297.65572703061576</v>
      </c>
      <c r="E25" s="449">
        <f t="shared" si="5"/>
        <v>35.956332345331816</v>
      </c>
      <c r="F25" s="449">
        <f t="shared" si="6"/>
        <v>4674.1447836146908</v>
      </c>
      <c r="G25" s="449">
        <f t="shared" si="7"/>
        <v>0</v>
      </c>
      <c r="H25" s="449">
        <f t="shared" si="8"/>
        <v>0</v>
      </c>
      <c r="I25" s="449">
        <f t="shared" si="9"/>
        <v>0</v>
      </c>
      <c r="J25" s="449">
        <f t="shared" si="10"/>
        <v>497.79077451234758</v>
      </c>
      <c r="K25" s="449">
        <f t="shared" si="11"/>
        <v>0</v>
      </c>
      <c r="L25" s="449">
        <f t="shared" si="12"/>
        <v>0</v>
      </c>
      <c r="M25" s="449">
        <f t="shared" si="13"/>
        <v>0</v>
      </c>
      <c r="N25" s="449">
        <f t="shared" si="14"/>
        <v>0</v>
      </c>
      <c r="O25" s="449">
        <f t="shared" si="15"/>
        <v>0</v>
      </c>
      <c r="P25" s="450">
        <f t="shared" si="16"/>
        <v>0</v>
      </c>
      <c r="Q25" s="448">
        <f t="shared" ca="1" si="17"/>
        <v>6627.2666439539389</v>
      </c>
    </row>
    <row r="26" spans="1:17">
      <c r="A26" s="448" t="s">
        <v>617</v>
      </c>
      <c r="B26" s="449">
        <f t="shared" ca="1" si="2"/>
        <v>18807.81602068503</v>
      </c>
      <c r="C26" s="449">
        <f t="shared" ca="1" si="3"/>
        <v>0</v>
      </c>
      <c r="D26" s="449">
        <f t="shared" si="4"/>
        <v>18938.835929748413</v>
      </c>
      <c r="E26" s="449">
        <f t="shared" si="5"/>
        <v>77.333466950734078</v>
      </c>
      <c r="F26" s="449">
        <f t="shared" si="6"/>
        <v>1043.8911564456466</v>
      </c>
      <c r="G26" s="449">
        <f t="shared" si="7"/>
        <v>0</v>
      </c>
      <c r="H26" s="449">
        <f t="shared" si="8"/>
        <v>0</v>
      </c>
      <c r="I26" s="449">
        <f t="shared" si="9"/>
        <v>0</v>
      </c>
      <c r="J26" s="449">
        <f t="shared" si="10"/>
        <v>133.65132990161419</v>
      </c>
      <c r="K26" s="449">
        <f t="shared" si="11"/>
        <v>0</v>
      </c>
      <c r="L26" s="449">
        <f t="shared" si="12"/>
        <v>0</v>
      </c>
      <c r="M26" s="449">
        <f t="shared" si="13"/>
        <v>0</v>
      </c>
      <c r="N26" s="449">
        <f t="shared" si="14"/>
        <v>0</v>
      </c>
      <c r="O26" s="449">
        <f t="shared" si="15"/>
        <v>0</v>
      </c>
      <c r="P26" s="450">
        <f t="shared" si="16"/>
        <v>0</v>
      </c>
      <c r="Q26" s="448">
        <f t="shared" ca="1" si="17"/>
        <v>39001.527903731439</v>
      </c>
    </row>
    <row r="27" spans="1:17" s="454" customFormat="1">
      <c r="A27" s="452" t="s">
        <v>543</v>
      </c>
      <c r="B27" s="772">
        <f t="shared" ca="1" si="2"/>
        <v>55.518558505598648</v>
      </c>
      <c r="C27" s="453">
        <f t="shared" ca="1" si="3"/>
        <v>0</v>
      </c>
      <c r="D27" s="453">
        <f t="shared" si="4"/>
        <v>90.612016352828832</v>
      </c>
      <c r="E27" s="453">
        <f t="shared" si="5"/>
        <v>44.231147863843532</v>
      </c>
      <c r="F27" s="453">
        <f t="shared" si="6"/>
        <v>0</v>
      </c>
      <c r="G27" s="453">
        <f t="shared" si="7"/>
        <v>26491.848468527791</v>
      </c>
      <c r="H27" s="453">
        <f t="shared" si="8"/>
        <v>5597.2517333191445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32279.461924569208</v>
      </c>
    </row>
    <row r="28" spans="1:17" ht="16.5" customHeight="1">
      <c r="A28" s="448" t="s">
        <v>533</v>
      </c>
      <c r="B28" s="449">
        <f t="shared" ca="1" si="2"/>
        <v>2.991485385708355</v>
      </c>
      <c r="C28" s="449">
        <f t="shared" ca="1" si="3"/>
        <v>0</v>
      </c>
      <c r="D28" s="449">
        <f t="shared" si="4"/>
        <v>0</v>
      </c>
      <c r="E28" s="449">
        <f t="shared" si="5"/>
        <v>0</v>
      </c>
      <c r="F28" s="449">
        <f t="shared" si="6"/>
        <v>0</v>
      </c>
      <c r="G28" s="449">
        <f t="shared" si="7"/>
        <v>248.77295123446021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251.76443662016857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91.582775236715875</v>
      </c>
      <c r="C32" s="449">
        <f t="shared" ca="1" si="3"/>
        <v>0</v>
      </c>
      <c r="D32" s="449">
        <f t="shared" si="4"/>
        <v>131.31749277208743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222.90026800880332</v>
      </c>
    </row>
    <row r="33" spans="1:17" s="460" customFormat="1">
      <c r="A33" s="458" t="s">
        <v>537</v>
      </c>
      <c r="B33" s="459">
        <f ca="1">SUM(B22:B32)</f>
        <v>27563.614138445879</v>
      </c>
      <c r="C33" s="459">
        <f t="shared" ref="C33:Q33" ca="1" si="19">SUM(C22:C32)</f>
        <v>18.3327731092437</v>
      </c>
      <c r="D33" s="459">
        <f t="shared" ca="1" si="19"/>
        <v>28931.534335531967</v>
      </c>
      <c r="E33" s="459">
        <f t="shared" si="19"/>
        <v>519.09028689316915</v>
      </c>
      <c r="F33" s="459">
        <f t="shared" ca="1" si="19"/>
        <v>16241.488443242637</v>
      </c>
      <c r="G33" s="459">
        <f t="shared" si="19"/>
        <v>26740.62141976225</v>
      </c>
      <c r="H33" s="459">
        <f t="shared" si="19"/>
        <v>5597.2517333191445</v>
      </c>
      <c r="I33" s="459">
        <f t="shared" si="19"/>
        <v>0</v>
      </c>
      <c r="J33" s="459">
        <f t="shared" si="19"/>
        <v>696.3013976929044</v>
      </c>
      <c r="K33" s="459">
        <f t="shared" si="19"/>
        <v>0</v>
      </c>
      <c r="L33" s="459">
        <f t="shared" ca="1" si="19"/>
        <v>0</v>
      </c>
      <c r="M33" s="459">
        <f t="shared" si="19"/>
        <v>0</v>
      </c>
      <c r="N33" s="459">
        <f t="shared" ca="1" si="19"/>
        <v>0</v>
      </c>
      <c r="O33" s="459">
        <f t="shared" si="19"/>
        <v>0</v>
      </c>
      <c r="P33" s="459">
        <f t="shared" si="19"/>
        <v>0</v>
      </c>
      <c r="Q33" s="459">
        <f t="shared" ca="1" si="19"/>
        <v>106308.23452799722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12372.40983268803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54.000000000000014</v>
      </c>
      <c r="D8" s="1016">
        <f>'SEAP template'!D76</f>
        <v>63.529411764705891</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12.832941176470591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12416.05983268803</v>
      </c>
      <c r="C10" s="1018">
        <f>SUM(C4:C9)</f>
        <v>54.000000000000014</v>
      </c>
      <c r="D10" s="1018">
        <f t="shared" ref="D10:H10" si="0">SUM(D8:D9)</f>
        <v>63.529411764705891</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12.832941176470591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0.20099733313170576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v>
      </c>
      <c r="C17" s="1019">
        <f>'SEAP template'!C87</f>
        <v>77.142857142857153</v>
      </c>
      <c r="D17" s="1017">
        <f>'SEAP template'!D87</f>
        <v>90.756302521008422</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18.332773109243703</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v>
      </c>
      <c r="C20" s="1018">
        <f>SUM(C17:C19)</f>
        <v>77.142857142857153</v>
      </c>
      <c r="D20" s="1018">
        <f t="shared" ref="D20:H20" si="2">SUM(D17:D19)</f>
        <v>90.756302521008422</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18.332773109243703</v>
      </c>
    </row>
    <row r="21" spans="1:16">
      <c r="B21" s="883"/>
    </row>
    <row r="22" spans="1:16">
      <c r="A22" s="461" t="s">
        <v>755</v>
      </c>
      <c r="B22" s="778" t="s">
        <v>753</v>
      </c>
      <c r="C22" s="778">
        <f ca="1">'EF ele_warmte'!B22</f>
        <v>0.13141772838167529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0.20099733313170576</v>
      </c>
      <c r="C17" s="498">
        <f ca="1">'EF ele_warmte'!B22</f>
        <v>0.13141772838167529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0.20099733313170576</v>
      </c>
      <c r="C17" s="498">
        <f ca="1">'EF ele_warmte'!B22</f>
        <v>0.13141772838167529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0.20099733313170576</v>
      </c>
      <c r="C29" s="499">
        <f ca="1">'EF ele_warmte'!B22</f>
        <v>0.13141772838167529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5076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5004.09</v>
      </c>
      <c r="C14" s="326"/>
      <c r="D14" s="326"/>
      <c r="E14" s="326"/>
      <c r="F14" s="326"/>
    </row>
    <row r="15" spans="1:6">
      <c r="A15" s="1312" t="s">
        <v>183</v>
      </c>
      <c r="B15" s="1313">
        <v>71</v>
      </c>
      <c r="C15" s="326"/>
      <c r="D15" s="326"/>
      <c r="E15" s="326"/>
      <c r="F15" s="326"/>
    </row>
    <row r="16" spans="1:6">
      <c r="A16" s="1312" t="s">
        <v>6</v>
      </c>
      <c r="B16" s="1313">
        <v>2293</v>
      </c>
      <c r="C16" s="326"/>
      <c r="D16" s="326"/>
      <c r="E16" s="326"/>
      <c r="F16" s="326"/>
    </row>
    <row r="17" spans="1:6">
      <c r="A17" s="1312" t="s">
        <v>7</v>
      </c>
      <c r="B17" s="1313">
        <v>1056</v>
      </c>
      <c r="C17" s="326"/>
      <c r="D17" s="326"/>
      <c r="E17" s="326"/>
      <c r="F17" s="326"/>
    </row>
    <row r="18" spans="1:6">
      <c r="A18" s="1312" t="s">
        <v>8</v>
      </c>
      <c r="B18" s="1313">
        <v>1869</v>
      </c>
      <c r="C18" s="326"/>
      <c r="D18" s="326"/>
      <c r="E18" s="326"/>
      <c r="F18" s="326"/>
    </row>
    <row r="19" spans="1:6">
      <c r="A19" s="1312" t="s">
        <v>9</v>
      </c>
      <c r="B19" s="1313">
        <v>1772</v>
      </c>
      <c r="C19" s="326"/>
      <c r="D19" s="326"/>
      <c r="E19" s="326"/>
      <c r="F19" s="326"/>
    </row>
    <row r="20" spans="1:6">
      <c r="A20" s="1312" t="s">
        <v>10</v>
      </c>
      <c r="B20" s="1313">
        <v>1404</v>
      </c>
      <c r="C20" s="326"/>
      <c r="D20" s="326"/>
      <c r="E20" s="326"/>
      <c r="F20" s="326"/>
    </row>
    <row r="21" spans="1:6">
      <c r="A21" s="1312" t="s">
        <v>11</v>
      </c>
      <c r="B21" s="1313">
        <v>21594</v>
      </c>
      <c r="C21" s="326"/>
      <c r="D21" s="326"/>
      <c r="E21" s="326"/>
      <c r="F21" s="326"/>
    </row>
    <row r="22" spans="1:6">
      <c r="A22" s="1312" t="s">
        <v>12</v>
      </c>
      <c r="B22" s="1313">
        <v>61145</v>
      </c>
      <c r="C22" s="326"/>
      <c r="D22" s="326"/>
      <c r="E22" s="326"/>
      <c r="F22" s="326"/>
    </row>
    <row r="23" spans="1:6">
      <c r="A23" s="1312" t="s">
        <v>13</v>
      </c>
      <c r="B23" s="1313">
        <v>506</v>
      </c>
      <c r="C23" s="326"/>
      <c r="D23" s="326"/>
      <c r="E23" s="326"/>
      <c r="F23" s="326"/>
    </row>
    <row r="24" spans="1:6">
      <c r="A24" s="1312" t="s">
        <v>14</v>
      </c>
      <c r="B24" s="1313">
        <v>40</v>
      </c>
      <c r="C24" s="326"/>
      <c r="D24" s="326"/>
      <c r="E24" s="326"/>
      <c r="F24" s="326"/>
    </row>
    <row r="25" spans="1:6">
      <c r="A25" s="1312" t="s">
        <v>15</v>
      </c>
      <c r="B25" s="1313">
        <v>4616</v>
      </c>
      <c r="C25" s="326"/>
      <c r="D25" s="326"/>
      <c r="E25" s="326"/>
      <c r="F25" s="326"/>
    </row>
    <row r="26" spans="1:6">
      <c r="A26" s="1312" t="s">
        <v>16</v>
      </c>
      <c r="B26" s="1313">
        <v>798</v>
      </c>
      <c r="C26" s="326"/>
      <c r="D26" s="326"/>
      <c r="E26" s="326"/>
      <c r="F26" s="326"/>
    </row>
    <row r="27" spans="1:6">
      <c r="A27" s="1312" t="s">
        <v>17</v>
      </c>
      <c r="B27" s="1313">
        <v>21</v>
      </c>
      <c r="C27" s="326"/>
      <c r="D27" s="326"/>
      <c r="E27" s="326"/>
      <c r="F27" s="326"/>
    </row>
    <row r="28" spans="1:6" s="43" customFormat="1">
      <c r="A28" s="1314" t="s">
        <v>18</v>
      </c>
      <c r="B28" s="1315">
        <v>637962</v>
      </c>
      <c r="C28" s="332"/>
      <c r="D28" s="332"/>
      <c r="E28" s="332"/>
      <c r="F28" s="332"/>
    </row>
    <row r="29" spans="1:6">
      <c r="A29" s="1314" t="s">
        <v>684</v>
      </c>
      <c r="B29" s="1315">
        <v>302</v>
      </c>
      <c r="C29" s="332"/>
      <c r="D29" s="332"/>
      <c r="E29" s="332"/>
      <c r="F29" s="332"/>
    </row>
    <row r="30" spans="1:6">
      <c r="A30" s="1307" t="s">
        <v>685</v>
      </c>
      <c r="B30" s="1316">
        <v>57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7</v>
      </c>
      <c r="F36" s="1313">
        <v>23849.8848264076</v>
      </c>
    </row>
    <row r="37" spans="1:6">
      <c r="A37" s="1312" t="s">
        <v>24</v>
      </c>
      <c r="B37" s="1312" t="s">
        <v>27</v>
      </c>
      <c r="C37" s="1313">
        <v>0</v>
      </c>
      <c r="D37" s="1313">
        <v>0</v>
      </c>
      <c r="E37" s="1313">
        <v>0</v>
      </c>
      <c r="F37" s="1313">
        <v>0</v>
      </c>
    </row>
    <row r="38" spans="1:6">
      <c r="A38" s="1312" t="s">
        <v>24</v>
      </c>
      <c r="B38" s="1312" t="s">
        <v>28</v>
      </c>
      <c r="C38" s="1313">
        <v>1</v>
      </c>
      <c r="D38" s="1313">
        <v>10640.795439723899</v>
      </c>
      <c r="E38" s="1313">
        <v>0</v>
      </c>
      <c r="F38" s="1313">
        <v>0</v>
      </c>
    </row>
    <row r="39" spans="1:6">
      <c r="A39" s="1312" t="s">
        <v>29</v>
      </c>
      <c r="B39" s="1312" t="s">
        <v>30</v>
      </c>
      <c r="C39" s="1313">
        <v>2840</v>
      </c>
      <c r="D39" s="1313">
        <v>39820462.664652102</v>
      </c>
      <c r="E39" s="1313">
        <v>4673</v>
      </c>
      <c r="F39" s="1313">
        <v>15369475.805439901</v>
      </c>
    </row>
    <row r="40" spans="1:6">
      <c r="A40" s="1312" t="s">
        <v>29</v>
      </c>
      <c r="B40" s="1312" t="s">
        <v>28</v>
      </c>
      <c r="C40" s="1313">
        <v>0</v>
      </c>
      <c r="D40" s="1313">
        <v>0</v>
      </c>
      <c r="E40" s="1313">
        <v>0</v>
      </c>
      <c r="F40" s="1313">
        <v>0</v>
      </c>
    </row>
    <row r="41" spans="1:6">
      <c r="A41" s="1312" t="s">
        <v>31</v>
      </c>
      <c r="B41" s="1312" t="s">
        <v>32</v>
      </c>
      <c r="C41" s="1313">
        <v>70</v>
      </c>
      <c r="D41" s="1313">
        <v>1102563.94894833</v>
      </c>
      <c r="E41" s="1313">
        <v>160</v>
      </c>
      <c r="F41" s="1313">
        <v>982110.24902171595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9</v>
      </c>
      <c r="D44" s="1313">
        <v>507404.902877721</v>
      </c>
      <c r="E44" s="1313">
        <v>20</v>
      </c>
      <c r="F44" s="1313">
        <v>1207649.25355299</v>
      </c>
    </row>
    <row r="45" spans="1:6">
      <c r="A45" s="1312" t="s">
        <v>31</v>
      </c>
      <c r="B45" s="1312" t="s">
        <v>36</v>
      </c>
      <c r="C45" s="1313">
        <v>3</v>
      </c>
      <c r="D45" s="1313">
        <v>43721078.709896803</v>
      </c>
      <c r="E45" s="1313">
        <v>7</v>
      </c>
      <c r="F45" s="1313">
        <v>10520197.752052</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604511.49160410382</v>
      </c>
      <c r="E48" s="1313">
        <v>2</v>
      </c>
      <c r="F48" s="1313">
        <v>13844.7113809312</v>
      </c>
    </row>
    <row r="49" spans="1:6">
      <c r="A49" s="1312" t="s">
        <v>31</v>
      </c>
      <c r="B49" s="1312" t="s">
        <v>39</v>
      </c>
      <c r="C49" s="1313">
        <v>0</v>
      </c>
      <c r="D49" s="1313">
        <v>0</v>
      </c>
      <c r="E49" s="1313">
        <v>5</v>
      </c>
      <c r="F49" s="1313">
        <v>9324988.3076982498</v>
      </c>
    </row>
    <row r="50" spans="1:6">
      <c r="A50" s="1312" t="s">
        <v>31</v>
      </c>
      <c r="B50" s="1312" t="s">
        <v>40</v>
      </c>
      <c r="C50" s="1313">
        <v>15</v>
      </c>
      <c r="D50" s="1313">
        <v>57892362.888650902</v>
      </c>
      <c r="E50" s="1313">
        <v>16</v>
      </c>
      <c r="F50" s="1313">
        <v>71523675.229411006</v>
      </c>
    </row>
    <row r="51" spans="1:6">
      <c r="A51" s="1312" t="s">
        <v>41</v>
      </c>
      <c r="B51" s="1312" t="s">
        <v>42</v>
      </c>
      <c r="C51" s="1313">
        <v>26</v>
      </c>
      <c r="D51" s="1313">
        <v>1802689.8310161401</v>
      </c>
      <c r="E51" s="1313">
        <v>244</v>
      </c>
      <c r="F51" s="1313">
        <v>5530327.5425848104</v>
      </c>
    </row>
    <row r="52" spans="1:6">
      <c r="A52" s="1312" t="s">
        <v>41</v>
      </c>
      <c r="B52" s="1312" t="s">
        <v>28</v>
      </c>
      <c r="C52" s="1313">
        <v>0</v>
      </c>
      <c r="D52" s="1313">
        <v>0</v>
      </c>
      <c r="E52" s="1313">
        <v>0</v>
      </c>
      <c r="F52" s="1313">
        <v>0</v>
      </c>
    </row>
    <row r="53" spans="1:6">
      <c r="A53" s="1312" t="s">
        <v>43</v>
      </c>
      <c r="B53" s="1312" t="s">
        <v>44</v>
      </c>
      <c r="C53" s="1313">
        <v>59</v>
      </c>
      <c r="D53" s="1313">
        <v>650086.59788162098</v>
      </c>
      <c r="E53" s="1313">
        <v>161</v>
      </c>
      <c r="F53" s="1313">
        <v>455641.74315041897</v>
      </c>
    </row>
    <row r="54" spans="1:6">
      <c r="A54" s="1312" t="s">
        <v>45</v>
      </c>
      <c r="B54" s="1312" t="s">
        <v>46</v>
      </c>
      <c r="C54" s="1313">
        <v>0</v>
      </c>
      <c r="D54" s="1313">
        <v>0</v>
      </c>
      <c r="E54" s="1313">
        <v>1</v>
      </c>
      <c r="F54" s="1313">
        <v>731402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56</v>
      </c>
      <c r="D57" s="1313">
        <v>4460017.7134224698</v>
      </c>
      <c r="E57" s="1313">
        <v>111</v>
      </c>
      <c r="F57" s="1313">
        <v>7104460.6903106999</v>
      </c>
    </row>
    <row r="58" spans="1:6">
      <c r="A58" s="1312" t="s">
        <v>48</v>
      </c>
      <c r="B58" s="1312" t="s">
        <v>50</v>
      </c>
      <c r="C58" s="1313">
        <v>22</v>
      </c>
      <c r="D58" s="1313">
        <v>2632140.16052764</v>
      </c>
      <c r="E58" s="1313">
        <v>38</v>
      </c>
      <c r="F58" s="1313">
        <v>874363.66261049698</v>
      </c>
    </row>
    <row r="59" spans="1:6">
      <c r="A59" s="1312" t="s">
        <v>48</v>
      </c>
      <c r="B59" s="1312" t="s">
        <v>51</v>
      </c>
      <c r="C59" s="1313">
        <v>61</v>
      </c>
      <c r="D59" s="1313">
        <v>1702979.37732775</v>
      </c>
      <c r="E59" s="1313">
        <v>166</v>
      </c>
      <c r="F59" s="1313">
        <v>4159267.9514760599</v>
      </c>
    </row>
    <row r="60" spans="1:6">
      <c r="A60" s="1312" t="s">
        <v>48</v>
      </c>
      <c r="B60" s="1312" t="s">
        <v>52</v>
      </c>
      <c r="C60" s="1313">
        <v>31</v>
      </c>
      <c r="D60" s="1313">
        <v>725724.73087808397</v>
      </c>
      <c r="E60" s="1313">
        <v>61</v>
      </c>
      <c r="F60" s="1313">
        <v>976905.87266787002</v>
      </c>
    </row>
    <row r="61" spans="1:6">
      <c r="A61" s="1312" t="s">
        <v>48</v>
      </c>
      <c r="B61" s="1312" t="s">
        <v>53</v>
      </c>
      <c r="C61" s="1313">
        <v>83</v>
      </c>
      <c r="D61" s="1313">
        <v>2030971.4886323099</v>
      </c>
      <c r="E61" s="1313">
        <v>173</v>
      </c>
      <c r="F61" s="1313">
        <v>2136220.7794329398</v>
      </c>
    </row>
    <row r="62" spans="1:6">
      <c r="A62" s="1312" t="s">
        <v>48</v>
      </c>
      <c r="B62" s="1312" t="s">
        <v>54</v>
      </c>
      <c r="C62" s="1313">
        <v>5</v>
      </c>
      <c r="D62" s="1313">
        <v>561922.96715507796</v>
      </c>
      <c r="E62" s="1313">
        <v>5</v>
      </c>
      <c r="F62" s="1313">
        <v>98161.401643960606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8</v>
      </c>
      <c r="F66" s="1313">
        <v>187438.136958374</v>
      </c>
    </row>
    <row r="67" spans="1:6">
      <c r="A67" s="1314" t="s">
        <v>55</v>
      </c>
      <c r="B67" s="1314" t="s">
        <v>58</v>
      </c>
      <c r="C67" s="1313">
        <v>0</v>
      </c>
      <c r="D67" s="1313">
        <v>0</v>
      </c>
      <c r="E67" s="1313">
        <v>0</v>
      </c>
      <c r="F67" s="1313">
        <v>0</v>
      </c>
    </row>
    <row r="68" spans="1:6">
      <c r="A68" s="1307" t="s">
        <v>55</v>
      </c>
      <c r="B68" s="1307" t="s">
        <v>59</v>
      </c>
      <c r="C68" s="1316">
        <v>7</v>
      </c>
      <c r="D68" s="1316">
        <v>150703.27919916899</v>
      </c>
      <c r="E68" s="1316">
        <v>25</v>
      </c>
      <c r="F68" s="1316">
        <v>141250.34422908199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39891567</v>
      </c>
      <c r="E73" s="447"/>
      <c r="F73" s="326"/>
    </row>
    <row r="74" spans="1:6">
      <c r="A74" s="1312" t="s">
        <v>63</v>
      </c>
      <c r="B74" s="1312" t="s">
        <v>638</v>
      </c>
      <c r="C74" s="1326" t="s">
        <v>640</v>
      </c>
      <c r="D74" s="1327">
        <v>5387764.8645627499</v>
      </c>
      <c r="E74" s="447"/>
      <c r="F74" s="326"/>
    </row>
    <row r="75" spans="1:6">
      <c r="A75" s="1312" t="s">
        <v>64</v>
      </c>
      <c r="B75" s="1312" t="s">
        <v>637</v>
      </c>
      <c r="C75" s="1326" t="s">
        <v>641</v>
      </c>
      <c r="D75" s="1327">
        <v>18643594</v>
      </c>
      <c r="E75" s="447"/>
      <c r="F75" s="326"/>
    </row>
    <row r="76" spans="1:6">
      <c r="A76" s="1312" t="s">
        <v>64</v>
      </c>
      <c r="B76" s="1312" t="s">
        <v>638</v>
      </c>
      <c r="C76" s="1326" t="s">
        <v>642</v>
      </c>
      <c r="D76" s="1327">
        <v>921356.86456274998</v>
      </c>
      <c r="E76" s="447"/>
      <c r="F76" s="326"/>
    </row>
    <row r="77" spans="1:6">
      <c r="A77" s="1312" t="s">
        <v>65</v>
      </c>
      <c r="B77" s="1312" t="s">
        <v>637</v>
      </c>
      <c r="C77" s="1326" t="s">
        <v>643</v>
      </c>
      <c r="D77" s="1327">
        <v>66056983</v>
      </c>
      <c r="E77" s="447"/>
      <c r="F77" s="326"/>
    </row>
    <row r="78" spans="1:6">
      <c r="A78" s="1307" t="s">
        <v>65</v>
      </c>
      <c r="B78" s="1307" t="s">
        <v>638</v>
      </c>
      <c r="C78" s="1307" t="s">
        <v>644</v>
      </c>
      <c r="D78" s="1328">
        <v>10688305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277604.27087449998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5790.7865856655826</v>
      </c>
      <c r="C91" s="326"/>
      <c r="D91" s="326"/>
      <c r="E91" s="326"/>
      <c r="F91" s="326"/>
    </row>
    <row r="92" spans="1:6">
      <c r="A92" s="1307" t="s">
        <v>68</v>
      </c>
      <c r="B92" s="1308">
        <v>6581.6232470224477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1371</v>
      </c>
      <c r="C97" s="326"/>
      <c r="D97" s="326"/>
      <c r="E97" s="326"/>
      <c r="F97" s="326"/>
    </row>
    <row r="98" spans="1:6">
      <c r="A98" s="1312" t="s">
        <v>71</v>
      </c>
      <c r="B98" s="1313">
        <v>0</v>
      </c>
      <c r="C98" s="326"/>
      <c r="D98" s="326"/>
      <c r="E98" s="326"/>
      <c r="F98" s="326"/>
    </row>
    <row r="99" spans="1:6">
      <c r="A99" s="1312" t="s">
        <v>72</v>
      </c>
      <c r="B99" s="1313">
        <v>212</v>
      </c>
      <c r="C99" s="326"/>
      <c r="D99" s="326"/>
      <c r="E99" s="326"/>
      <c r="F99" s="326"/>
    </row>
    <row r="100" spans="1:6">
      <c r="A100" s="1312" t="s">
        <v>73</v>
      </c>
      <c r="B100" s="1313">
        <v>316</v>
      </c>
      <c r="C100" s="326"/>
      <c r="D100" s="326"/>
      <c r="E100" s="326"/>
      <c r="F100" s="326"/>
    </row>
    <row r="101" spans="1:6">
      <c r="A101" s="1312" t="s">
        <v>74</v>
      </c>
      <c r="B101" s="1313">
        <v>182</v>
      </c>
      <c r="C101" s="326"/>
      <c r="D101" s="326"/>
      <c r="E101" s="326"/>
      <c r="F101" s="326"/>
    </row>
    <row r="102" spans="1:6">
      <c r="A102" s="1312" t="s">
        <v>75</v>
      </c>
      <c r="B102" s="1313">
        <v>54</v>
      </c>
      <c r="C102" s="326"/>
      <c r="D102" s="326"/>
      <c r="E102" s="326"/>
      <c r="F102" s="326"/>
    </row>
    <row r="103" spans="1:6">
      <c r="A103" s="1312" t="s">
        <v>76</v>
      </c>
      <c r="B103" s="1313">
        <v>291</v>
      </c>
      <c r="C103" s="326"/>
      <c r="D103" s="326"/>
      <c r="E103" s="326"/>
      <c r="F103" s="326"/>
    </row>
    <row r="104" spans="1:6">
      <c r="A104" s="1312" t="s">
        <v>77</v>
      </c>
      <c r="B104" s="1313">
        <v>1851</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31</v>
      </c>
      <c r="C123" s="1313">
        <v>32</v>
      </c>
      <c r="D123" s="326"/>
      <c r="E123" s="326"/>
      <c r="F123" s="326"/>
    </row>
    <row r="124" spans="1:6" s="43" customFormat="1">
      <c r="A124" s="1314" t="s">
        <v>88</v>
      </c>
      <c r="B124" s="1335">
        <v>3</v>
      </c>
      <c r="C124" s="1335">
        <v>5</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285</v>
      </c>
      <c r="C129" s="326"/>
      <c r="D129" s="326"/>
      <c r="E129" s="326"/>
      <c r="F129" s="326"/>
    </row>
    <row r="130" spans="1:6">
      <c r="A130" s="1312" t="s">
        <v>290</v>
      </c>
      <c r="B130" s="1313">
        <v>4</v>
      </c>
      <c r="C130" s="326"/>
      <c r="D130" s="326"/>
      <c r="E130" s="326"/>
      <c r="F130" s="326"/>
    </row>
    <row r="131" spans="1:6">
      <c r="A131" s="1312" t="s">
        <v>291</v>
      </c>
      <c r="B131" s="1313">
        <v>1</v>
      </c>
      <c r="C131" s="326"/>
      <c r="D131" s="326"/>
      <c r="E131" s="326"/>
      <c r="F131" s="326"/>
    </row>
    <row r="132" spans="1:6">
      <c r="A132" s="1307" t="s">
        <v>292</v>
      </c>
      <c r="B132" s="1308">
        <v>33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137134.22814612428</v>
      </c>
      <c r="C3" s="43" t="s">
        <v>169</v>
      </c>
      <c r="D3" s="43"/>
      <c r="E3" s="154"/>
      <c r="F3" s="43"/>
      <c r="G3" s="43"/>
      <c r="H3" s="43"/>
      <c r="I3" s="43"/>
      <c r="J3" s="43"/>
      <c r="K3" s="96"/>
    </row>
    <row r="4" spans="1:11">
      <c r="A4" s="354" t="s">
        <v>170</v>
      </c>
      <c r="B4" s="49">
        <f>IF(ISERROR('SEAP template'!B78+'SEAP template'!C78),0,'SEAP template'!B78+'SEAP template'!C78)</f>
        <v>12470.05983268803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12.832941176470591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0.20099733313170576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18.332773109243703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139.5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0.13141772838167529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731.40200000000004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731.40200000000004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0.20099733313170576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147.00985144719587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15369.475805439901</v>
      </c>
      <c r="C5" s="17">
        <f>IF(ISERROR('Eigen informatie GS &amp; warmtenet'!B59),0,'Eigen informatie GS &amp; warmtenet'!B59)</f>
        <v>0</v>
      </c>
      <c r="D5" s="30">
        <f>(SUM(HH_hh_gas_kWh,HH_rest_gas_kWh)/1000)*0.903</f>
        <v>35957.877786180848</v>
      </c>
      <c r="E5" s="17">
        <f>B32*B41</f>
        <v>1466.9540742131617</v>
      </c>
      <c r="F5" s="17">
        <f>B36*B45</f>
        <v>32135.983861085908</v>
      </c>
      <c r="G5" s="18"/>
      <c r="H5" s="17"/>
      <c r="I5" s="17"/>
      <c r="J5" s="17">
        <f>B35*B44+C35*C44</f>
        <v>183.14648685765843</v>
      </c>
      <c r="K5" s="17"/>
      <c r="L5" s="17"/>
      <c r="M5" s="17"/>
      <c r="N5" s="17">
        <f>B34*B43+C34*C43</f>
        <v>6902.712070252619</v>
      </c>
      <c r="O5" s="17">
        <f>B52*B53*B54</f>
        <v>638.83454664262422</v>
      </c>
      <c r="P5" s="17">
        <f>B60*B61*B62/1000-B60*B61*B62/1000/B63</f>
        <v>705.77527361489661</v>
      </c>
    </row>
    <row r="6" spans="1:16">
      <c r="A6" s="16" t="s">
        <v>603</v>
      </c>
      <c r="B6" s="780">
        <f>kWh_PV_kleiner_dan_10kW</f>
        <v>5790.7865856655826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21160.262391105483</v>
      </c>
      <c r="C8" s="21">
        <f>C5</f>
        <v>0</v>
      </c>
      <c r="D8" s="21">
        <f>D5</f>
        <v>35957.877786180848</v>
      </c>
      <c r="E8" s="21">
        <f>E5</f>
        <v>1466.9540742131617</v>
      </c>
      <c r="F8" s="21">
        <f>F5</f>
        <v>32135.983861085908</v>
      </c>
      <c r="G8" s="21"/>
      <c r="H8" s="21"/>
      <c r="I8" s="21"/>
      <c r="J8" s="21">
        <f>J5</f>
        <v>183.14648685765843</v>
      </c>
      <c r="K8" s="21"/>
      <c r="L8" s="21">
        <f>L5</f>
        <v>0</v>
      </c>
      <c r="M8" s="21">
        <f>M5</f>
        <v>0</v>
      </c>
      <c r="N8" s="21">
        <f>N5</f>
        <v>6902.712070252619</v>
      </c>
      <c r="O8" s="21">
        <f>O5</f>
        <v>638.83454664262422</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0.20099733313170576</v>
      </c>
      <c r="C10" s="25">
        <f ca="1">'EF ele_warmte'!B22</f>
        <v>0.13141772838167529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4253.1563089793335</v>
      </c>
      <c r="C12" s="23">
        <f ca="1">C10*C8</f>
        <v>0</v>
      </c>
      <c r="D12" s="23">
        <f>D8*D10</f>
        <v>7263.4913128085318</v>
      </c>
      <c r="E12" s="23">
        <f>E10*E8</f>
        <v>332.99857484638773</v>
      </c>
      <c r="F12" s="23">
        <f>F10*F8</f>
        <v>8580.3076909099382</v>
      </c>
      <c r="G12" s="23"/>
      <c r="H12" s="23"/>
      <c r="I12" s="23"/>
      <c r="J12" s="23">
        <f>J10*J8</f>
        <v>64.833856347611075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5076</v>
      </c>
      <c r="C26" s="36"/>
      <c r="D26" s="225"/>
    </row>
    <row r="27" spans="1:5" s="15" customFormat="1">
      <c r="A27" s="227" t="s">
        <v>866</v>
      </c>
      <c r="B27" s="37">
        <f>SUM(HH_hh_gas_aantal,HH_rest_gas_aantal)</f>
        <v>2840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2698</v>
      </c>
      <c r="C31" s="34" t="s">
        <v>110</v>
      </c>
      <c r="D31" s="171"/>
    </row>
    <row r="32" spans="1:5">
      <c r="A32" s="168" t="s">
        <v>72</v>
      </c>
      <c r="B32" s="33">
        <f>IF((B21*($B$26-($B$27-0.05*$B$27)-$B$60))&lt;0,0,(B21*($B$26-($B$27-0.05*$B$27)-$B$60)))</f>
        <v>36.687584181683086</v>
      </c>
      <c r="C32" s="34" t="s">
        <v>110</v>
      </c>
      <c r="D32" s="171"/>
    </row>
    <row r="33" spans="1:6">
      <c r="A33" s="168" t="s">
        <v>73</v>
      </c>
      <c r="B33" s="33">
        <f>IF((B22*($B$26-($B$27-0.05*$B$27)-$B$60))&lt;0,0,B22*($B$26-($B$27-0.05*$B$27)-$B$60))</f>
        <v>595.73370655254735</v>
      </c>
      <c r="C33" s="34" t="s">
        <v>110</v>
      </c>
      <c r="D33" s="171"/>
    </row>
    <row r="34" spans="1:6">
      <c r="A34" s="168" t="s">
        <v>74</v>
      </c>
      <c r="B34" s="33">
        <f>IF((B24*($B$26-($B$27-0.05*$B$27)-$B$60))&lt;0,0,B24*($B$26-($B$27-0.05*$B$27)-$B$60))</f>
        <v>114.21012393106199</v>
      </c>
      <c r="C34" s="33">
        <f>B26*C24</f>
        <v>1040.1025504580182</v>
      </c>
      <c r="D34" s="230"/>
    </row>
    <row r="35" spans="1:6">
      <c r="A35" s="168" t="s">
        <v>76</v>
      </c>
      <c r="B35" s="33">
        <f>IF((B19*($B$26-($B$27-0.05*$B$27)-$B$60))&lt;0,0,B19*($B$26-($B$27-0.05*$B$27)-$B$60))</f>
        <v>15.948005378182893</v>
      </c>
      <c r="C35" s="33">
        <f>B35/2</f>
        <v>7.9740026890914466</v>
      </c>
      <c r="D35" s="230"/>
    </row>
    <row r="36" spans="1:6">
      <c r="A36" s="168" t="s">
        <v>77</v>
      </c>
      <c r="B36" s="33">
        <f>IF((B18*($B$26-($B$27-0.05*$B$27)-$B$60))&lt;0,0,B18*($B$26-($B$27-0.05*$B$27)-$B$60))</f>
        <v>1548.4205799565243</v>
      </c>
      <c r="C36" s="34" t="s">
        <v>110</v>
      </c>
      <c r="D36" s="171"/>
    </row>
    <row r="37" spans="1:6">
      <c r="A37" s="168" t="s">
        <v>78</v>
      </c>
      <c r="B37" s="33">
        <f>B60</f>
        <v>67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322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15349.380358142025</v>
      </c>
      <c r="C5" s="17">
        <f>IF(ISERROR('Eigen informatie GS &amp; warmtenet'!B60),0,'Eigen informatie GS &amp; warmtenet'!B60)</f>
        <v>0</v>
      </c>
      <c r="D5" s="30">
        <f>SUM(D6:D12)</f>
        <v>10938.722063462828</v>
      </c>
      <c r="E5" s="17">
        <f>SUM(E6:E12)</f>
        <v>125.86240038269597</v>
      </c>
      <c r="F5" s="17">
        <f>SUM(F6:F12)</f>
        <v>7277.695926113709</v>
      </c>
      <c r="G5" s="18"/>
      <c r="H5" s="17"/>
      <c r="I5" s="17"/>
      <c r="J5" s="17">
        <f>SUM(J6:J12)</f>
        <v>7.1855738224786081E-2</v>
      </c>
      <c r="K5" s="17"/>
      <c r="L5" s="17"/>
      <c r="M5" s="17"/>
      <c r="N5" s="17">
        <f>SUM(N6:N12)</f>
        <v>2728.4418308234726</v>
      </c>
      <c r="O5" s="17">
        <f>B38*B39*B40</f>
        <v>19.589043063364617</v>
      </c>
      <c r="P5" s="17">
        <f>B46*B47*B48/1000-B46*B47*B48/1000/B49</f>
        <v>105.07827661299004</v>
      </c>
      <c r="R5" s="32"/>
    </row>
    <row r="6" spans="1:18">
      <c r="A6" s="32" t="s">
        <v>53</v>
      </c>
      <c r="B6" s="37">
        <f>B26</f>
        <v>2136.2207794329397</v>
      </c>
      <c r="C6" s="33"/>
      <c r="D6" s="37">
        <f>IF(ISERROR(TER_kantoor_gas_kWh/1000),0,TER_kantoor_gas_kWh/1000)*0.903</f>
        <v>1833.9672542349761</v>
      </c>
      <c r="E6" s="33">
        <f>$C$26*'E Balans VL '!I12/100/3.6*1000000</f>
        <v>0.50899844731986577</v>
      </c>
      <c r="F6" s="33">
        <f>$C$26*('E Balans VL '!L12+'E Balans VL '!N12)/100/3.6*1000000</f>
        <v>185.55170143069526</v>
      </c>
      <c r="G6" s="34"/>
      <c r="H6" s="33"/>
      <c r="I6" s="33"/>
      <c r="J6" s="33">
        <f>$C$26*('E Balans VL '!D12+'E Balans VL '!E12)/100/3.6*1000000</f>
        <v>0</v>
      </c>
      <c r="K6" s="33"/>
      <c r="L6" s="33"/>
      <c r="M6" s="33"/>
      <c r="N6" s="33">
        <f>$C$26*'E Balans VL '!Y12/100/3.6*1000000</f>
        <v>2.8553579294243834</v>
      </c>
      <c r="O6" s="33"/>
      <c r="P6" s="33"/>
      <c r="R6" s="32"/>
    </row>
    <row r="7" spans="1:18">
      <c r="A7" s="32" t="s">
        <v>52</v>
      </c>
      <c r="B7" s="37">
        <f t="shared" ref="B7:B12" si="0">B27</f>
        <v>976.90587266786997</v>
      </c>
      <c r="C7" s="33"/>
      <c r="D7" s="37">
        <f>IF(ISERROR(TER_horeca_gas_kWh/1000),0,TER_horeca_gas_kWh/1000)*0.903</f>
        <v>655.3294319829098</v>
      </c>
      <c r="E7" s="33">
        <f>$C$27*'E Balans VL '!I9/100/3.6*1000000</f>
        <v>0</v>
      </c>
      <c r="F7" s="33">
        <f>$C$27*('E Balans VL '!L9+'E Balans VL '!N9)/100/3.6*1000000</f>
        <v>79.600149151591154</v>
      </c>
      <c r="G7" s="34"/>
      <c r="H7" s="33"/>
      <c r="I7" s="33"/>
      <c r="J7" s="33">
        <f>$C$27*('E Balans VL '!D9+'E Balans VL '!E9)/100/3.6*1000000</f>
        <v>0</v>
      </c>
      <c r="K7" s="33"/>
      <c r="L7" s="33"/>
      <c r="M7" s="33"/>
      <c r="N7" s="33">
        <f>$C$27*'E Balans VL '!Y9/100/3.6*1000000</f>
        <v>0.27058473932969651</v>
      </c>
      <c r="O7" s="33"/>
      <c r="P7" s="33"/>
      <c r="R7" s="32"/>
    </row>
    <row r="8" spans="1:18">
      <c r="A8" s="6" t="s">
        <v>51</v>
      </c>
      <c r="B8" s="37">
        <f t="shared" si="0"/>
        <v>4159.2679514760603</v>
      </c>
      <c r="C8" s="33"/>
      <c r="D8" s="37">
        <f>IF(ISERROR(TER_handel_gas_kWh/1000),0,TER_handel_gas_kWh/1000)*0.903</f>
        <v>1537.7903777269582</v>
      </c>
      <c r="E8" s="33">
        <f>$C$28*'E Balans VL '!I13/100/3.6*1000000</f>
        <v>33.247585016489317</v>
      </c>
      <c r="F8" s="33">
        <f>$C$28*('E Balans VL '!L13+'E Balans VL '!N13)/100/3.6*1000000</f>
        <v>413.19741546102472</v>
      </c>
      <c r="G8" s="34"/>
      <c r="H8" s="33"/>
      <c r="I8" s="33"/>
      <c r="J8" s="33">
        <f>$C$28*('E Balans VL '!D13+'E Balans VL '!E13)/100/3.6*1000000</f>
        <v>0</v>
      </c>
      <c r="K8" s="33"/>
      <c r="L8" s="33"/>
      <c r="M8" s="33"/>
      <c r="N8" s="33">
        <f>$C$28*'E Balans VL '!Y13/100/3.6*1000000</f>
        <v>1.5537341559843119</v>
      </c>
      <c r="O8" s="33"/>
      <c r="P8" s="33"/>
      <c r="R8" s="32"/>
    </row>
    <row r="9" spans="1:18">
      <c r="A9" s="32" t="s">
        <v>50</v>
      </c>
      <c r="B9" s="37">
        <f t="shared" si="0"/>
        <v>874.36366261049693</v>
      </c>
      <c r="C9" s="33"/>
      <c r="D9" s="37">
        <f>IF(ISERROR(TER_gezond_gas_kWh/1000),0,TER_gezond_gas_kWh/1000)*0.903</f>
        <v>2376.8225649564592</v>
      </c>
      <c r="E9" s="33">
        <f>$C$29*'E Balans VL '!I10/100/3.6*1000000</f>
        <v>0</v>
      </c>
      <c r="F9" s="33">
        <f>$C$29*('E Balans VL '!L10+'E Balans VL '!N10)/100/3.6*1000000</f>
        <v>79.712496211957685</v>
      </c>
      <c r="G9" s="34"/>
      <c r="H9" s="33"/>
      <c r="I9" s="33"/>
      <c r="J9" s="33">
        <f>$C$29*('E Balans VL '!D10+'E Balans VL '!E10)/100/3.6*1000000</f>
        <v>0</v>
      </c>
      <c r="K9" s="33"/>
      <c r="L9" s="33"/>
      <c r="M9" s="33"/>
      <c r="N9" s="33">
        <f>$C$29*'E Balans VL '!Y10/100/3.6*1000000</f>
        <v>6.3908148039046031</v>
      </c>
      <c r="O9" s="33"/>
      <c r="P9" s="33"/>
      <c r="R9" s="32"/>
    </row>
    <row r="10" spans="1:18">
      <c r="A10" s="32" t="s">
        <v>49</v>
      </c>
      <c r="B10" s="37">
        <f t="shared" si="0"/>
        <v>7104.4606903106996</v>
      </c>
      <c r="C10" s="33"/>
      <c r="D10" s="37">
        <f>IF(ISERROR(TER_ander_gas_kWh/1000),0,TER_ander_gas_kWh/1000)*0.903</f>
        <v>4027.39599522049</v>
      </c>
      <c r="E10" s="33">
        <f>$C$30*'E Balans VL '!I14/100/3.6*1000000</f>
        <v>92.105816918886774</v>
      </c>
      <c r="F10" s="33">
        <f>$C$30*('E Balans VL '!L14+'E Balans VL '!N14)/100/3.6*1000000</f>
        <v>6515.7879382352894</v>
      </c>
      <c r="G10" s="34"/>
      <c r="H10" s="33"/>
      <c r="I10" s="33"/>
      <c r="J10" s="33">
        <f>$C$30*('E Balans VL '!D14+'E Balans VL '!E14)/100/3.6*1000000</f>
        <v>7.1855738224786081E-2</v>
      </c>
      <c r="K10" s="33"/>
      <c r="L10" s="33"/>
      <c r="M10" s="33"/>
      <c r="N10" s="33">
        <f>$C$30*'E Balans VL '!Y14/100/3.6*1000000</f>
        <v>2717.0622046880376</v>
      </c>
      <c r="O10" s="33"/>
      <c r="P10" s="33"/>
      <c r="R10" s="32"/>
    </row>
    <row r="11" spans="1:18">
      <c r="A11" s="32" t="s">
        <v>54</v>
      </c>
      <c r="B11" s="37">
        <f t="shared" si="0"/>
        <v>98.161401643960602</v>
      </c>
      <c r="C11" s="33"/>
      <c r="D11" s="37">
        <f>IF(ISERROR(TER_onderwijs_gas_kWh/1000),0,TER_onderwijs_gas_kWh/1000)*0.903</f>
        <v>507.41643934103536</v>
      </c>
      <c r="E11" s="33">
        <f>$C$31*'E Balans VL '!I11/100/3.6*1000000</f>
        <v>0</v>
      </c>
      <c r="F11" s="33">
        <f>$C$31*('E Balans VL '!L11+'E Balans VL '!N11)/100/3.6*1000000</f>
        <v>3.8462256231505925</v>
      </c>
      <c r="G11" s="34"/>
      <c r="H11" s="33"/>
      <c r="I11" s="33"/>
      <c r="J11" s="33">
        <f>$C$31*('E Balans VL '!D11+'E Balans VL '!E11)/100/3.6*1000000</f>
        <v>0</v>
      </c>
      <c r="K11" s="33"/>
      <c r="L11" s="33"/>
      <c r="M11" s="33"/>
      <c r="N11" s="33">
        <f>$C$31*'E Balans VL '!Y11/100/3.6*1000000</f>
        <v>0.30913450679177901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43.649999999999991</v>
      </c>
      <c r="C13" s="243">
        <f ca="1">'lokale energieproductie'!O39+'lokale energieproductie'!O32</f>
        <v>62.357142857142847</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-124.71428571428569</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15393.030358142025</v>
      </c>
      <c r="C16" s="21">
        <f t="shared" ca="1" si="1"/>
        <v>62.357142857142847</v>
      </c>
      <c r="D16" s="21">
        <f t="shared" ca="1" si="1"/>
        <v>10938.722063462828</v>
      </c>
      <c r="E16" s="21">
        <f t="shared" si="1"/>
        <v>125.86240038269597</v>
      </c>
      <c r="F16" s="21">
        <f t="shared" ca="1" si="1"/>
        <v>7277.695926113709</v>
      </c>
      <c r="G16" s="21">
        <f t="shared" si="1"/>
        <v>0</v>
      </c>
      <c r="H16" s="21">
        <f t="shared" si="1"/>
        <v>0</v>
      </c>
      <c r="I16" s="21">
        <f t="shared" si="1"/>
        <v>0</v>
      </c>
      <c r="J16" s="21">
        <f t="shared" si="1"/>
        <v>7.1855738224786081E-2</v>
      </c>
      <c r="K16" s="21">
        <f t="shared" si="1"/>
        <v>0</v>
      </c>
      <c r="L16" s="21">
        <f t="shared" ca="1" si="1"/>
        <v>0</v>
      </c>
      <c r="M16" s="21">
        <f t="shared" si="1"/>
        <v>0</v>
      </c>
      <c r="N16" s="21">
        <f t="shared" ca="1" si="1"/>
        <v>2603.7275451091868</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0.20099733313170576</v>
      </c>
      <c r="C18" s="25">
        <f ca="1">'EF ele_warmte'!B22</f>
        <v>0.13141772838167529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3093.9580508019326</v>
      </c>
      <c r="C20" s="23">
        <f t="shared" ref="C20:P20" ca="1" si="2">C16*C18</f>
        <v>8.1948340626573213</v>
      </c>
      <c r="D20" s="23">
        <f t="shared" ca="1" si="2"/>
        <v>2209.6218568194913</v>
      </c>
      <c r="E20" s="23">
        <f t="shared" si="2"/>
        <v>28.570764886871984</v>
      </c>
      <c r="F20" s="23">
        <f t="shared" ca="1" si="2"/>
        <v>1943.1448122723605</v>
      </c>
      <c r="G20" s="23">
        <f t="shared" si="2"/>
        <v>0</v>
      </c>
      <c r="H20" s="23">
        <f t="shared" si="2"/>
        <v>0</v>
      </c>
      <c r="I20" s="23">
        <f t="shared" si="2"/>
        <v>0</v>
      </c>
      <c r="J20" s="23">
        <f t="shared" si="2"/>
        <v>2.5436931331574271E-2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2136.2207794329397</v>
      </c>
      <c r="C26" s="39">
        <f>IF(ISERROR(B26*3.6/1000000/'E Balans VL '!Z12*100),0,B26*3.6/1000000/'E Balans VL '!Z12*100)</f>
        <v>6.1287973132647416E-2</v>
      </c>
      <c r="D26" s="233" t="s">
        <v>841</v>
      </c>
      <c r="F26" s="6"/>
    </row>
    <row r="27" spans="1:18" ht="30">
      <c r="A27" s="228" t="s">
        <v>52</v>
      </c>
      <c r="B27" s="33">
        <f>IF(ISERROR(TER_horeca_ele_kWh/1000),0,TER_horeca_ele_kWh/1000)</f>
        <v>976.90587266786997</v>
      </c>
      <c r="C27" s="39">
        <f>IF(ISERROR(B27*3.6/1000000/'E Balans VL '!Z9*100),0,B27*3.6/1000000/'E Balans VL '!Z9*100)</f>
        <v>7.1568470091065872E-2</v>
      </c>
      <c r="D27" s="233" t="s">
        <v>841</v>
      </c>
      <c r="F27" s="6"/>
    </row>
    <row r="28" spans="1:18" ht="30">
      <c r="A28" s="168" t="s">
        <v>51</v>
      </c>
      <c r="B28" s="33">
        <f>IF(ISERROR(TER_handel_ele_kWh/1000),0,TER_handel_ele_kWh/1000)</f>
        <v>4159.2679514760603</v>
      </c>
      <c r="C28" s="39">
        <f>IF(ISERROR(B28*3.6/1000000/'E Balans VL '!Z13*100),0,B28*3.6/1000000/'E Balans VL '!Z13*100)</f>
        <v>0.12852488784072361</v>
      </c>
      <c r="D28" s="233" t="s">
        <v>841</v>
      </c>
      <c r="F28" s="6"/>
    </row>
    <row r="29" spans="1:18" ht="30">
      <c r="A29" s="228" t="s">
        <v>50</v>
      </c>
      <c r="B29" s="33">
        <f>IF(ISERROR(TER_gezond_ele_kWh/1000),0,TER_gezond_ele_kWh/1000)</f>
        <v>874.36366261049693</v>
      </c>
      <c r="C29" s="39">
        <f>IF(ISERROR(B29*3.6/1000000/'E Balans VL '!Z10*100),0,B29*3.6/1000000/'E Balans VL '!Z10*100)</f>
        <v>8.5693015358642641E-2</v>
      </c>
      <c r="D29" s="233" t="s">
        <v>841</v>
      </c>
      <c r="F29" s="6"/>
    </row>
    <row r="30" spans="1:18" ht="30">
      <c r="A30" s="228" t="s">
        <v>49</v>
      </c>
      <c r="B30" s="33">
        <f>IF(ISERROR(TER_ander_ele_kWh/1000),0,TER_ander_ele_kWh/1000)</f>
        <v>7104.4606903106996</v>
      </c>
      <c r="C30" s="39">
        <f>IF(ISERROR(B30*3.6/1000000/'E Balans VL '!Z14*100),0,B30*3.6/1000000/'E Balans VL '!Z14*100)</f>
        <v>0.29428971286601807</v>
      </c>
      <c r="D30" s="233" t="s">
        <v>841</v>
      </c>
      <c r="F30" s="6"/>
    </row>
    <row r="31" spans="1:18" ht="30">
      <c r="A31" s="228" t="s">
        <v>54</v>
      </c>
      <c r="B31" s="33">
        <f>IF(ISERROR(TER_onderwijs_ele_kWh/1000),0,TER_onderwijs_ele_kWh/1000)</f>
        <v>98.161401643960602</v>
      </c>
      <c r="C31" s="39">
        <f>IF(ISERROR(B31*3.6/1000000/'E Balans VL '!Z11*100),0,B31*3.6/1000000/'E Balans VL '!Z11*100)</f>
        <v>3.0162014361387861E-2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93572.465503116895</v>
      </c>
      <c r="C5" s="17">
        <f>IF(ISERROR('Eigen informatie GS &amp; warmtenet'!B61),0,'Eigen informatie GS &amp; warmtenet'!B61)</f>
        <v>0</v>
      </c>
      <c r="D5" s="30">
        <f>SUM(D6:D15)</f>
        <v>93756.613513606004</v>
      </c>
      <c r="E5" s="17">
        <f>SUM(E6:E15)</f>
        <v>340.67606586226464</v>
      </c>
      <c r="F5" s="17">
        <f>SUM(F6:F15)</f>
        <v>3909.7047057889386</v>
      </c>
      <c r="G5" s="18"/>
      <c r="H5" s="17"/>
      <c r="I5" s="17"/>
      <c r="J5" s="17">
        <f>SUM(J6:J15)</f>
        <v>377.54612966557681</v>
      </c>
      <c r="K5" s="17"/>
      <c r="L5" s="17"/>
      <c r="M5" s="17"/>
      <c r="N5" s="17">
        <f>SUM(N6:N15)</f>
        <v>8676.5189669593947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1207.6492535529901</v>
      </c>
      <c r="C8" s="33"/>
      <c r="D8" s="37">
        <f>IF( ISERROR(IND_metaal_Gas_kWH/1000),0,IND_metaal_Gas_kWH/1000)*0.903</f>
        <v>458.18662729858204</v>
      </c>
      <c r="E8" s="33">
        <f>C30*'E Balans VL '!I18/100/3.6*1000000</f>
        <v>6.5830844230420213</v>
      </c>
      <c r="F8" s="33">
        <f>C30*'E Balans VL '!L18/100/3.6*1000000+C30*'E Balans VL '!N18/100/3.6*1000000</f>
        <v>77.772704172325049</v>
      </c>
      <c r="G8" s="34"/>
      <c r="H8" s="33"/>
      <c r="I8" s="33"/>
      <c r="J8" s="40">
        <f>C30*'E Balans VL '!D18/100/3.6*1000000+C30*'E Balans VL '!E18/100/3.6*1000000</f>
        <v>0.98921204579328448</v>
      </c>
      <c r="K8" s="33"/>
      <c r="L8" s="33"/>
      <c r="M8" s="33"/>
      <c r="N8" s="33">
        <f>C30*'E Balans VL '!Y18/100/3.6*1000000</f>
        <v>26.090464112132366</v>
      </c>
      <c r="O8" s="33"/>
      <c r="P8" s="33"/>
      <c r="R8" s="32"/>
    </row>
    <row r="9" spans="1:18">
      <c r="A9" s="6" t="s">
        <v>32</v>
      </c>
      <c r="B9" s="37">
        <f t="shared" si="0"/>
        <v>982.11024902171596</v>
      </c>
      <c r="C9" s="33"/>
      <c r="D9" s="37">
        <f>IF( ISERROR(IND_andere_gas_kWh/1000),0,IND_andere_gas_kWh/1000)*0.903</f>
        <v>995.61524590034207</v>
      </c>
      <c r="E9" s="33">
        <f>C31*'E Balans VL '!I19/100/3.6*1000000</f>
        <v>3.1704191377632056</v>
      </c>
      <c r="F9" s="33">
        <f>C31*'E Balans VL '!L19/100/3.6*1000000+C31*'E Balans VL '!N19/100/3.6*1000000</f>
        <v>635.04019664321629</v>
      </c>
      <c r="G9" s="34"/>
      <c r="H9" s="33"/>
      <c r="I9" s="33"/>
      <c r="J9" s="40">
        <f>C31*'E Balans VL '!D19/100/3.6*1000000+C31*'E Balans VL '!E19/100/3.6*1000000</f>
        <v>0</v>
      </c>
      <c r="K9" s="33"/>
      <c r="L9" s="33"/>
      <c r="M9" s="33"/>
      <c r="N9" s="33">
        <f>C31*'E Balans VL '!Y19/100/3.6*1000000</f>
        <v>39.685940726139911</v>
      </c>
      <c r="O9" s="33"/>
      <c r="P9" s="33"/>
      <c r="R9" s="32"/>
    </row>
    <row r="10" spans="1:18">
      <c r="A10" s="6" t="s">
        <v>40</v>
      </c>
      <c r="B10" s="37">
        <f t="shared" si="0"/>
        <v>71523.675229411005</v>
      </c>
      <c r="C10" s="33"/>
      <c r="D10" s="37">
        <f>IF( ISERROR(IND_voed_gas_kWh/1000),0,IND_voed_gas_kWh/1000)*0.903</f>
        <v>52276.803688451764</v>
      </c>
      <c r="E10" s="33">
        <f>C32*'E Balans VL '!I20/100/3.6*1000000</f>
        <v>149.93115184251147</v>
      </c>
      <c r="F10" s="33">
        <f>C32*'E Balans VL '!L20/100/3.6*1000000+C32*'E Balans VL '!N20/100/3.6*1000000</f>
        <v>1393.5283705042859</v>
      </c>
      <c r="G10" s="34"/>
      <c r="H10" s="33"/>
      <c r="I10" s="33"/>
      <c r="J10" s="40">
        <f>C32*'E Balans VL '!D20/100/3.6*1000000+C32*'E Balans VL '!E20/100/3.6*1000000</f>
        <v>0</v>
      </c>
      <c r="K10" s="33"/>
      <c r="L10" s="33"/>
      <c r="M10" s="33"/>
      <c r="N10" s="33">
        <f>C32*'E Balans VL '!Y20/100/3.6*1000000</f>
        <v>2845.0135079368647</v>
      </c>
      <c r="O10" s="33"/>
      <c r="P10" s="33"/>
      <c r="R10" s="32"/>
    </row>
    <row r="11" spans="1:18">
      <c r="A11" s="6" t="s">
        <v>39</v>
      </c>
      <c r="B11" s="37">
        <f t="shared" si="0"/>
        <v>9324.9883076982496</v>
      </c>
      <c r="C11" s="33"/>
      <c r="D11" s="37">
        <f>IF( ISERROR(IND_textiel_gas_kWh/1000),0,IND_textiel_gas_kWh/1000)*0.903</f>
        <v>0</v>
      </c>
      <c r="E11" s="33">
        <f>C33*'E Balans VL '!I21/100/3.6*1000000</f>
        <v>8.0126821392298293</v>
      </c>
      <c r="F11" s="33">
        <f>C33*'E Balans VL '!L21/100/3.6*1000000+C33*'E Balans VL '!N21/100/3.6*1000000</f>
        <v>195.50805810977218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10520.197752051999</v>
      </c>
      <c r="C12" s="33"/>
      <c r="D12" s="37">
        <f>IF( ISERROR(IND_min_gas_kWh/1000),0,IND_min_gas_kWh/1000)*0.903</f>
        <v>39480.134075036811</v>
      </c>
      <c r="E12" s="33">
        <f>C34*'E Balans VL '!I22/100/3.6*1000000</f>
        <v>172.16365570678266</v>
      </c>
      <c r="F12" s="33">
        <f>C34*'E Balans VL '!L22/100/3.6*1000000+C34*'E Balans VL '!N22/100/3.6*1000000</f>
        <v>1605.7433167644961</v>
      </c>
      <c r="G12" s="34"/>
      <c r="H12" s="33"/>
      <c r="I12" s="33"/>
      <c r="J12" s="40">
        <f>C34*'E Balans VL '!D22/100/3.6*1000000+C34*'E Balans VL '!E22/100/3.6*1000000</f>
        <v>376.48174751279959</v>
      </c>
      <c r="K12" s="33"/>
      <c r="L12" s="33"/>
      <c r="M12" s="33"/>
      <c r="N12" s="33">
        <f>C34*'E Balans VL '!Y22/100/3.6*1000000</f>
        <v>5765.2916473653959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13.8447113809312</v>
      </c>
      <c r="C15" s="33"/>
      <c r="D15" s="37">
        <f>IF( ISERROR(IND_rest_gas_kWh/1000),0,IND_rest_gas_kWh/1000)*0.903</f>
        <v>545.87387691850586</v>
      </c>
      <c r="E15" s="33">
        <f>C37*'E Balans VL '!I15/100/3.6*1000000</f>
        <v>0.81507261293539923</v>
      </c>
      <c r="F15" s="33">
        <f>C37*'E Balans VL '!L15/100/3.6*1000000+C37*'E Balans VL '!N15/100/3.6*1000000</f>
        <v>2.1120595948431311</v>
      </c>
      <c r="G15" s="34"/>
      <c r="H15" s="33"/>
      <c r="I15" s="33"/>
      <c r="J15" s="40">
        <f>C37*'E Balans VL '!D15/100/3.6*1000000+C37*'E Balans VL '!E15/100/3.6*1000000</f>
        <v>7.5170106983947965E-2</v>
      </c>
      <c r="K15" s="33"/>
      <c r="L15" s="33"/>
      <c r="M15" s="33"/>
      <c r="N15" s="33">
        <f>C37*'E Balans VL '!Y15/100/3.6*1000000</f>
        <v>0.43740681886069943</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93572.465503116895</v>
      </c>
      <c r="C18" s="21">
        <f>C5+C16</f>
        <v>0</v>
      </c>
      <c r="D18" s="21">
        <f>MAX((D5+D16),0)</f>
        <v>93756.613513606004</v>
      </c>
      <c r="E18" s="21">
        <f>MAX((E5+E16),0)</f>
        <v>340.67606586226464</v>
      </c>
      <c r="F18" s="21">
        <f>MAX((F5+F16),0)</f>
        <v>3909.7047057889386</v>
      </c>
      <c r="G18" s="21"/>
      <c r="H18" s="21"/>
      <c r="I18" s="21"/>
      <c r="J18" s="21">
        <f>MAX((J5+J16),0)</f>
        <v>377.54612966557681</v>
      </c>
      <c r="K18" s="21"/>
      <c r="L18" s="21">
        <f>MAX((L5+L16),0)</f>
        <v>0</v>
      </c>
      <c r="M18" s="21"/>
      <c r="N18" s="21">
        <f>MAX((N5+N16),0)</f>
        <v>8676.5189669593947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0.20099733313170576</v>
      </c>
      <c r="C20" s="25">
        <f ca="1">'EF ele_warmte'!B22</f>
        <v>0.13141772838167529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18807.81602068503</v>
      </c>
      <c r="C22" s="23">
        <f ca="1">C18*C20</f>
        <v>0</v>
      </c>
      <c r="D22" s="23">
        <f>D18*D20</f>
        <v>18938.835929748413</v>
      </c>
      <c r="E22" s="23">
        <f>E18*E20</f>
        <v>77.333466950734078</v>
      </c>
      <c r="F22" s="23">
        <f>F18*F20</f>
        <v>1043.8911564456466</v>
      </c>
      <c r="G22" s="23"/>
      <c r="H22" s="23"/>
      <c r="I22" s="23"/>
      <c r="J22" s="23">
        <f>J18*J20</f>
        <v>133.65132990161419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1207.6492535529901</v>
      </c>
      <c r="C30" s="39">
        <f>IF(ISERROR(B30*3.6/1000000/'E Balans VL '!Z18*100),0,B30*3.6/1000000/'E Balans VL '!Z18*100)</f>
        <v>7.2721326625604155E-2</v>
      </c>
      <c r="D30" s="233" t="s">
        <v>841</v>
      </c>
    </row>
    <row r="31" spans="1:18" ht="30">
      <c r="A31" s="6" t="s">
        <v>32</v>
      </c>
      <c r="B31" s="37">
        <f>IF( ISERROR(IND_ander_ele_kWh/1000),0,IND_ander_ele_kWh/1000)</f>
        <v>982.11024902171596</v>
      </c>
      <c r="C31" s="39">
        <f>IF(ISERROR(B31*3.6/1000000/'E Balans VL '!Z19*100),0,B31*3.6/1000000/'E Balans VL '!Z19*100)</f>
        <v>4.0013204747343691E-2</v>
      </c>
      <c r="D31" s="233" t="s">
        <v>841</v>
      </c>
    </row>
    <row r="32" spans="1:18" ht="30">
      <c r="A32" s="168" t="s">
        <v>40</v>
      </c>
      <c r="B32" s="37">
        <f>IF( ISERROR(IND_voed_ele_kWh/1000),0,IND_voed_ele_kWh/1000)</f>
        <v>71523.675229411005</v>
      </c>
      <c r="C32" s="39">
        <f>IF(ISERROR(B32*3.6/1000000/'E Balans VL '!Z20*100),0,B32*3.6/1000000/'E Balans VL '!Z20*100)</f>
        <v>2.0680372836590588</v>
      </c>
      <c r="D32" s="233" t="s">
        <v>841</v>
      </c>
    </row>
    <row r="33" spans="1:5" ht="30">
      <c r="A33" s="168" t="s">
        <v>39</v>
      </c>
      <c r="B33" s="37">
        <f>IF( ISERROR(IND_textiel_ele_kWh/1000),0,IND_textiel_ele_kWh/1000)</f>
        <v>9324.9883076982496</v>
      </c>
      <c r="C33" s="39">
        <f>IF(ISERROR(B33*3.6/1000000/'E Balans VL '!Z21*100),0,B33*3.6/1000000/'E Balans VL '!Z21*100)</f>
        <v>1.5335276821492496</v>
      </c>
      <c r="D33" s="233" t="s">
        <v>841</v>
      </c>
    </row>
    <row r="34" spans="1:5" ht="30">
      <c r="A34" s="168" t="s">
        <v>36</v>
      </c>
      <c r="B34" s="37">
        <f>IF( ISERROR(IND_min_ele_kWh/1000),0,IND_min_ele_kWh/1000)</f>
        <v>10520.197752051999</v>
      </c>
      <c r="C34" s="39">
        <f>IF(ISERROR(B34*3.6/1000000/'E Balans VL '!Z22*100),0,B34*3.6/1000000/'E Balans VL '!Z22*100)</f>
        <v>4.4920266838329477</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13.8447113809312</v>
      </c>
      <c r="C37" s="39">
        <f>IF(ISERROR(B37*3.6/1000000/'E Balans VL '!Z15*100),0,B37*3.6/1000000/'E Balans VL '!Z15*100)</f>
        <v>1.1367556672049234E-4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5530.3275425848105</v>
      </c>
      <c r="C5" s="17">
        <f>'Eigen informatie GS &amp; warmtenet'!B62</f>
        <v>0</v>
      </c>
      <c r="D5" s="30">
        <f>IF(ISERROR(SUM(LB_lb_gas_kWh,LB_rest_gas_kWh)/1000),0,SUM(LB_lb_gas_kWh,LB_rest_gas_kWh)/1000)*0.903</f>
        <v>1627.8289174075744</v>
      </c>
      <c r="E5" s="17">
        <f>B17*'E Balans VL '!I25/3.6*1000000/100</f>
        <v>158.39793984727672</v>
      </c>
      <c r="F5" s="17">
        <f>B17*('E Balans VL '!L25/3.6*1000000+'E Balans VL '!N25/3.6*1000000)/100</f>
        <v>17506.160238257267</v>
      </c>
      <c r="G5" s="18"/>
      <c r="H5" s="17"/>
      <c r="I5" s="17"/>
      <c r="J5" s="17">
        <f>('E Balans VL '!D25+'E Balans VL '!E25)/3.6*1000000*landbouw!B17/100</f>
        <v>1406.1886285659536</v>
      </c>
      <c r="K5" s="17"/>
      <c r="L5" s="17">
        <f>L6*(-1)</f>
        <v>0</v>
      </c>
      <c r="M5" s="17"/>
      <c r="N5" s="17">
        <f>N6*(-1)</f>
        <v>0</v>
      </c>
      <c r="O5" s="17"/>
      <c r="P5" s="17"/>
      <c r="R5" s="32"/>
    </row>
    <row r="6" spans="1:18">
      <c r="A6" s="16" t="s">
        <v>473</v>
      </c>
      <c r="B6" s="17" t="s">
        <v>210</v>
      </c>
      <c r="C6" s="17">
        <f>'lokale energieproductie'!O40+'lokale energieproductie'!O33</f>
        <v>77.142857142857139</v>
      </c>
      <c r="D6" s="304">
        <f>('lokale energieproductie'!P33+'lokale energieproductie'!P40)*(-1)</f>
        <v>-154.28571428571431</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5530.3275425848105</v>
      </c>
      <c r="C8" s="21">
        <f>C5+C6</f>
        <v>77.142857142857139</v>
      </c>
      <c r="D8" s="21">
        <f>MAX((D5+D6),0)</f>
        <v>1473.5432031218602</v>
      </c>
      <c r="E8" s="21">
        <f>MAX((E5+E6),0)</f>
        <v>158.39793984727672</v>
      </c>
      <c r="F8" s="21">
        <f>MAX((F5+F6),0)</f>
        <v>17506.160238257267</v>
      </c>
      <c r="G8" s="21"/>
      <c r="H8" s="21"/>
      <c r="I8" s="21"/>
      <c r="J8" s="21">
        <f>MAX((J5+J6),0)</f>
        <v>1406.1886285659536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0.20099733313170576</v>
      </c>
      <c r="C10" s="31">
        <f ca="1">'EF ele_warmte'!B22</f>
        <v>0.13141772838167529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1111.5810874043668</v>
      </c>
      <c r="C12" s="23">
        <f ca="1">C8*C10</f>
        <v>10.137939046586379</v>
      </c>
      <c r="D12" s="23">
        <f>D8*D10</f>
        <v>297.65572703061576</v>
      </c>
      <c r="E12" s="23">
        <f>E8*E10</f>
        <v>35.956332345331816</v>
      </c>
      <c r="F12" s="23">
        <f>F8*F10</f>
        <v>4674.1447836146908</v>
      </c>
      <c r="G12" s="23"/>
      <c r="H12" s="23"/>
      <c r="I12" s="23"/>
      <c r="J12" s="23">
        <f>J8*J10</f>
        <v>497.79077451234758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0.76582490640388379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729.13032213352346</v>
      </c>
      <c r="C26" s="243">
        <f>B26*'GWP N2O_CH4'!B5</f>
        <v>15311.736764803993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500.41069556979494</v>
      </c>
      <c r="C27" s="243">
        <f>B27*'GWP N2O_CH4'!B5</f>
        <v>10508.624606965694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10.940296816197341</v>
      </c>
      <c r="C28" s="243">
        <f>B28*'GWP N2O_CH4'!B4</f>
        <v>3391.4920130211758</v>
      </c>
      <c r="D28" s="50"/>
    </row>
    <row r="29" spans="1:4">
      <c r="A29" s="41" t="s">
        <v>272</v>
      </c>
      <c r="B29" s="243">
        <f>B34*'ha_N2O bodem landbouw'!B4</f>
        <v>32.635186112889826</v>
      </c>
      <c r="C29" s="243">
        <f>B29*'GWP N2O_CH4'!B4</f>
        <v>10116.907694995845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7.4141302038601697E-3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9.943754352660498E-4</v>
      </c>
      <c r="C5" s="434" t="s">
        <v>210</v>
      </c>
      <c r="D5" s="419">
        <f>SUM(D6:D11)</f>
        <v>1.6148676181692266E-3</v>
      </c>
      <c r="E5" s="419">
        <f>SUM(E6:E11)</f>
        <v>7.0146313792879614E-4</v>
      </c>
      <c r="F5" s="432" t="s">
        <v>210</v>
      </c>
      <c r="G5" s="419">
        <f>SUM(G6:G11)</f>
        <v>0.3571934624970039</v>
      </c>
      <c r="H5" s="419">
        <f>SUM(H6:H11)</f>
        <v>8.0924121445577993E-2</v>
      </c>
      <c r="I5" s="434" t="s">
        <v>210</v>
      </c>
      <c r="J5" s="434" t="s">
        <v>210</v>
      </c>
      <c r="K5" s="434" t="s">
        <v>210</v>
      </c>
      <c r="L5" s="434" t="s">
        <v>210</v>
      </c>
      <c r="M5" s="419">
        <f>SUM(M6:M11)</f>
        <v>2.6246221553405762E-2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2.7972786199742267E-4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4.66386423037256E-4</v>
      </c>
      <c r="E6" s="886">
        <f>vkm_GW_PW*SUMIFS(TableVerdeelsleutelVkm[LPG],TableVerdeelsleutelVkm[Voertuigtype],"Lichte voertuigen")*SUMIFS(TableECFTransport[EnergieConsumptieFactor (PJ per km)],TableECFTransport[Index],CONCATENATE($A6,"_LPG_LPG"))</f>
        <v>1.8490324778157064E-4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5.5568070809348058E-2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2.2872406476783885E-2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4.812091953573047E-3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1.310833936905185E-6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5.1962283491620187E-2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3.8340643930385371E-7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2.9835864423746823E-3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1.6313022500789482E-4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3.7250023763902977E-4</v>
      </c>
      <c r="E8" s="422">
        <f>vkm_NGW_PW*SUMIFS(TableVerdeelsleutelVkm[LPG],TableVerdeelsleutelVkm[Voertuigtype],"Lichte voertuigen")*SUMIFS(TableECFTransport[EnergieConsumptieFactor (PJ per km)],TableECFTransport[Index],CONCATENATE($A8,"_LPG_LPG"))</f>
        <v>1.4140300796103007E-4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3.8925431558792793E-2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1.8097490719929544E-2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3.517999759508627E-3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2.2416454251988273E-7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1.1443110459805207E-2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7.9139825973898293E-8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6.5704367536056896E-4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5.4738190353426585E-4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7.7598095749294074E-4</v>
      </c>
      <c r="E10" s="422">
        <f>vkm_SW_PW*SUMIFS(TableVerdeelsleutelVkm[LPG],TableVerdeelsleutelVkm[Voertuigtype],"Lichte voertuigen")*SUMIFS(TableECFTransport[EnergieConsumptieFactor (PJ per km)],TableECFTransport[Index],CONCATENATE($A10,"_LPG_LPG"))</f>
        <v>3.7515688218619543E-4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0.1022853937235865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3.9952978831886442E-2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8.7053923410332617E-3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2.6004462470413355E-6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9.7009172453851156E-2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7.8287071283358991E-7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5.570107381555574E-3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276.21539868501384</v>
      </c>
      <c r="C14" s="21"/>
      <c r="D14" s="21">
        <f t="shared" ref="D14:M14" si="0">((D5)*10^9/3600)+D12</f>
        <v>448.57433838034075</v>
      </c>
      <c r="E14" s="21">
        <f t="shared" si="0"/>
        <v>194.85087164688781</v>
      </c>
      <c r="F14" s="21"/>
      <c r="G14" s="21">
        <f t="shared" si="0"/>
        <v>99220.406249167747</v>
      </c>
      <c r="H14" s="21">
        <f t="shared" si="0"/>
        <v>22478.922623771665</v>
      </c>
      <c r="I14" s="21"/>
      <c r="J14" s="21"/>
      <c r="K14" s="21"/>
      <c r="L14" s="21"/>
      <c r="M14" s="21">
        <f t="shared" si="0"/>
        <v>7290.6170981682671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0.20099733313170576</v>
      </c>
      <c r="C16" s="56">
        <f ca="1">'EF ele_warmte'!B22</f>
        <v>0.13141772838167529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55.518558505598648</v>
      </c>
      <c r="C18" s="23"/>
      <c r="D18" s="23">
        <f t="shared" ref="D18:M18" si="1">D14*D16</f>
        <v>90.612016352828832</v>
      </c>
      <c r="E18" s="23">
        <f t="shared" si="1"/>
        <v>44.231147863843532</v>
      </c>
      <c r="F18" s="23"/>
      <c r="G18" s="23">
        <f t="shared" si="1"/>
        <v>26491.848468527791</v>
      </c>
      <c r="H18" s="23">
        <f t="shared" si="1"/>
        <v>5597.2517333191445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5.3579553622700766E-5</v>
      </c>
      <c r="C50" s="315">
        <f t="shared" ref="C50:P50" si="2">SUM(C51:C52)</f>
        <v>0</v>
      </c>
      <c r="D50" s="315">
        <f t="shared" si="2"/>
        <v>0</v>
      </c>
      <c r="E50" s="315">
        <f t="shared" si="2"/>
        <v>0</v>
      </c>
      <c r="F50" s="315">
        <f t="shared" si="2"/>
        <v>0</v>
      </c>
      <c r="G50" s="315">
        <f t="shared" si="2"/>
        <v>3.3542420391163173E-3</v>
      </c>
      <c r="H50" s="315">
        <f t="shared" si="2"/>
        <v>0</v>
      </c>
      <c r="I50" s="315">
        <f t="shared" si="2"/>
        <v>0</v>
      </c>
      <c r="J50" s="315">
        <f t="shared" si="2"/>
        <v>0</v>
      </c>
      <c r="K50" s="315">
        <f t="shared" si="2"/>
        <v>0</v>
      </c>
      <c r="L50" s="315">
        <f t="shared" si="2"/>
        <v>0</v>
      </c>
      <c r="M50" s="315">
        <f t="shared" si="2"/>
        <v>1.9259315081317124E-4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5.3579553622700766E-5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3.3542420391163173E-3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1.9259315081317124E-4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14.883209339639102</v>
      </c>
      <c r="C54" s="21">
        <f t="shared" ref="C54:P54" si="3">(C50)*10^9/3600</f>
        <v>0</v>
      </c>
      <c r="D54" s="21">
        <f t="shared" si="3"/>
        <v>0</v>
      </c>
      <c r="E54" s="21">
        <f t="shared" si="3"/>
        <v>0</v>
      </c>
      <c r="F54" s="21">
        <f t="shared" si="3"/>
        <v>0</v>
      </c>
      <c r="G54" s="21">
        <f t="shared" si="3"/>
        <v>931.73389975453256</v>
      </c>
      <c r="H54" s="21">
        <f t="shared" si="3"/>
        <v>0</v>
      </c>
      <c r="I54" s="21">
        <f t="shared" si="3"/>
        <v>0</v>
      </c>
      <c r="J54" s="21">
        <f t="shared" si="3"/>
        <v>0</v>
      </c>
      <c r="K54" s="21">
        <f t="shared" si="3"/>
        <v>0</v>
      </c>
      <c r="L54" s="21">
        <f t="shared" si="3"/>
        <v>0</v>
      </c>
      <c r="M54" s="21">
        <f t="shared" si="3"/>
        <v>53.498097448103117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0.20099733313170576</v>
      </c>
      <c r="C56" s="56">
        <f ca="1">'EF ele_warmte'!B22</f>
        <v>0.13141772838167529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2.991485385708355</v>
      </c>
      <c r="C58" s="23">
        <f t="shared" ref="C58:P58" ca="1" si="4">C54*C56</f>
        <v>0</v>
      </c>
      <c r="D58" s="23">
        <f t="shared" si="4"/>
        <v>0</v>
      </c>
      <c r="E58" s="23">
        <f t="shared" si="4"/>
        <v>0</v>
      </c>
      <c r="F58" s="23">
        <f t="shared" si="4"/>
        <v>0</v>
      </c>
      <c r="G58" s="23">
        <f t="shared" si="4"/>
        <v>248.77295123446021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12372.40983268803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97.649999999999991</v>
      </c>
      <c r="C8" s="545">
        <f>B49</f>
        <v>63.529411764705891</v>
      </c>
      <c r="D8" s="546"/>
      <c r="E8" s="546">
        <f>E49</f>
        <v>0</v>
      </c>
      <c r="F8" s="547"/>
      <c r="G8" s="548"/>
      <c r="H8" s="546">
        <f>I49</f>
        <v>0</v>
      </c>
      <c r="I8" s="546">
        <f>G49+F49</f>
        <v>0</v>
      </c>
      <c r="J8" s="546">
        <f>H49+D49+C49</f>
        <v>51.35294117647058</v>
      </c>
      <c r="K8" s="546"/>
      <c r="L8" s="546"/>
      <c r="M8" s="546"/>
      <c r="N8" s="549"/>
      <c r="O8" s="550">
        <f>C8*$C$12+D8*$D$12+E8*$E$12+F8*$F$12+G8*$G$12+H8*$H$12+I8*$I$12+J8*$J$12</f>
        <v>12.832941176470591</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12470.05983268803</v>
      </c>
      <c r="C10" s="560">
        <f t="shared" ref="C10:L10" si="0">SUM(C8:C9)</f>
        <v>63.529411764705891</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12.832941176470591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139.5</v>
      </c>
      <c r="C17" s="576">
        <f>B50</f>
        <v>90.756302521008422</v>
      </c>
      <c r="D17" s="577"/>
      <c r="E17" s="577">
        <f>E50</f>
        <v>0</v>
      </c>
      <c r="F17" s="578"/>
      <c r="G17" s="579"/>
      <c r="H17" s="576">
        <f>I50</f>
        <v>0</v>
      </c>
      <c r="I17" s="577">
        <f>G50+F50</f>
        <v>0</v>
      </c>
      <c r="J17" s="577">
        <f>H50+D50+C50</f>
        <v>73.361344537815114</v>
      </c>
      <c r="K17" s="577"/>
      <c r="L17" s="577"/>
      <c r="M17" s="577"/>
      <c r="N17" s="962"/>
      <c r="O17" s="580">
        <f>C17*$C$22+E17*$E$22+H17*$H$22+I17*$I$22+J17*$J$22+D17*$D$22+F17*$F$22+G17*$G$22+K17*$K$22+L17*$L$22</f>
        <v>18.332773109243703</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139.5</v>
      </c>
      <c r="C20" s="559">
        <f>SUM(C17:C19)</f>
        <v>90.756302521008422</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18.332773109243703</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33037</v>
      </c>
      <c r="C28" s="787">
        <v>8980</v>
      </c>
      <c r="D28" s="637" t="s">
        <v>874</v>
      </c>
      <c r="E28" s="636" t="s">
        <v>875</v>
      </c>
      <c r="F28" s="636" t="s">
        <v>876</v>
      </c>
      <c r="G28" s="636" t="s">
        <v>877</v>
      </c>
      <c r="H28" s="636" t="s">
        <v>878</v>
      </c>
      <c r="I28" s="636" t="s">
        <v>875</v>
      </c>
      <c r="J28" s="786">
        <v>41379</v>
      </c>
      <c r="K28" s="786">
        <v>41379</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1600</v>
      </c>
      <c r="Y28" s="636" t="s">
        <v>49</v>
      </c>
      <c r="Z28" s="638" t="s">
        <v>155</v>
      </c>
    </row>
    <row r="29" spans="1:26" s="590" customFormat="1" ht="25.5">
      <c r="A29" s="589"/>
      <c r="B29" s="787">
        <v>33037</v>
      </c>
      <c r="C29" s="787">
        <v>8980</v>
      </c>
      <c r="D29" s="637" t="s">
        <v>880</v>
      </c>
      <c r="E29" s="636"/>
      <c r="F29" s="636" t="s">
        <v>881</v>
      </c>
      <c r="G29" s="636" t="s">
        <v>882</v>
      </c>
      <c r="H29" s="636" t="s">
        <v>878</v>
      </c>
      <c r="I29" s="636" t="s">
        <v>883</v>
      </c>
      <c r="J29" s="786">
        <v>43542</v>
      </c>
      <c r="K29" s="786">
        <v>43542</v>
      </c>
      <c r="L29" s="636" t="s">
        <v>884</v>
      </c>
      <c r="M29" s="636">
        <v>16</v>
      </c>
      <c r="N29" s="636">
        <v>54</v>
      </c>
      <c r="O29" s="636">
        <v>77.142857142857139</v>
      </c>
      <c r="P29" s="636">
        <v>154.28571428571431</v>
      </c>
      <c r="Q29" s="636">
        <v>0</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25.7</v>
      </c>
      <c r="N30" s="594">
        <f>SUM(N28:N29)</f>
        <v>97.649999999999991</v>
      </c>
      <c r="O30" s="594">
        <f>SUM(O28:O29)</f>
        <v>139.5</v>
      </c>
      <c r="P30" s="594">
        <f>SUM(P28:P29)</f>
        <v>154.28571428571431</v>
      </c>
      <c r="Q30" s="594">
        <f>SUM(Q28:Q29)</f>
        <v>124.71428571428569</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9.6999999999999993</v>
      </c>
      <c r="N32" s="594">
        <f ca="1">SUMIF($Z$28:AD29,"tertiair",N28:N29)</f>
        <v>43.649999999999991</v>
      </c>
      <c r="O32" s="594">
        <f ca="1">SUMIF($Z$28:AE29,"tertiair",O28:O29)</f>
        <v>62.357142857142847</v>
      </c>
      <c r="P32" s="594">
        <f ca="1">SUMIF($Z$28:AF29,"tertiair",P28:P29)</f>
        <v>0</v>
      </c>
      <c r="Q32" s="594">
        <f ca="1">SUMIF($Z$28:AG29,"tertiair",Q28:Q29)</f>
        <v>124.71428571428569</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16</v>
      </c>
      <c r="N33" s="599">
        <f>SUMIF($Z$28:$Z$29,"landbouw",N28:N29)</f>
        <v>54</v>
      </c>
      <c r="O33" s="599">
        <f>SUMIF($Z$28:$Z$29,"landbouw",O28:O29)</f>
        <v>77.142857142857139</v>
      </c>
      <c r="P33" s="599">
        <f>SUMIF($Z$28:$Z$29,"landbouw",P28:P29)</f>
        <v>154.28571428571431</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63.529411764705891</v>
      </c>
      <c r="C49" s="628">
        <f t="shared" si="2"/>
        <v>51.35294117647058</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90.756302521008422</v>
      </c>
      <c r="C50" s="631">
        <f t="shared" si="3"/>
        <v>73.361344537815114</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2021-06-29T14:17:08Z</dcterms:modified>
</cp:coreProperties>
</file>