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6" i="13"/>
  <c r="B34" i="13"/>
  <c r="B33" i="13"/>
  <c r="B32" i="13"/>
  <c r="B35" i="13"/>
  <c r="D16" i="16"/>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<sst xmlns="http://schemas.openxmlformats.org/spreadsheetml/2006/main" count="2429" uniqueCount="874">
  <si>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</si>
  <si>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</si>
  <si>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</si>
  <si>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</si>
  <si>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</si>
  <si>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</si>
  <si>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</si>
  <si>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</si>
  <si>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</si>
  <si>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</si>
  <si>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</si>
  <si>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</si>
  <si>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</si>
  <si>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</si>
  <si>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</si>
  <si>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</si>
  <si>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</si>
  <si>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</si>
  <si>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</si>
  <si>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</si>
  <si>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</si>
  <si>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</si>
  <si>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</si>
  <si>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</si>
  <si>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</si>
  <si>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</si>
  <si>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</si>
  <si>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</si>
  <si>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</si>
  <si>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</si>
  <si>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</si>
  <si>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</si>
  <si>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</si>
  <si>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</si>
  <si>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</si>
  <si>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</si>
  <si>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</si>
  <si>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</si>
  <si>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</si>
  <si>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</si>
  <si>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</si>
  <si>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</si>
  <si>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</si>
  <si>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</si>
  <si>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</si>
  <si>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</si>
  <si>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</si>
  <si>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</si>
  <si>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</si>
  <si>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</si>
  <si>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</si>
  <si>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</si>
  <si>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</si>
  <si>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</si>
  <si>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</si>
  <si>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</si>
  <si>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</si>
  <si>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</si>
  <si>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</si>
  <si>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</si>
  <si>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</si>
  <si>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</si>
  <si>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</si>
  <si>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</si>
  <si>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</si>
  <si>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</si>
  <si>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</si>
  <si>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</si>
  <si>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</si>
  <si>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</si>
  <si>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</si>
  <si>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</si>
  <si>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</si>
  <si>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</si>
  <si>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</si>
  <si>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</si>
  <si>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</si>
  <si>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</si>
  <si>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</si>
  <si>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</si>
  <si>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</si>
  <si>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</si>
  <si>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</si>
  <si>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</si>
  <si>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</si>
  <si>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</si>
  <si>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</si>
  <si>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</si>
  <si>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</si>
  <si>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</si>
  <si>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</si>
  <si>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</si>
  <si>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</si>
  <si>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</si>
  <si>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</si>
  <si>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</si>
  <si>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</si>
  <si>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</si>
  <si>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</si>
  <si>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</si>
  <si>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</si>
  <si>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</si>
  <si>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</si>
  <si>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</si>
  <si>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</si>
  <si>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</si>
  <si>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</si>
  <si>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</si>
  <si>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</si>
  <si>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</si>
  <si>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</si>
  <si>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</si>
  <si>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</si>
  <si>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</si>
  <si>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</si>
  <si>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</si>
  <si>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</si>
  <si>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</si>
  <si>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</si>
  <si>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</si>
  <si>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</si>
  <si>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</si>
  <si>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</si>
  <si>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</si>
  <si>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</si>
  <si>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</si>
  <si>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</si>
  <si>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</si>
  <si>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</si>
  <si>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</si>
  <si>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</si>
  <si>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</si>
  <si>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</si>
  <si>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</si>
  <si>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</si>
  <si>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</si>
  <si>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</si>
  <si>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</si>
  <si>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</si>
  <si>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</si>
  <si>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</si>
  <si>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</si>
  <si>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</si>
  <si>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</si>
  <si>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</si>
  <si>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</si>
  <si>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</si>
  <si>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</si>
  <si>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</si>
  <si>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</si>
  <si>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</si>
  <si>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</si>
  <si>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</si>
  <si>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</si>
  <si>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</si>
  <si>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</si>
  <si>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</si>
  <si>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</si>
  <si>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</si>
  <si>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</si>
  <si>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</si>
  <si>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</si>
  <si>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</si>
  <si>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</si>
  <si>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</si>
  <si>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</si>
  <si>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</si>
  <si>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</si>
  <si>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</si>
  <si>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</si>
  <si>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</si>
  <si>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</si>
  <si>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</si>
  <si>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</si>
  <si>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</si>
  <si>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</si>
  <si>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</si>
  <si>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</si>
  <si>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</si>
  <si>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</si>
  <si>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</si>
  <si>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</si>
  <si>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</si>
  <si>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</si>
  <si>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</si>
  <si>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</si>
  <si>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</si>
  <si>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</si>
  <si>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</si>
  <si>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</si>
  <si>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</si>
  <si>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</si>
  <si>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</si>
  <si>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</si>
  <si>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</si>
  <si>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</si>
  <si>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</si>
  <si>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</si>
  <si>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</si>
  <si>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</si>
  <si>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</si>
  <si>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</si>
  <si>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</si>
  <si>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</si>
  <si>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</si>
  <si>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</si>
  <si>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</si>
  <si>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</si>
  <si>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</si>
  <si>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</si>
  <si>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</si>
  <si>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</si>
  <si>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</si>
  <si>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</si>
  <si>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</si>
  <si>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</si>
  <si>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</si>
  <si>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</si>
  <si>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</si>
  <si>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</si>
  <si>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</si>
  <si>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</si>
  <si>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</si>
  <si>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</si>
  <si>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</si>
  <si>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</si>
  <si>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</si>
  <si>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</si>
  <si>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</si>
  <si>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</si>
  <si>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</si>
  <si>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</si>
  <si>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</si>
  <si>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</si>
  <si>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</si>
  <si>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</si>
  <si>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</si>
  <si>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</si>
  <si>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</si>
  <si>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</si>
  <si>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</si>
  <si>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</si>
  <si>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</si>
  <si>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</si>
  <si>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</si>
  <si>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</si>
  <si>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</si>
  <si>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</si>
  <si>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</si>
  <si>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</si>
  <si>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</si>
  <si>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</si>
  <si>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</si>
  <si>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</si>
  <si>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</si>
  <si>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</si>
  <si>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</si>
  <si>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</si>
  <si>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</si>
  <si>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</si>
  <si>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</si>
  <si>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</si>
  <si>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</si>
  <si>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</si>
  <si>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</si>
  <si>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</si>
  <si>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</si>
  <si>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</si>
  <si>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</si>
  <si>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</si>
  <si>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</si>
  <si>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</si>
  <si>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</si>
  <si>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</si>
  <si>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</si>
  <si>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</si>
  <si>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</si>
  <si>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</si>
  <si>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</si>
  <si>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</si>
  <si>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</si>
  <si>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</si>
  <si>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</si>
  <si>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</si>
  <si>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</si>
  <si>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</si>
  <si>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</si>
  <si>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</si>
  <si>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</si>
  <si>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</si>
  <si>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</si>
  <si>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</si>
  <si>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</si>
  <si>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</si>
  <si>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</si>
  <si>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</si>
  <si>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</si>
  <si>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</si>
  <si>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</si>
  <si>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</si>
  <si>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</si>
  <si>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</si>
  <si>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</si>
  <si>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</si>
  <si>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</si>
  <si>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</si>
  <si>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</si>
  <si>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</si>
  <si>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</si>
  <si>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</si>
  <si>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</si>
  <si>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</si>
  <si>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</si>
  <si>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</si>
  <si>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</si>
  <si>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</si>
  <si>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</si>
  <si>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</si>
  <si>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</si>
  <si>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</si>
  <si>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</si>
  <si>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</si>
  <si>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</si>
  <si>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</si>
  <si>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</si>
  <si>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</si>
  <si>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</si>
  <si>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</si>
  <si>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</si>
  <si>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</si>
  <si>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</si>
  <si>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</si>
  <si>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</si>
  <si>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</si>
  <si>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</si>
  <si>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</si>
  <si>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</si>
  <si>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</si>
  <si>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</si>
  <si>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</si>
  <si>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</si>
  <si>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</si>
  <si>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</si>
  <si>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</si>
  <si>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</si>
  <si>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</si>
  <si>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</si>
  <si>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</si>
  <si>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</si>
  <si>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</si>
  <si>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</si>
  <si>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</si>
  <si>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</si>
  <si>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</si>
  <si>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</si>
  <si>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</si>
  <si>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</si>
  <si>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</si>
  <si>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</si>
  <si>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</si>
  <si>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</si>
  <si>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</si>
  <si>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</si>
  <si>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</si>
  <si>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</si>
  <si>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</si>
  <si>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</si>
  <si>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</si>
  <si>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</si>
  <si>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</si>
  <si>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</si>
  <si>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</si>
  <si>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</si>
  <si>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</si>
  <si>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</si>
  <si>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</si>
  <si>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</si>
  <si>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</si>
  <si>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</si>
  <si>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</si>
  <si>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</si>
  <si>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</si>
  <si>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</si>
  <si>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</si>
  <si>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</si>
  <si>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</si>
  <si>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</si>
  <si>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</si>
  <si>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</si>
  <si>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</si>
  <si>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</si>
  <si>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</si>
  <si>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</si>
  <si>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</si>
  <si>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</si>
  <si>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</si>
  <si>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</si>
  <si>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</si>
  <si>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</si>
  <si>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</si>
  <si>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</si>
  <si>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</si>
  <si>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</si>
  <si>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</si>
  <si>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</si>
  <si>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</si>
  <si>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</si>
  <si>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</si>
  <si>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</si>
  <si>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</si>
  <si>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</si>
  <si>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</si>
  <si>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</si>
  <si>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</si>
  <si>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</si>
  <si>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</si>
  <si>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</si>
  <si>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</si>
  <si>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</si>
  <si>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</si>
  <si>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</si>
  <si>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</si>
  <si>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</si>
  <si>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</si>
  <si>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</si>
  <si>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</si>
  <si>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</si>
  <si>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</si>
  <si>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</si>
  <si>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</si>
  <si>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</si>
  <si>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</si>
  <si>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</si>
  <si>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</si>
  <si>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</si>
  <si>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</si>
  <si>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</si>
  <si>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</si>
  <si>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</si>
  <si>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</si>
  <si>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</si>
  <si>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</si>
  <si>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</si>
  <si>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</si>
  <si>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</si>
  <si>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</si>
  <si>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</si>
  <si>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</si>
  <si>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</si>
  <si>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</si>
  <si>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</si>
  <si>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</si>
  <si>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</si>
  <si>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</si>
  <si>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</si>
  <si>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</si>
  <si>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</si>
  <si>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</si>
  <si>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</si>
  <si>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</si>
  <si>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</si>
  <si>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</si>
  <si>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</si>
  <si>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</si>
  <si>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</si>
  <si>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</si>
  <si>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</si>
  <si>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</si>
  <si>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</si>
  <si>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</si>
  <si>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</si>
  <si>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</si>
  <si>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</si>
  <si>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</si>
  <si>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</si>
  <si>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</si>
  <si>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</si>
  <si>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</si>
  <si>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</si>
  <si>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</si>
  <si>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</si>
  <si>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</si>
  <si>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</si>
  <si>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</si>
  <si>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</si>
  <si>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</si>
  <si>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</si>
  <si>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</si>
  <si>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</si>
  <si>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</si>
  <si>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</si>
  <si>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</si>
  <si>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</si>
  <si>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</si>
  <si>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</si>
  <si>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</si>
  <si>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</si>
  <si>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</si>
  <si>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</si>
  <si>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</si>
  <si>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</si>
  <si>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</si>
  <si>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</si>
  <si>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</si>
  <si>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</si>
  <si>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</si>
  <si>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</si>
  <si>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</si>
  <si>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</si>
  <si>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</si>
  <si>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</si>
  <si>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</si>
  <si>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</si>
  <si>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</si>
  <si>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</si>
  <si>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</si>
  <si>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</si>
  <si>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</si>
  <si>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</si>
  <si>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</si>
  <si>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</si>
  <si>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</si>
  <si>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</si>
  <si>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</si>
  <si>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</si>
  <si>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</si>
  <si>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</si>
  <si>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</si>
  <si>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</si>
  <si>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</si>
  <si>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</si>
  <si>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</si>
  <si>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</si>
  <si>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</si>
  <si>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</si>
  <si>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</si>
  <si>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</si>
  <si>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</si>
  <si>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</si>
  <si>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</si>
  <si>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</si>
  <si>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</si>
  <si>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</si>
  <si>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</si>
  <si>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</si>
  <si>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</si>
  <si>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</si>
  <si>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</si>
  <si>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</si>
  <si>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</si>
  <si>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</si>
  <si>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</si>
  <si>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</si>
  <si>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</si>
  <si>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</si>
  <si>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</si>
  <si>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</si>
  <si>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</si>
  <si>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</si>
  <si>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</si>
  <si>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</si>
  <si>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</si>
  <si>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</si>
  <si>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</si>
  <si>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</si>
  <si>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</si>
  <si>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</si>
  <si>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</si>
  <si>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</si>
  <si>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</si>
  <si>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</si>
  <si>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</si>
  <si>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</si>
  <si>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</si>
  <si>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</si>
  <si>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</si>
  <si>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</si>
  <si>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</si>
  <si>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</si>
  <si>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</si>
  <si>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</si>
  <si>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</si>
  <si>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</si>
  <si>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</si>
  <si>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</si>
  <si>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</si>
  <si>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</si>
  <si>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</si>
  <si>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</si>
  <si>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</si>
  <si>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</si>
  <si>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</si>
  <si>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</si>
  <si>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</si>
  <si>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</si>
  <si>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</si>
  <si>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</si>
  <si>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</si>
  <si>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</si>
  <si>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</si>
  <si>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</si>
  <si>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</si>
  <si>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</si>
  <si>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</si>
  <si>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</si>
  <si>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</si>
  <si>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</si>
  <si>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</si>
  <si>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</si>
  <si>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</si>
  <si>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</si>
  <si>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</si>
  <si>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</si>
  <si>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</si>
  <si>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</si>
  <si>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</si>
  <si>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</si>
  <si>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</si>
  <si>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</si>
  <si>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</si>
  <si>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</si>
  <si>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</si>
  <si>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</si>
  <si>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</si>
  <si>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</si>
  <si>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</si>
  <si>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</si>
  <si>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</si>
  <si>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</si>
  <si>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</si>
  <si>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</si>
  <si>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</si>
  <si>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</si>
  <si>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</si>
  <si>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</si>
  <si>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</si>
  <si>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</si>
  <si>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</si>
  <si>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</si>
  <si>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</si>
  <si>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</si>
  <si>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</si>
  <si>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</si>
  <si>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</si>
  <si>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</si>
  <si>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</si>
  <si>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</si>
  <si>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</si>
  <si>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</si>
  <si>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</si>
  <si>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</si>
  <si>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</si>
  <si>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</si>
  <si>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</si>
  <si>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</si>
  <si>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</si>
  <si>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</si>
  <si>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</si>
  <si>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</si>
  <si>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</si>
  <si>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</si>
  <si>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</si>
  <si>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</si>
  <si>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</si>
  <si>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</si>
  <si>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</si>
  <si>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</si>
  <si>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</si>
  <si>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</si>
  <si>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</si>
  <si>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</si>
  <si>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</si>
  <si>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</si>
  <si>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</si>
  <si>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</si>
  <si>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</si>
  <si>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</si>
  <si>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</si>
  <si>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</si>
  <si>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</si>
  <si>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</si>
  <si>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</si>
  <si>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</si>
  <si>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</si>
  <si>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</si>
  <si>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</si>
  <si>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</si>
  <si>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</si>
  <si>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</si>
  <si>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</si>
  <si>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</si>
  <si>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</si>
  <si>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</si>
  <si>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</si>
  <si>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</si>
  <si>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</si>
  <si>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</si>
  <si>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</si>
  <si>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</si>
  <si>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</si>
  <si>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</si>
  <si>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</si>
  <si>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</si>
  <si>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</si>
  <si>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</si>
  <si>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</si>
  <si>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</si>
  <si>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</si>
  <si>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</si>
  <si>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</si>
  <si>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</si>
  <si>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</si>
  <si>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</si>
  <si>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</si>
  <si>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</si>
  <si>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</si>
  <si>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</si>
  <si>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</si>
  <si>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</si>
  <si>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</si>
  <si>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</si>
  <si>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</si>
  <si>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</si>
  <si>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</si>
  <si>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</si>
  <si>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</si>
  <si>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</si>
  <si>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</si>
  <si>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</si>
  <si>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</si>
  <si>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</si>
  <si>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</si>
  <si>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</si>
  <si>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</si>
  <si>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</si>
  <si>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</si>
  <si>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</si>
  <si>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</si>
  <si>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</si>
  <si>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</si>
  <si>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</si>
  <si>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</si>
  <si>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</si>
  <si>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</si>
  <si>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</si>
  <si>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</si>
  <si>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</si>
  <si>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</si>
  <si>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</si>
  <si>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</si>
  <si>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</si>
  <si>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</si>
  <si>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</si>
  <si>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</si>
  <si>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</si>
  <si>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</si>
  <si>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</si>
  <si>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</si>
  <si>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</si>
  <si>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</si>
  <si>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</si>
  <si>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</si>
  <si>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</si>
  <si>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</si>
  <si>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</si>
  <si>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</si>
  <si>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</si>
  <si>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</si>
  <si>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</si>
  <si>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</si>
  <si>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</si>
  <si>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</si>
  <si>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</si>
  <si>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</si>
  <si>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</si>
  <si>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</si>
  <si>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</si>
  <si>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</si>
  <si>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</si>
  <si>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</si>
  <si>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</si>
  <si>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</si>
  <si>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</si>
  <si>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</si>
  <si>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</si>
  <si>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</si>
  <si>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</si>
  <si>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</si>
  <si>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</si>
  <si>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</si>
  <si>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</si>
  <si>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</si>
  <si>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</si>
  <si>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</si>
  <si>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</si>
  <si>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</si>
  <si>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</si>
  <si>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</si>
  <si>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</si>
  <si>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</si>
  <si>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</si>
  <si>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</si>
  <si>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</si>
  <si>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</si>
  <si>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</si>
  <si>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</si>
  <si>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</si>
  <si>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</si>
  <si>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</si>
  <si>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</si>
  <si>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</si>
  <si>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</si>
  <si>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</si>
  <si>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</si>
  <si>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</si>
  <si>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</si>
  <si>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</si>
  <si>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</si>
  <si>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</si>
  <si>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</si>
  <si>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</si>
  <si>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</si>
  <si>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</si>
  <si>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</si>
  <si>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</si>
  <si>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</si>
  <si>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</si>
  <si>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</si>
  <si>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</si>
  <si>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</si>
  <si>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</si>
  <si>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</si>
  <si>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</si>
  <si>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</si>
  <si>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</si>
  <si>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</si>
  <si>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</si>
  <si>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</si>
  <si>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</si>
  <si>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</si>
  <si>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</si>
  <si>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</si>
  <si>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</si>
  <si>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</si>
  <si>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</si>
  <si>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</si>
  <si>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</si>
  <si>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</si>
  <si>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</si>
  <si>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</si>
  <si>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</si>
  <si>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</si>
  <si>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</si>
  <si>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</si>
  <si>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</si>
  <si>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</si>
  <si>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</si>
  <si>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</si>
  <si>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</si>
  <si>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</si>
  <si>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</si>
  <si>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</si>
  <si>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</si>
  <si>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</si>
  <si>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</si>
  <si>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</si>
  <si>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</si>
  <si>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</si>
  <si>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</si>
  <si>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</si>
  <si>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33029</t>
  </si>
  <si>
    <t>WERVIK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</si>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</sst>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142066.81917655427</c:v>
                </c:pt>
                <c:pt idx="1">
                  <c:v>41452.3335870308</c:v>
                </c:pt>
                <c:pt idx="2">
                  <c:v>1268.6569999999999</c:v>
                </c:pt>
                <c:pt idx="3">
                  <c:v>33001.779280243965</c:v>
                </c:pt>
                <c:pt idx="4">
                  <c:v>18365.245572342417</c:v>
                </c:pt>
                <c:pt idx="5">
                  <c:v>127014.53462368179</c:v>
                </c:pt>
                <c:pt idx="6">
                  <c:v>277.40755826367126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142066.81917655427</c:v>
                </c:pt>
                <c:pt idx="1">
                  <c:v>41452.3335870308</c:v>
                </c:pt>
                <c:pt idx="2">
                  <c:v>1268.6569999999999</c:v>
                </c:pt>
                <c:pt idx="3">
                  <c:v>33001.779280243965</c:v>
                </c:pt>
                <c:pt idx="4">
                  <c:v>18365.245572342417</c:v>
                </c:pt>
                <c:pt idx="5">
                  <c:v>127014.53462368179</c:v>
                </c:pt>
                <c:pt idx="6">
                  <c:v>277.40755826367126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27837.819546567622</c:v>
                </c:pt>
                <c:pt idx="1">
                  <c:v>8148.6524224391151</c:v>
                </c:pt>
                <c:pt idx="2">
                  <c:v>237.24862106935362</c:v>
                </c:pt>
                <c:pt idx="3">
                  <c:v>7967.5404063400674</c:v>
                </c:pt>
                <c:pt idx="4">
                  <c:v>3649.525702963168</c:v>
                </c:pt>
                <c:pt idx="5">
                  <c:v>31566.373453377731</c:v>
                </c:pt>
                <c:pt idx="6">
                  <c:v>69.775559793179383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27837.819546567622</c:v>
                </c:pt>
                <c:pt idx="1">
                  <c:v>8148.6524224391151</c:v>
                </c:pt>
                <c:pt idx="2">
                  <c:v>237.24862106935362</c:v>
                </c:pt>
                <c:pt idx="3">
                  <c:v>7967.5404063400674</c:v>
                </c:pt>
                <c:pt idx="4">
                  <c:v>3649.525702963168</c:v>
                </c:pt>
                <c:pt idx="5">
                  <c:v>31566.373453377731</c:v>
                </c:pt>
                <c:pt idx="6">
                  <c:v>69.775559793179383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33029</v>
      </c>
      <c r="B6" s="386"/>
      <c r="C6" s="387"/>
    </row>
    <row r="7" spans="1:7" s="384" customFormat="1" ht="15.75" customHeight="1">
      <c r="A7" s="388" t="str">
        <f>txtMunicipality</f>
        <v>WERVIK</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16285.263523323698</v>
      </c>
      <c r="D10" s="683">
        <f ca="1">tertiair!C16</f>
        <v>0</v>
      </c>
      <c r="E10" s="683">
        <f ca="1">tertiair!D16</f>
        <v>21522.26836704259</v>
      </c>
      <c r="F10" s="683">
        <f>tertiair!E16</f>
        <v>82.834780571340929</v>
      </c>
      <c r="G10" s="683">
        <f ca="1">tertiair!F16</f>
        <v>3648.389125301273</v>
      </c>
      <c r="H10" s="683">
        <f>tertiair!G16</f>
        <v>0</v>
      </c>
      <c r="I10" s="683">
        <f>tertiair!H16</f>
        <v>0</v>
      </c>
      <c r="J10" s="683">
        <f>tertiair!I16</f>
        <v>0</v>
      </c>
      <c r="K10" s="683">
        <f>tertiair!J16</f>
        <v>2.7827450707631984E-2</v>
      </c>
      <c r="L10" s="683">
        <f>tertiair!K16</f>
        <v>0</v>
      </c>
      <c r="M10" s="683">
        <f ca="1">tertiair!L16</f>
        <v>0</v>
      </c>
      <c r="N10" s="683">
        <f>tertiair!M16</f>
        <v>0</v>
      </c>
      <c r="O10" s="683">
        <f ca="1">tertiair!N16</f>
        <v>1067.3341651965168</v>
      </c>
      <c r="P10" s="683">
        <f>tertiair!O16</f>
        <v>9.7945215316823084</v>
      </c>
      <c r="Q10" s="684">
        <f>tertiair!P16</f>
        <v>105.07827661299004</v>
      </c>
      <c r="R10" s="686">
        <f ca="1">SUM(C10:Q10)</f>
        <v>42720.990587030792</v>
      </c>
      <c r="S10" s="67"/>
    </row>
    <row r="11" spans="1:19" s="445" customFormat="1">
      <c r="A11" s="804" t="s">
        <v>220</v>
      </c>
      <c r="B11" s="809"/>
      <c r="C11" s="683">
        <f>huishoudens!B8</f>
        <v>28867.716895391095</v>
      </c>
      <c r="D11" s="683">
        <f>huishoudens!C8</f>
        <v>0</v>
      </c>
      <c r="E11" s="683">
        <f>huishoudens!D8</f>
        <v>74627.781838568873</v>
      </c>
      <c r="F11" s="683">
        <f>huishoudens!E8</f>
        <v>1203.3022461195064</v>
      </c>
      <c r="G11" s="683">
        <f>huishoudens!F8</f>
        <v>26360.267332872125</v>
      </c>
      <c r="H11" s="683">
        <f>huishoudens!G8</f>
        <v>0</v>
      </c>
      <c r="I11" s="683">
        <f>huishoudens!H8</f>
        <v>0</v>
      </c>
      <c r="J11" s="683">
        <f>huishoudens!I8</f>
        <v>0</v>
      </c>
      <c r="K11" s="683">
        <f>huishoudens!J8</f>
        <v>150.23004665154485</v>
      </c>
      <c r="L11" s="683">
        <f>huishoudens!K8</f>
        <v>0</v>
      </c>
      <c r="M11" s="683">
        <f>huishoudens!L8</f>
        <v>0</v>
      </c>
      <c r="N11" s="683">
        <f>huishoudens!M8</f>
        <v>0</v>
      </c>
      <c r="O11" s="683">
        <f>huishoudens!N8</f>
        <v>9970.073716674915</v>
      </c>
      <c r="P11" s="683">
        <f>huishoudens!O8</f>
        <v>434.48685004575998</v>
      </c>
      <c r="Q11" s="684">
        <f>huishoudens!P8</f>
        <v>452.96025023045598</v>
      </c>
      <c r="R11" s="686">
        <f>SUM(C11:Q11)</f>
        <v>142066.81917655427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8207.0568890201703</v>
      </c>
      <c r="D13" s="683">
        <f>industrie!C18</f>
        <v>0</v>
      </c>
      <c r="E13" s="683">
        <f>industrie!D18</f>
        <v>8315.9357283194713</v>
      </c>
      <c r="F13" s="683">
        <f>industrie!E18</f>
        <v>18.862132377369583</v>
      </c>
      <c r="G13" s="683">
        <f>industrie!F18</f>
        <v>1612.3295336791455</v>
      </c>
      <c r="H13" s="683">
        <f>industrie!G18</f>
        <v>0</v>
      </c>
      <c r="I13" s="683">
        <f>industrie!H18</f>
        <v>0</v>
      </c>
      <c r="J13" s="683">
        <f>industrie!I18</f>
        <v>0</v>
      </c>
      <c r="K13" s="683">
        <f>industrie!J18</f>
        <v>0.42431170676392249</v>
      </c>
      <c r="L13" s="683">
        <f>industrie!K18</f>
        <v>0</v>
      </c>
      <c r="M13" s="683">
        <f>industrie!L18</f>
        <v>0</v>
      </c>
      <c r="N13" s="683">
        <f>industrie!M18</f>
        <v>0</v>
      </c>
      <c r="O13" s="683">
        <f>industrie!N18</f>
        <v>210.63697723949676</v>
      </c>
      <c r="P13" s="683">
        <f>industrie!O18</f>
        <v>0</v>
      </c>
      <c r="Q13" s="684">
        <f>industrie!P18</f>
        <v>0</v>
      </c>
      <c r="R13" s="686">
        <f>SUM(C13:Q13)</f>
        <v>18365.245572342417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53360.037307734965</v>
      </c>
      <c r="D16" s="719">
        <f t="shared" ref="D16:R16" ca="1" si="0">SUM(D9:D15)</f>
        <v>0</v>
      </c>
      <c r="E16" s="719">
        <f t="shared" ca="1" si="0"/>
        <v>104465.98593393093</v>
      </c>
      <c r="F16" s="719">
        <f t="shared" si="0"/>
        <v>1304.9991590682168</v>
      </c>
      <c r="G16" s="719">
        <f t="shared" ca="1" si="0"/>
        <v>31620.985991852544</v>
      </c>
      <c r="H16" s="719">
        <f t="shared" si="0"/>
        <v>0</v>
      </c>
      <c r="I16" s="719">
        <f t="shared" si="0"/>
        <v>0</v>
      </c>
      <c r="J16" s="719">
        <f t="shared" si="0"/>
        <v>0</v>
      </c>
      <c r="K16" s="719">
        <f t="shared" si="0"/>
        <v>150.6821858090164</v>
      </c>
      <c r="L16" s="719">
        <f t="shared" si="0"/>
        <v>0</v>
      </c>
      <c r="M16" s="719">
        <f t="shared" ca="1" si="0"/>
        <v>0</v>
      </c>
      <c r="N16" s="719">
        <f t="shared" si="0"/>
        <v>0</v>
      </c>
      <c r="O16" s="719">
        <f t="shared" ca="1" si="0"/>
        <v>11248.044859110929</v>
      </c>
      <c r="P16" s="719">
        <f t="shared" si="0"/>
        <v>444.28137157744231</v>
      </c>
      <c r="Q16" s="719">
        <f t="shared" si="0"/>
        <v>558.03852684344599</v>
      </c>
      <c r="R16" s="719">
        <f t="shared" ca="1" si="0"/>
        <v>203153.05533592749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4.1282391618768273</v>
      </c>
      <c r="D19" s="683">
        <f>transport!C54</f>
        <v>0</v>
      </c>
      <c r="E19" s="683">
        <f>transport!D54</f>
        <v>0</v>
      </c>
      <c r="F19" s="683">
        <f>transport!E54</f>
        <v>0</v>
      </c>
      <c r="G19" s="683">
        <f>transport!F54</f>
        <v>0</v>
      </c>
      <c r="H19" s="683">
        <f>transport!G54</f>
        <v>258.44025207456701</v>
      </c>
      <c r="I19" s="683">
        <f>transport!H54</f>
        <v>0</v>
      </c>
      <c r="J19" s="683">
        <f>transport!I54</f>
        <v>0</v>
      </c>
      <c r="K19" s="683">
        <f>transport!J54</f>
        <v>0</v>
      </c>
      <c r="L19" s="683">
        <f>transport!K54</f>
        <v>0</v>
      </c>
      <c r="M19" s="683">
        <f>transport!L54</f>
        <v>0</v>
      </c>
      <c r="N19" s="683">
        <f>transport!M54</f>
        <v>14.83906702722744</v>
      </c>
      <c r="O19" s="683">
        <f>transport!N54</f>
        <v>0</v>
      </c>
      <c r="P19" s="683">
        <f>transport!O54</f>
        <v>0</v>
      </c>
      <c r="Q19" s="684">
        <f>transport!P54</f>
        <v>0</v>
      </c>
      <c r="R19" s="686">
        <f>SUM(C19:Q19)</f>
        <v>277.40755826367126</v>
      </c>
      <c r="S19" s="67"/>
    </row>
    <row r="20" spans="1:19" s="445" customFormat="1">
      <c r="A20" s="804" t="s">
        <v>302</v>
      </c>
      <c r="B20" s="809"/>
      <c r="C20" s="683">
        <f>transport!B14</f>
        <v>273.50655797751716</v>
      </c>
      <c r="D20" s="683">
        <f>transport!C14</f>
        <v>0</v>
      </c>
      <c r="E20" s="683">
        <f>transport!D14</f>
        <v>429.38542927070631</v>
      </c>
      <c r="F20" s="683">
        <f>transport!E14</f>
        <v>186.80010741686652</v>
      </c>
      <c r="G20" s="683">
        <f>transport!F14</f>
        <v>0</v>
      </c>
      <c r="H20" s="683">
        <f>transport!G14</f>
        <v>97477.601792068803</v>
      </c>
      <c r="I20" s="683">
        <f>transport!H14</f>
        <v>21524.363304728442</v>
      </c>
      <c r="J20" s="683">
        <f>transport!I14</f>
        <v>0</v>
      </c>
      <c r="K20" s="683">
        <f>transport!J14</f>
        <v>0</v>
      </c>
      <c r="L20" s="683">
        <f>transport!K14</f>
        <v>0</v>
      </c>
      <c r="M20" s="683">
        <f>transport!L14</f>
        <v>0</v>
      </c>
      <c r="N20" s="683">
        <f>transport!M14</f>
        <v>7122.8774322194458</v>
      </c>
      <c r="O20" s="683">
        <f>transport!N14</f>
        <v>0</v>
      </c>
      <c r="P20" s="683">
        <f>transport!O14</f>
        <v>0</v>
      </c>
      <c r="Q20" s="684">
        <f>transport!P14</f>
        <v>0</v>
      </c>
      <c r="R20" s="686">
        <f>SUM(C20:Q20)</f>
        <v>127014.53462368179</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277.63479713939398</v>
      </c>
      <c r="D22" s="807">
        <f t="shared" ref="D22:R22" si="1">SUM(D18:D21)</f>
        <v>0</v>
      </c>
      <c r="E22" s="807">
        <f t="shared" si="1"/>
        <v>429.38542927070631</v>
      </c>
      <c r="F22" s="807">
        <f t="shared" si="1"/>
        <v>186.80010741686652</v>
      </c>
      <c r="G22" s="807">
        <f t="shared" si="1"/>
        <v>0</v>
      </c>
      <c r="H22" s="807">
        <f t="shared" si="1"/>
        <v>97736.042044143367</v>
      </c>
      <c r="I22" s="807">
        <f t="shared" si="1"/>
        <v>21524.363304728442</v>
      </c>
      <c r="J22" s="807">
        <f t="shared" si="1"/>
        <v>0</v>
      </c>
      <c r="K22" s="807">
        <f t="shared" si="1"/>
        <v>0</v>
      </c>
      <c r="L22" s="807">
        <f t="shared" si="1"/>
        <v>0</v>
      </c>
      <c r="M22" s="807">
        <f t="shared" si="1"/>
        <v>0</v>
      </c>
      <c r="N22" s="807">
        <f t="shared" si="1"/>
        <v>7137.7164992466733</v>
      </c>
      <c r="O22" s="807">
        <f t="shared" si="1"/>
        <v>0</v>
      </c>
      <c r="P22" s="807">
        <f t="shared" si="1"/>
        <v>0</v>
      </c>
      <c r="Q22" s="807">
        <f t="shared" si="1"/>
        <v>0</v>
      </c>
      <c r="R22" s="807">
        <f t="shared" si="1"/>
        <v>127291.94218194546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5654.1377364837999</v>
      </c>
      <c r="D24" s="683">
        <f>+landbouw!C8</f>
        <v>0</v>
      </c>
      <c r="E24" s="683">
        <f>+landbouw!D8</f>
        <v>7849.9484410970708</v>
      </c>
      <c r="F24" s="683">
        <f>+landbouw!E8</f>
        <v>161.94407332575165</v>
      </c>
      <c r="G24" s="683">
        <f>+landbouw!F8</f>
        <v>17898.079356399117</v>
      </c>
      <c r="H24" s="683">
        <f>+landbouw!G8</f>
        <v>0</v>
      </c>
      <c r="I24" s="683">
        <f>+landbouw!H8</f>
        <v>0</v>
      </c>
      <c r="J24" s="683">
        <f>+landbouw!I8</f>
        <v>0</v>
      </c>
      <c r="K24" s="683">
        <f>+landbouw!J8</f>
        <v>1437.6696729382249</v>
      </c>
      <c r="L24" s="683">
        <f>+landbouw!K8</f>
        <v>0</v>
      </c>
      <c r="M24" s="683">
        <f>+landbouw!L8</f>
        <v>0</v>
      </c>
      <c r="N24" s="683">
        <f>+landbouw!M8</f>
        <v>0</v>
      </c>
      <c r="O24" s="683">
        <f>+landbouw!N8</f>
        <v>0</v>
      </c>
      <c r="P24" s="683">
        <f>+landbouw!O8</f>
        <v>0</v>
      </c>
      <c r="Q24" s="684">
        <f>+landbouw!P8</f>
        <v>0</v>
      </c>
      <c r="R24" s="686">
        <f>SUM(C24:Q24)</f>
        <v>33001.779280243965</v>
      </c>
      <c r="S24" s="67"/>
    </row>
    <row r="25" spans="1:19" s="445" customFormat="1" ht="15" thickBot="1">
      <c r="A25" s="826" t="s">
        <v>696</v>
      </c>
      <c r="B25" s="939"/>
      <c r="C25" s="940">
        <f>IF(Onbekend_ele_kWh="---",0,Onbekend_ele_kWh)/1000+IF(REST_rest_ele_kWh="---",0,REST_rest_ele_kWh)/1000</f>
        <v>628.88843893233798</v>
      </c>
      <c r="D25" s="940"/>
      <c r="E25" s="940">
        <f>IF(onbekend_gas_kWh="---",0,onbekend_gas_kWh)/1000+IF(REST_rest_gas_kWh="---",0,REST_rest_gas_kWh)/1000</f>
        <v>1328.0098512577201</v>
      </c>
      <c r="F25" s="940"/>
      <c r="G25" s="940"/>
      <c r="H25" s="940"/>
      <c r="I25" s="940"/>
      <c r="J25" s="940"/>
      <c r="K25" s="940"/>
      <c r="L25" s="940"/>
      <c r="M25" s="940"/>
      <c r="N25" s="940"/>
      <c r="O25" s="940"/>
      <c r="P25" s="940"/>
      <c r="Q25" s="941"/>
      <c r="R25" s="686">
        <f>SUM(C25:Q25)</f>
        <v>1956.8982901900581</v>
      </c>
      <c r="S25" s="67"/>
    </row>
    <row r="26" spans="1:19" s="445" customFormat="1" ht="15.75" thickBot="1">
      <c r="A26" s="691" t="s">
        <v>697</v>
      </c>
      <c r="B26" s="812"/>
      <c r="C26" s="807">
        <f>SUM(C24:C25)</f>
        <v>6283.0261754161384</v>
      </c>
      <c r="D26" s="807">
        <f t="shared" ref="D26:R26" si="2">SUM(D24:D25)</f>
        <v>0</v>
      </c>
      <c r="E26" s="807">
        <f t="shared" si="2"/>
        <v>9177.9582923547914</v>
      </c>
      <c r="F26" s="807">
        <f t="shared" si="2"/>
        <v>161.94407332575165</v>
      </c>
      <c r="G26" s="807">
        <f t="shared" si="2"/>
        <v>17898.079356399117</v>
      </c>
      <c r="H26" s="807">
        <f t="shared" si="2"/>
        <v>0</v>
      </c>
      <c r="I26" s="807">
        <f t="shared" si="2"/>
        <v>0</v>
      </c>
      <c r="J26" s="807">
        <f t="shared" si="2"/>
        <v>0</v>
      </c>
      <c r="K26" s="807">
        <f t="shared" si="2"/>
        <v>1437.6696729382249</v>
      </c>
      <c r="L26" s="807">
        <f t="shared" si="2"/>
        <v>0</v>
      </c>
      <c r="M26" s="807">
        <f t="shared" si="2"/>
        <v>0</v>
      </c>
      <c r="N26" s="807">
        <f t="shared" si="2"/>
        <v>0</v>
      </c>
      <c r="O26" s="807">
        <f t="shared" si="2"/>
        <v>0</v>
      </c>
      <c r="P26" s="807">
        <f t="shared" si="2"/>
        <v>0</v>
      </c>
      <c r="Q26" s="807">
        <f t="shared" si="2"/>
        <v>0</v>
      </c>
      <c r="R26" s="807">
        <f t="shared" si="2"/>
        <v>34958.677570434025</v>
      </c>
      <c r="S26" s="67"/>
    </row>
    <row r="27" spans="1:19" s="445" customFormat="1" ht="17.25" thickTop="1" thickBot="1">
      <c r="A27" s="692" t="s">
        <v>115</v>
      </c>
      <c r="B27" s="799"/>
      <c r="C27" s="693">
        <f ca="1">C22+C16+C26</f>
        <v>59920.698280290497</v>
      </c>
      <c r="D27" s="693">
        <f t="shared" ref="D27:R27" ca="1" si="3">D22+D16+D26</f>
        <v>0</v>
      </c>
      <c r="E27" s="693">
        <f t="shared" ca="1" si="3"/>
        <v>114073.32965555643</v>
      </c>
      <c r="F27" s="693">
        <f t="shared" si="3"/>
        <v>1653.7433398108349</v>
      </c>
      <c r="G27" s="693">
        <f t="shared" ca="1" si="3"/>
        <v>49519.065348251665</v>
      </c>
      <c r="H27" s="693">
        <f t="shared" si="3"/>
        <v>97736.042044143367</v>
      </c>
      <c r="I27" s="693">
        <f t="shared" si="3"/>
        <v>21524.363304728442</v>
      </c>
      <c r="J27" s="693">
        <f t="shared" si="3"/>
        <v>0</v>
      </c>
      <c r="K27" s="693">
        <f t="shared" si="3"/>
        <v>1588.3518587472413</v>
      </c>
      <c r="L27" s="693">
        <f t="shared" si="3"/>
        <v>0</v>
      </c>
      <c r="M27" s="693">
        <f t="shared" ca="1" si="3"/>
        <v>0</v>
      </c>
      <c r="N27" s="693">
        <f t="shared" si="3"/>
        <v>7137.7164992466733</v>
      </c>
      <c r="O27" s="693">
        <f t="shared" ca="1" si="3"/>
        <v>11248.044859110929</v>
      </c>
      <c r="P27" s="693">
        <f t="shared" si="3"/>
        <v>444.28137157744231</v>
      </c>
      <c r="Q27" s="693">
        <f t="shared" si="3"/>
        <v>558.03852684344599</v>
      </c>
      <c r="R27" s="693">
        <f t="shared" ca="1" si="3"/>
        <v>365403.67508830701</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3045.4695908031808</v>
      </c>
      <c r="D40" s="683">
        <f ca="1">tertiair!C20</f>
        <v>0</v>
      </c>
      <c r="E40" s="683">
        <f ca="1">tertiair!D20</f>
        <v>4347.498210142604</v>
      </c>
      <c r="F40" s="683">
        <f>tertiair!E20</f>
        <v>18.803495189694392</v>
      </c>
      <c r="G40" s="683">
        <f ca="1">tertiair!F20</f>
        <v>974.11989645543997</v>
      </c>
      <c r="H40" s="683">
        <f>tertiair!G20</f>
        <v>0</v>
      </c>
      <c r="I40" s="683">
        <f>tertiair!H20</f>
        <v>0</v>
      </c>
      <c r="J40" s="683">
        <f>tertiair!I20</f>
        <v>0</v>
      </c>
      <c r="K40" s="683">
        <f>tertiair!J20</f>
        <v>9.8509175505017213E-3</v>
      </c>
      <c r="L40" s="683">
        <f>tertiair!K20</f>
        <v>0</v>
      </c>
      <c r="M40" s="683">
        <f ca="1">tertiair!L20</f>
        <v>0</v>
      </c>
      <c r="N40" s="683">
        <f>tertiair!M20</f>
        <v>0</v>
      </c>
      <c r="O40" s="683">
        <f ca="1">tertiair!N20</f>
        <v>0</v>
      </c>
      <c r="P40" s="683">
        <f>tertiair!O20</f>
        <v>0</v>
      </c>
      <c r="Q40" s="766">
        <f>tertiair!P20</f>
        <v>0</v>
      </c>
      <c r="R40" s="845">
        <f t="shared" ca="1" si="4"/>
        <v>8385.901043508471</v>
      </c>
    </row>
    <row r="41" spans="1:18">
      <c r="A41" s="817" t="s">
        <v>220</v>
      </c>
      <c r="B41" s="824"/>
      <c r="C41" s="683">
        <f ca="1">huishoudens!B12</f>
        <v>5398.4851909160789</v>
      </c>
      <c r="D41" s="683">
        <f ca="1">huishoudens!C12</f>
        <v>0</v>
      </c>
      <c r="E41" s="683">
        <f>huishoudens!D12</f>
        <v>15074.811931390914</v>
      </c>
      <c r="F41" s="683">
        <f>huishoudens!E12</f>
        <v>273.14960986912797</v>
      </c>
      <c r="G41" s="683">
        <f>huishoudens!F12</f>
        <v>7038.1913778768576</v>
      </c>
      <c r="H41" s="683">
        <f>huishoudens!G12</f>
        <v>0</v>
      </c>
      <c r="I41" s="683">
        <f>huishoudens!H12</f>
        <v>0</v>
      </c>
      <c r="J41" s="683">
        <f>huishoudens!I12</f>
        <v>0</v>
      </c>
      <c r="K41" s="683">
        <f>huishoudens!J12</f>
        <v>53.181436514646876</v>
      </c>
      <c r="L41" s="683">
        <f>huishoudens!K12</f>
        <v>0</v>
      </c>
      <c r="M41" s="683">
        <f>huishoudens!L12</f>
        <v>0</v>
      </c>
      <c r="N41" s="683">
        <f>huishoudens!M12</f>
        <v>0</v>
      </c>
      <c r="O41" s="683">
        <f>huishoudens!N12</f>
        <v>0</v>
      </c>
      <c r="P41" s="683">
        <f>huishoudens!O12</f>
        <v>0</v>
      </c>
      <c r="Q41" s="766">
        <f>huishoudens!P12</f>
        <v>0</v>
      </c>
      <c r="R41" s="845">
        <f t="shared" ca="1" si="4"/>
        <v>27837.819546567622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1534.7827899564456</v>
      </c>
      <c r="D43" s="683">
        <f ca="1">industrie!C22</f>
        <v>0</v>
      </c>
      <c r="E43" s="683">
        <f>industrie!D22</f>
        <v>1679.8190171205333</v>
      </c>
      <c r="F43" s="683">
        <f>industrie!E22</f>
        <v>4.2817040496628955</v>
      </c>
      <c r="G43" s="683">
        <f>industrie!F22</f>
        <v>430.49198549233188</v>
      </c>
      <c r="H43" s="683">
        <f>industrie!G22</f>
        <v>0</v>
      </c>
      <c r="I43" s="683">
        <f>industrie!H22</f>
        <v>0</v>
      </c>
      <c r="J43" s="683">
        <f>industrie!I22</f>
        <v>0</v>
      </c>
      <c r="K43" s="683">
        <f>industrie!J22</f>
        <v>0.15020634419442855</v>
      </c>
      <c r="L43" s="683">
        <f>industrie!K22</f>
        <v>0</v>
      </c>
      <c r="M43" s="683">
        <f>industrie!L22</f>
        <v>0</v>
      </c>
      <c r="N43" s="683">
        <f>industrie!M22</f>
        <v>0</v>
      </c>
      <c r="O43" s="683">
        <f>industrie!N22</f>
        <v>0</v>
      </c>
      <c r="P43" s="683">
        <f>industrie!O22</f>
        <v>0</v>
      </c>
      <c r="Q43" s="766">
        <f>industrie!P22</f>
        <v>0</v>
      </c>
      <c r="R43" s="844">
        <f t="shared" ca="1" si="4"/>
        <v>3649.525702963168</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9978.7375716757051</v>
      </c>
      <c r="D46" s="719">
        <f t="shared" ref="D46:Q46" ca="1" si="5">SUM(D39:D45)</f>
        <v>0</v>
      </c>
      <c r="E46" s="719">
        <f t="shared" ca="1" si="5"/>
        <v>21102.129158654054</v>
      </c>
      <c r="F46" s="719">
        <f t="shared" si="5"/>
        <v>296.23480910848525</v>
      </c>
      <c r="G46" s="719">
        <f t="shared" ca="1" si="5"/>
        <v>8442.8032598246282</v>
      </c>
      <c r="H46" s="719">
        <f t="shared" si="5"/>
        <v>0</v>
      </c>
      <c r="I46" s="719">
        <f t="shared" si="5"/>
        <v>0</v>
      </c>
      <c r="J46" s="719">
        <f t="shared" si="5"/>
        <v>0</v>
      </c>
      <c r="K46" s="719">
        <f t="shared" si="5"/>
        <v>53.341493776391808</v>
      </c>
      <c r="L46" s="719">
        <f t="shared" si="5"/>
        <v>0</v>
      </c>
      <c r="M46" s="719">
        <f t="shared" ca="1" si="5"/>
        <v>0</v>
      </c>
      <c r="N46" s="719">
        <f t="shared" si="5"/>
        <v>0</v>
      </c>
      <c r="O46" s="719">
        <f t="shared" ca="1" si="5"/>
        <v>0</v>
      </c>
      <c r="P46" s="719">
        <f t="shared" si="5"/>
        <v>0</v>
      </c>
      <c r="Q46" s="719">
        <f t="shared" si="5"/>
        <v>0</v>
      </c>
      <c r="R46" s="719">
        <f ca="1">SUM(R39:R45)</f>
        <v>39873.246293039258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0.77201248926997712</v>
      </c>
      <c r="D49" s="683">
        <f ca="1">transport!C58</f>
        <v>0</v>
      </c>
      <c r="E49" s="683">
        <f>transport!D58</f>
        <v>0</v>
      </c>
      <c r="F49" s="683">
        <f>transport!E58</f>
        <v>0</v>
      </c>
      <c r="G49" s="683">
        <f>transport!F58</f>
        <v>0</v>
      </c>
      <c r="H49" s="683">
        <f>transport!G58</f>
        <v>69.0035473039094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69.775559793179383</v>
      </c>
    </row>
    <row r="50" spans="1:18">
      <c r="A50" s="820" t="s">
        <v>302</v>
      </c>
      <c r="B50" s="830"/>
      <c r="C50" s="689">
        <f ca="1">transport!B18</f>
        <v>51.147830921668479</v>
      </c>
      <c r="D50" s="689">
        <f>transport!C18</f>
        <v>0</v>
      </c>
      <c r="E50" s="689">
        <f>transport!D18</f>
        <v>86.735856712682676</v>
      </c>
      <c r="F50" s="689">
        <f>transport!E18</f>
        <v>42.403624383628703</v>
      </c>
      <c r="G50" s="689">
        <f>transport!F18</f>
        <v>0</v>
      </c>
      <c r="H50" s="689">
        <f>transport!G18</f>
        <v>26026.519678482371</v>
      </c>
      <c r="I50" s="689">
        <f>transport!H18</f>
        <v>5359.566462877382</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31566.373453377731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51.919843410938455</v>
      </c>
      <c r="D52" s="719">
        <f t="shared" ref="D52:Q52" ca="1" si="6">SUM(D48:D51)</f>
        <v>0</v>
      </c>
      <c r="E52" s="719">
        <f t="shared" si="6"/>
        <v>86.735856712682676</v>
      </c>
      <c r="F52" s="719">
        <f t="shared" si="6"/>
        <v>42.403624383628703</v>
      </c>
      <c r="G52" s="719">
        <f t="shared" si="6"/>
        <v>0</v>
      </c>
      <c r="H52" s="719">
        <f t="shared" si="6"/>
        <v>26095.523225786281</v>
      </c>
      <c r="I52" s="719">
        <f t="shared" si="6"/>
        <v>5359.566462877382</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31636.149013170911</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1057.3672642148176</v>
      </c>
      <c r="D54" s="689">
        <f ca="1">+landbouw!C12</f>
        <v>0</v>
      </c>
      <c r="E54" s="689">
        <f>+landbouw!D12</f>
        <v>1585.6895851016084</v>
      </c>
      <c r="F54" s="689">
        <f>+landbouw!E12</f>
        <v>36.761304644945625</v>
      </c>
      <c r="G54" s="689">
        <f>+landbouw!F12</f>
        <v>4778.7871881585643</v>
      </c>
      <c r="H54" s="689">
        <f>+landbouw!G12</f>
        <v>0</v>
      </c>
      <c r="I54" s="689">
        <f>+landbouw!H12</f>
        <v>0</v>
      </c>
      <c r="J54" s="689">
        <f>+landbouw!I12</f>
        <v>0</v>
      </c>
      <c r="K54" s="689">
        <f>+landbouw!J12</f>
        <v>508.93506422013161</v>
      </c>
      <c r="L54" s="689">
        <f>+landbouw!K12</f>
        <v>0</v>
      </c>
      <c r="M54" s="689">
        <f>+landbouw!L12</f>
        <v>0</v>
      </c>
      <c r="N54" s="689">
        <f>+landbouw!M12</f>
        <v>0</v>
      </c>
      <c r="O54" s="689">
        <f>+landbouw!N12</f>
        <v>0</v>
      </c>
      <c r="P54" s="689">
        <f>+landbouw!O12</f>
        <v>0</v>
      </c>
      <c r="Q54" s="690">
        <f>+landbouw!P12</f>
        <v>0</v>
      </c>
      <c r="R54" s="718">
        <f ca="1">SUM(C54:Q54)</f>
        <v>7967.5404063400674</v>
      </c>
    </row>
    <row r="55" spans="1:18" ht="15" thickBot="1">
      <c r="A55" s="820" t="s">
        <v>696</v>
      </c>
      <c r="B55" s="830"/>
      <c r="C55" s="689">
        <f ca="1">C25*'EF ele_warmte'!B12</f>
        <v>117.60697725481008</v>
      </c>
      <c r="D55" s="689"/>
      <c r="E55" s="689">
        <f>E25*EF_CO2_aardgas</f>
        <v>268.2579899540595</v>
      </c>
      <c r="F55" s="689"/>
      <c r="G55" s="689"/>
      <c r="H55" s="689"/>
      <c r="I55" s="689"/>
      <c r="J55" s="689"/>
      <c r="K55" s="689"/>
      <c r="L55" s="689"/>
      <c r="M55" s="689"/>
      <c r="N55" s="689"/>
      <c r="O55" s="689"/>
      <c r="P55" s="689"/>
      <c r="Q55" s="690"/>
      <c r="R55" s="718">
        <f ca="1">SUM(C55:Q55)</f>
        <v>385.86496720886959</v>
      </c>
    </row>
    <row r="56" spans="1:18" ht="15.75" thickBot="1">
      <c r="A56" s="818" t="s">
        <v>697</v>
      </c>
      <c r="B56" s="831"/>
      <c r="C56" s="719">
        <f ca="1">SUM(C54:C55)</f>
        <v>1174.9742414696277</v>
      </c>
      <c r="D56" s="719">
        <f t="shared" ref="D56:Q56" ca="1" si="7">SUM(D54:D55)</f>
        <v>0</v>
      </c>
      <c r="E56" s="719">
        <f t="shared" si="7"/>
        <v>1853.9475750556678</v>
      </c>
      <c r="F56" s="719">
        <f t="shared" si="7"/>
        <v>36.761304644945625</v>
      </c>
      <c r="G56" s="719">
        <f t="shared" si="7"/>
        <v>4778.7871881585643</v>
      </c>
      <c r="H56" s="719">
        <f t="shared" si="7"/>
        <v>0</v>
      </c>
      <c r="I56" s="719">
        <f t="shared" si="7"/>
        <v>0</v>
      </c>
      <c r="J56" s="719">
        <f t="shared" si="7"/>
        <v>0</v>
      </c>
      <c r="K56" s="719">
        <f t="shared" si="7"/>
        <v>508.93506422013161</v>
      </c>
      <c r="L56" s="719">
        <f t="shared" si="7"/>
        <v>0</v>
      </c>
      <c r="M56" s="719">
        <f t="shared" si="7"/>
        <v>0</v>
      </c>
      <c r="N56" s="719">
        <f t="shared" si="7"/>
        <v>0</v>
      </c>
      <c r="O56" s="719">
        <f t="shared" si="7"/>
        <v>0</v>
      </c>
      <c r="P56" s="719">
        <f t="shared" si="7"/>
        <v>0</v>
      </c>
      <c r="Q56" s="720">
        <f t="shared" si="7"/>
        <v>0</v>
      </c>
      <c r="R56" s="721">
        <f ca="1">SUM(R54:R55)</f>
        <v>8353.4053735489379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11205.631656556272</v>
      </c>
      <c r="D61" s="727">
        <f t="shared" ref="D61:Q61" ca="1" si="8">D46+D52+D56</f>
        <v>0</v>
      </c>
      <c r="E61" s="727">
        <f t="shared" ca="1" si="8"/>
        <v>23042.812590422403</v>
      </c>
      <c r="F61" s="727">
        <f t="shared" si="8"/>
        <v>375.39973813705956</v>
      </c>
      <c r="G61" s="727">
        <f t="shared" ca="1" si="8"/>
        <v>13221.590447983192</v>
      </c>
      <c r="H61" s="727">
        <f t="shared" si="8"/>
        <v>26095.523225786281</v>
      </c>
      <c r="I61" s="727">
        <f t="shared" si="8"/>
        <v>5359.566462877382</v>
      </c>
      <c r="J61" s="727">
        <f t="shared" si="8"/>
        <v>0</v>
      </c>
      <c r="K61" s="727">
        <f t="shared" si="8"/>
        <v>562.27655799652337</v>
      </c>
      <c r="L61" s="727">
        <f t="shared" si="8"/>
        <v>0</v>
      </c>
      <c r="M61" s="727">
        <f t="shared" ca="1" si="8"/>
        <v>0</v>
      </c>
      <c r="N61" s="727">
        <f t="shared" si="8"/>
        <v>0</v>
      </c>
      <c r="O61" s="727">
        <f t="shared" ca="1" si="8"/>
        <v>0</v>
      </c>
      <c r="P61" s="727">
        <f t="shared" si="8"/>
        <v>0</v>
      </c>
      <c r="Q61" s="727">
        <f t="shared" si="8"/>
        <v>0</v>
      </c>
      <c r="R61" s="727">
        <f ca="1">R46+R52+R56</f>
        <v>79862.800679759108</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0.18700769480588814</v>
      </c>
      <c r="D63" s="773">
        <f t="shared" ca="1" si="9"/>
        <v>0</v>
      </c>
      <c r="E63" s="965">
        <f t="shared" ca="1" si="9"/>
        <v>0.20200000000000004</v>
      </c>
      <c r="F63" s="773">
        <f t="shared" si="9"/>
        <v>0.22700000000000004</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9216.4826397643756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9216.4826397643756</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28867.716895391095</v>
      </c>
      <c r="C4" s="449">
        <f>huishoudens!C8</f>
        <v>0</v>
      </c>
      <c r="D4" s="449">
        <f>huishoudens!D8</f>
        <v>74627.781838568873</v>
      </c>
      <c r="E4" s="449">
        <f>huishoudens!E8</f>
        <v>1203.3022461195064</v>
      </c>
      <c r="F4" s="449">
        <f>huishoudens!F8</f>
        <v>26360.267332872125</v>
      </c>
      <c r="G4" s="449">
        <f>huishoudens!G8</f>
        <v>0</v>
      </c>
      <c r="H4" s="449">
        <f>huishoudens!H8</f>
        <v>0</v>
      </c>
      <c r="I4" s="449">
        <f>huishoudens!I8</f>
        <v>0</v>
      </c>
      <c r="J4" s="449">
        <f>huishoudens!J8</f>
        <v>150.23004665154485</v>
      </c>
      <c r="K4" s="449">
        <f>huishoudens!K8</f>
        <v>0</v>
      </c>
      <c r="L4" s="449">
        <f>huishoudens!L8</f>
        <v>0</v>
      </c>
      <c r="M4" s="449">
        <f>huishoudens!M8</f>
        <v>0</v>
      </c>
      <c r="N4" s="449">
        <f>huishoudens!N8</f>
        <v>9970.073716674915</v>
      </c>
      <c r="O4" s="449">
        <f>huishoudens!O8</f>
        <v>434.48685004575998</v>
      </c>
      <c r="P4" s="450">
        <f>huishoudens!P8</f>
        <v>452.96025023045598</v>
      </c>
      <c r="Q4" s="451">
        <f>SUM(B4:P4)</f>
        <v>142066.81917655427</v>
      </c>
    </row>
    <row r="5" spans="1:17">
      <c r="A5" s="448" t="s">
        <v>155</v>
      </c>
      <c r="B5" s="449">
        <f ca="1">tertiair!B16</f>
        <v>15016.606523323699</v>
      </c>
      <c r="C5" s="449">
        <f ca="1">tertiair!C16</f>
        <v>0</v>
      </c>
      <c r="D5" s="449">
        <f ca="1">tertiair!D16</f>
        <v>21522.26836704259</v>
      </c>
      <c r="E5" s="449">
        <f>tertiair!E16</f>
        <v>82.834780571340929</v>
      </c>
      <c r="F5" s="449">
        <f ca="1">tertiair!F16</f>
        <v>3648.389125301273</v>
      </c>
      <c r="G5" s="449">
        <f>tertiair!G16</f>
        <v>0</v>
      </c>
      <c r="H5" s="449">
        <f>tertiair!H16</f>
        <v>0</v>
      </c>
      <c r="I5" s="449">
        <f>tertiair!I16</f>
        <v>0</v>
      </c>
      <c r="J5" s="449">
        <f>tertiair!J16</f>
        <v>2.7827450707631984E-2</v>
      </c>
      <c r="K5" s="449">
        <f>tertiair!K16</f>
        <v>0</v>
      </c>
      <c r="L5" s="449">
        <f ca="1">tertiair!L16</f>
        <v>0</v>
      </c>
      <c r="M5" s="449">
        <f>tertiair!M16</f>
        <v>0</v>
      </c>
      <c r="N5" s="449">
        <f ca="1">tertiair!N16</f>
        <v>1067.3341651965168</v>
      </c>
      <c r="O5" s="449">
        <f>tertiair!O16</f>
        <v>9.7945215316823084</v>
      </c>
      <c r="P5" s="450">
        <f>tertiair!P16</f>
        <v>105.07827661299004</v>
      </c>
      <c r="Q5" s="448">
        <f t="shared" ref="Q5:Q14" ca="1" si="0">SUM(B5:P5)</f>
        <v>41452.3335870308</v>
      </c>
    </row>
    <row r="6" spans="1:17">
      <c r="A6" s="448" t="s">
        <v>193</v>
      </c>
      <c r="B6" s="449">
        <f>'openbare verlichting'!B8</f>
        <v>1268.6569999999999</v>
      </c>
      <c r="C6" s="449"/>
      <c r="D6" s="449"/>
      <c r="E6" s="449"/>
      <c r="F6" s="449"/>
      <c r="G6" s="449"/>
      <c r="H6" s="449"/>
      <c r="I6" s="449"/>
      <c r="J6" s="449"/>
      <c r="K6" s="449"/>
      <c r="L6" s="449"/>
      <c r="M6" s="449"/>
      <c r="N6" s="449"/>
      <c r="O6" s="449"/>
      <c r="P6" s="450"/>
      <c r="Q6" s="448">
        <f t="shared" si="0"/>
        <v>1268.6569999999999</v>
      </c>
    </row>
    <row r="7" spans="1:17">
      <c r="A7" s="448" t="s">
        <v>111</v>
      </c>
      <c r="B7" s="449">
        <f>landbouw!B8</f>
        <v>5654.1377364837999</v>
      </c>
      <c r="C7" s="449">
        <f>landbouw!C8</f>
        <v>0</v>
      </c>
      <c r="D7" s="449">
        <f>landbouw!D8</f>
        <v>7849.9484410970708</v>
      </c>
      <c r="E7" s="449">
        <f>landbouw!E8</f>
        <v>161.94407332575165</v>
      </c>
      <c r="F7" s="449">
        <f>landbouw!F8</f>
        <v>17898.079356399117</v>
      </c>
      <c r="G7" s="449">
        <f>landbouw!G8</f>
        <v>0</v>
      </c>
      <c r="H7" s="449">
        <f>landbouw!H8</f>
        <v>0</v>
      </c>
      <c r="I7" s="449">
        <f>landbouw!I8</f>
        <v>0</v>
      </c>
      <c r="J7" s="449">
        <f>landbouw!J8</f>
        <v>1437.6696729382249</v>
      </c>
      <c r="K7" s="449">
        <f>landbouw!K8</f>
        <v>0</v>
      </c>
      <c r="L7" s="449">
        <f>landbouw!L8</f>
        <v>0</v>
      </c>
      <c r="M7" s="449">
        <f>landbouw!M8</f>
        <v>0</v>
      </c>
      <c r="N7" s="449">
        <f>landbouw!N8</f>
        <v>0</v>
      </c>
      <c r="O7" s="449">
        <f>landbouw!O8</f>
        <v>0</v>
      </c>
      <c r="P7" s="450">
        <f>landbouw!P8</f>
        <v>0</v>
      </c>
      <c r="Q7" s="448">
        <f t="shared" si="0"/>
        <v>33001.779280243965</v>
      </c>
    </row>
    <row r="8" spans="1:17">
      <c r="A8" s="448" t="s">
        <v>617</v>
      </c>
      <c r="B8" s="449">
        <f>industrie!B18</f>
        <v>8207.0568890201703</v>
      </c>
      <c r="C8" s="449">
        <f>industrie!C18</f>
        <v>0</v>
      </c>
      <c r="D8" s="449">
        <f>industrie!D18</f>
        <v>8315.9357283194713</v>
      </c>
      <c r="E8" s="449">
        <f>industrie!E18</f>
        <v>18.862132377369583</v>
      </c>
      <c r="F8" s="449">
        <f>industrie!F18</f>
        <v>1612.3295336791455</v>
      </c>
      <c r="G8" s="449">
        <f>industrie!G18</f>
        <v>0</v>
      </c>
      <c r="H8" s="449">
        <f>industrie!H18</f>
        <v>0</v>
      </c>
      <c r="I8" s="449">
        <f>industrie!I18</f>
        <v>0</v>
      </c>
      <c r="J8" s="449">
        <f>industrie!J18</f>
        <v>0.42431170676392249</v>
      </c>
      <c r="K8" s="449">
        <f>industrie!K18</f>
        <v>0</v>
      </c>
      <c r="L8" s="449">
        <f>industrie!L18</f>
        <v>0</v>
      </c>
      <c r="M8" s="449">
        <f>industrie!M18</f>
        <v>0</v>
      </c>
      <c r="N8" s="449">
        <f>industrie!N18</f>
        <v>210.63697723949676</v>
      </c>
      <c r="O8" s="449">
        <f>industrie!O18</f>
        <v>0</v>
      </c>
      <c r="P8" s="450">
        <f>industrie!P18</f>
        <v>0</v>
      </c>
      <c r="Q8" s="448">
        <f t="shared" si="0"/>
        <v>18365.245572342417</v>
      </c>
    </row>
    <row r="9" spans="1:17" s="454" customFormat="1">
      <c r="A9" s="452" t="s">
        <v>543</v>
      </c>
      <c r="B9" s="453">
        <f>transport!B14</f>
        <v>273.50655797751716</v>
      </c>
      <c r="C9" s="453">
        <f>transport!C14</f>
        <v>0</v>
      </c>
      <c r="D9" s="453">
        <f>transport!D14</f>
        <v>429.38542927070631</v>
      </c>
      <c r="E9" s="453">
        <f>transport!E14</f>
        <v>186.80010741686652</v>
      </c>
      <c r="F9" s="453">
        <f>transport!F14</f>
        <v>0</v>
      </c>
      <c r="G9" s="453">
        <f>transport!G14</f>
        <v>97477.601792068803</v>
      </c>
      <c r="H9" s="453">
        <f>transport!H14</f>
        <v>21524.363304728442</v>
      </c>
      <c r="I9" s="453">
        <f>transport!I14</f>
        <v>0</v>
      </c>
      <c r="J9" s="453">
        <f>transport!J14</f>
        <v>0</v>
      </c>
      <c r="K9" s="453">
        <f>transport!K14</f>
        <v>0</v>
      </c>
      <c r="L9" s="453">
        <f>transport!L14</f>
        <v>0</v>
      </c>
      <c r="M9" s="453">
        <f>transport!M14</f>
        <v>7122.8774322194458</v>
      </c>
      <c r="N9" s="453">
        <f>transport!N14</f>
        <v>0</v>
      </c>
      <c r="O9" s="453">
        <f>transport!O14</f>
        <v>0</v>
      </c>
      <c r="P9" s="453">
        <f>transport!P14</f>
        <v>0</v>
      </c>
      <c r="Q9" s="452">
        <f>SUM(B9:P9)</f>
        <v>127014.53462368179</v>
      </c>
    </row>
    <row r="10" spans="1:17">
      <c r="A10" s="448" t="s">
        <v>533</v>
      </c>
      <c r="B10" s="449">
        <f>transport!B54</f>
        <v>4.1282391618768273</v>
      </c>
      <c r="C10" s="449">
        <f>transport!C54</f>
        <v>0</v>
      </c>
      <c r="D10" s="449">
        <f>transport!D54</f>
        <v>0</v>
      </c>
      <c r="E10" s="449">
        <f>transport!E54</f>
        <v>0</v>
      </c>
      <c r="F10" s="449">
        <f>transport!F54</f>
        <v>0</v>
      </c>
      <c r="G10" s="449">
        <f>transport!G54</f>
        <v>258.44025207456701</v>
      </c>
      <c r="H10" s="449">
        <f>transport!H54</f>
        <v>0</v>
      </c>
      <c r="I10" s="449">
        <f>transport!I54</f>
        <v>0</v>
      </c>
      <c r="J10" s="449">
        <f>transport!J54</f>
        <v>0</v>
      </c>
      <c r="K10" s="449">
        <f>transport!K54</f>
        <v>0</v>
      </c>
      <c r="L10" s="449">
        <f>transport!L54</f>
        <v>0</v>
      </c>
      <c r="M10" s="449">
        <f>transport!M54</f>
        <v>14.83906702722744</v>
      </c>
      <c r="N10" s="449">
        <f>transport!N54</f>
        <v>0</v>
      </c>
      <c r="O10" s="449">
        <f>transport!O54</f>
        <v>0</v>
      </c>
      <c r="P10" s="450">
        <f>transport!P54</f>
        <v>0</v>
      </c>
      <c r="Q10" s="448">
        <f t="shared" si="0"/>
        <v>277.40755826367126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628.88843893233798</v>
      </c>
      <c r="C14" s="456"/>
      <c r="D14" s="456">
        <f>'SEAP template'!E25</f>
        <v>1328.0098512577201</v>
      </c>
      <c r="E14" s="456"/>
      <c r="F14" s="456"/>
      <c r="G14" s="456"/>
      <c r="H14" s="456"/>
      <c r="I14" s="456"/>
      <c r="J14" s="456"/>
      <c r="K14" s="456"/>
      <c r="L14" s="456"/>
      <c r="M14" s="456"/>
      <c r="N14" s="456"/>
      <c r="O14" s="456"/>
      <c r="P14" s="457"/>
      <c r="Q14" s="448">
        <f t="shared" si="0"/>
        <v>1956.8982901900581</v>
      </c>
    </row>
    <row r="15" spans="1:17" s="460" customFormat="1">
      <c r="A15" s="458" t="s">
        <v>537</v>
      </c>
      <c r="B15" s="459">
        <f ca="1">SUM(B4:B14)</f>
        <v>59920.698280290482</v>
      </c>
      <c r="C15" s="459">
        <f t="shared" ref="C15:Q15" ca="1" si="1">SUM(C4:C14)</f>
        <v>0</v>
      </c>
      <c r="D15" s="459">
        <f t="shared" ca="1" si="1"/>
        <v>114073.32965555644</v>
      </c>
      <c r="E15" s="459">
        <f t="shared" si="1"/>
        <v>1653.7433398108349</v>
      </c>
      <c r="F15" s="459">
        <f t="shared" ca="1" si="1"/>
        <v>49519.065348251665</v>
      </c>
      <c r="G15" s="459">
        <f t="shared" si="1"/>
        <v>97736.042044143367</v>
      </c>
      <c r="H15" s="459">
        <f t="shared" si="1"/>
        <v>21524.363304728442</v>
      </c>
      <c r="I15" s="459">
        <f t="shared" si="1"/>
        <v>0</v>
      </c>
      <c r="J15" s="459">
        <f t="shared" si="1"/>
        <v>1588.3518587472415</v>
      </c>
      <c r="K15" s="459">
        <f t="shared" si="1"/>
        <v>0</v>
      </c>
      <c r="L15" s="459">
        <f t="shared" ca="1" si="1"/>
        <v>0</v>
      </c>
      <c r="M15" s="459">
        <f t="shared" si="1"/>
        <v>7137.7164992466733</v>
      </c>
      <c r="N15" s="459">
        <f t="shared" ca="1" si="1"/>
        <v>11248.044859110929</v>
      </c>
      <c r="O15" s="459">
        <f t="shared" si="1"/>
        <v>444.28137157744231</v>
      </c>
      <c r="P15" s="459">
        <f t="shared" si="1"/>
        <v>558.03852684344599</v>
      </c>
      <c r="Q15" s="459">
        <f t="shared" ca="1" si="1"/>
        <v>365403.67508830695</v>
      </c>
    </row>
    <row r="17" spans="1:17">
      <c r="A17" s="461" t="s">
        <v>538</v>
      </c>
      <c r="B17" s="778">
        <f ca="1">huishoudens!B10</f>
        <v>0.18700769480588814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5398.4851909160789</v>
      </c>
      <c r="C22" s="449">
        <f t="shared" ref="C22:C32" ca="1" si="3">C4*$C$17</f>
        <v>0</v>
      </c>
      <c r="D22" s="449">
        <f t="shared" ref="D22:D32" si="4">D4*$D$17</f>
        <v>15074.811931390914</v>
      </c>
      <c r="E22" s="449">
        <f t="shared" ref="E22:E32" si="5">E4*$E$17</f>
        <v>273.14960986912797</v>
      </c>
      <c r="F22" s="449">
        <f t="shared" ref="F22:F32" si="6">F4*$F$17</f>
        <v>7038.1913778768576</v>
      </c>
      <c r="G22" s="449">
        <f t="shared" ref="G22:G32" si="7">G4*$G$17</f>
        <v>0</v>
      </c>
      <c r="H22" s="449">
        <f t="shared" ref="H22:H32" si="8">H4*$H$17</f>
        <v>0</v>
      </c>
      <c r="I22" s="449">
        <f t="shared" ref="I22:I32" si="9">I4*$I$17</f>
        <v>0</v>
      </c>
      <c r="J22" s="449">
        <f t="shared" ref="J22:J32" si="10">J4*$J$17</f>
        <v>53.181436514646876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27837.819546567622</v>
      </c>
    </row>
    <row r="23" spans="1:17">
      <c r="A23" s="448" t="s">
        <v>155</v>
      </c>
      <c r="B23" s="449">
        <f t="shared" ca="1" si="2"/>
        <v>2808.2209697338271</v>
      </c>
      <c r="C23" s="449">
        <f t="shared" ca="1" si="3"/>
        <v>0</v>
      </c>
      <c r="D23" s="449">
        <f t="shared" ca="1" si="4"/>
        <v>4347.498210142604</v>
      </c>
      <c r="E23" s="449">
        <f t="shared" si="5"/>
        <v>18.803495189694392</v>
      </c>
      <c r="F23" s="449">
        <f t="shared" ca="1" si="6"/>
        <v>974.11989645543997</v>
      </c>
      <c r="G23" s="449">
        <f t="shared" si="7"/>
        <v>0</v>
      </c>
      <c r="H23" s="449">
        <f t="shared" si="8"/>
        <v>0</v>
      </c>
      <c r="I23" s="449">
        <f t="shared" si="9"/>
        <v>0</v>
      </c>
      <c r="J23" s="449">
        <f t="shared" si="10"/>
        <v>9.8509175505017213E-3</v>
      </c>
      <c r="K23" s="449">
        <f t="shared" si="11"/>
        <v>0</v>
      </c>
      <c r="L23" s="449">
        <f t="shared" ca="1" si="12"/>
        <v>0</v>
      </c>
      <c r="M23" s="449">
        <f t="shared" si="13"/>
        <v>0</v>
      </c>
      <c r="N23" s="449">
        <f t="shared" ca="1" si="14"/>
        <v>0</v>
      </c>
      <c r="O23" s="449">
        <f t="shared" si="15"/>
        <v>0</v>
      </c>
      <c r="P23" s="450">
        <f t="shared" si="16"/>
        <v>0</v>
      </c>
      <c r="Q23" s="448">
        <f t="shared" ref="Q23:Q31" ca="1" si="17">SUM(B23:P23)</f>
        <v>8148.6524224391151</v>
      </c>
    </row>
    <row r="24" spans="1:17">
      <c r="A24" s="448" t="s">
        <v>193</v>
      </c>
      <c r="B24" s="449">
        <f t="shared" ca="1" si="2"/>
        <v>237.24862106935362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237.24862106935362</v>
      </c>
    </row>
    <row r="25" spans="1:17">
      <c r="A25" s="448" t="s">
        <v>111</v>
      </c>
      <c r="B25" s="449">
        <f t="shared" ca="1" si="2"/>
        <v>1057.3672642148176</v>
      </c>
      <c r="C25" s="449">
        <f t="shared" ca="1" si="3"/>
        <v>0</v>
      </c>
      <c r="D25" s="449">
        <f t="shared" si="4"/>
        <v>1585.6895851016084</v>
      </c>
      <c r="E25" s="449">
        <f t="shared" si="5"/>
        <v>36.761304644945625</v>
      </c>
      <c r="F25" s="449">
        <f t="shared" si="6"/>
        <v>4778.7871881585643</v>
      </c>
      <c r="G25" s="449">
        <f t="shared" si="7"/>
        <v>0</v>
      </c>
      <c r="H25" s="449">
        <f t="shared" si="8"/>
        <v>0</v>
      </c>
      <c r="I25" s="449">
        <f t="shared" si="9"/>
        <v>0</v>
      </c>
      <c r="J25" s="449">
        <f t="shared" si="10"/>
        <v>508.93506422013161</v>
      </c>
      <c r="K25" s="449">
        <f t="shared" si="11"/>
        <v>0</v>
      </c>
      <c r="L25" s="449">
        <f t="shared" si="12"/>
        <v>0</v>
      </c>
      <c r="M25" s="449">
        <f t="shared" si="13"/>
        <v>0</v>
      </c>
      <c r="N25" s="449">
        <f t="shared" si="14"/>
        <v>0</v>
      </c>
      <c r="O25" s="449">
        <f t="shared" si="15"/>
        <v>0</v>
      </c>
      <c r="P25" s="450">
        <f t="shared" si="16"/>
        <v>0</v>
      </c>
      <c r="Q25" s="448">
        <f t="shared" ca="1" si="17"/>
        <v>7967.5404063400674</v>
      </c>
    </row>
    <row r="26" spans="1:17">
      <c r="A26" s="448" t="s">
        <v>617</v>
      </c>
      <c r="B26" s="449">
        <f t="shared" ca="1" si="2"/>
        <v>1534.7827899564456</v>
      </c>
      <c r="C26" s="449">
        <f t="shared" ca="1" si="3"/>
        <v>0</v>
      </c>
      <c r="D26" s="449">
        <f t="shared" si="4"/>
        <v>1679.8190171205333</v>
      </c>
      <c r="E26" s="449">
        <f t="shared" si="5"/>
        <v>4.2817040496628955</v>
      </c>
      <c r="F26" s="449">
        <f t="shared" si="6"/>
        <v>430.49198549233188</v>
      </c>
      <c r="G26" s="449">
        <f t="shared" si="7"/>
        <v>0</v>
      </c>
      <c r="H26" s="449">
        <f t="shared" si="8"/>
        <v>0</v>
      </c>
      <c r="I26" s="449">
        <f t="shared" si="9"/>
        <v>0</v>
      </c>
      <c r="J26" s="449">
        <f t="shared" si="10"/>
        <v>0.15020634419442855</v>
      </c>
      <c r="K26" s="449">
        <f t="shared" si="11"/>
        <v>0</v>
      </c>
      <c r="L26" s="449">
        <f t="shared" si="12"/>
        <v>0</v>
      </c>
      <c r="M26" s="449">
        <f t="shared" si="13"/>
        <v>0</v>
      </c>
      <c r="N26" s="449">
        <f t="shared" si="14"/>
        <v>0</v>
      </c>
      <c r="O26" s="449">
        <f t="shared" si="15"/>
        <v>0</v>
      </c>
      <c r="P26" s="450">
        <f t="shared" si="16"/>
        <v>0</v>
      </c>
      <c r="Q26" s="448">
        <f t="shared" ca="1" si="17"/>
        <v>3649.525702963168</v>
      </c>
    </row>
    <row r="27" spans="1:17" s="454" customFormat="1">
      <c r="A27" s="452" t="s">
        <v>543</v>
      </c>
      <c r="B27" s="772">
        <f t="shared" ca="1" si="2"/>
        <v>51.147830921668479</v>
      </c>
      <c r="C27" s="453">
        <f t="shared" ca="1" si="3"/>
        <v>0</v>
      </c>
      <c r="D27" s="453">
        <f t="shared" si="4"/>
        <v>86.735856712682676</v>
      </c>
      <c r="E27" s="453">
        <f t="shared" si="5"/>
        <v>42.403624383628703</v>
      </c>
      <c r="F27" s="453">
        <f t="shared" si="6"/>
        <v>0</v>
      </c>
      <c r="G27" s="453">
        <f t="shared" si="7"/>
        <v>26026.519678482371</v>
      </c>
      <c r="H27" s="453">
        <f t="shared" si="8"/>
        <v>5359.566462877382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31566.373453377731</v>
      </c>
    </row>
    <row r="28" spans="1:17" ht="16.5" customHeight="1">
      <c r="A28" s="448" t="s">
        <v>533</v>
      </c>
      <c r="B28" s="449">
        <f t="shared" ca="1" si="2"/>
        <v>0.77201248926997712</v>
      </c>
      <c r="C28" s="449">
        <f t="shared" ca="1" si="3"/>
        <v>0</v>
      </c>
      <c r="D28" s="449">
        <f t="shared" si="4"/>
        <v>0</v>
      </c>
      <c r="E28" s="449">
        <f t="shared" si="5"/>
        <v>0</v>
      </c>
      <c r="F28" s="449">
        <f t="shared" si="6"/>
        <v>0</v>
      </c>
      <c r="G28" s="449">
        <f t="shared" si="7"/>
        <v>69.0035473039094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69.775559793179383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117.60697725481008</v>
      </c>
      <c r="C32" s="449">
        <f t="shared" ca="1" si="3"/>
        <v>0</v>
      </c>
      <c r="D32" s="449">
        <f t="shared" si="4"/>
        <v>268.2579899540595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385.86496720886959</v>
      </c>
    </row>
    <row r="33" spans="1:17" s="460" customFormat="1">
      <c r="A33" s="458" t="s">
        <v>537</v>
      </c>
      <c r="B33" s="459">
        <f ca="1">SUM(B22:B32)</f>
        <v>11205.631656556272</v>
      </c>
      <c r="C33" s="459">
        <f t="shared" ref="C33:Q33" ca="1" si="19">SUM(C22:C32)</f>
        <v>0</v>
      </c>
      <c r="D33" s="459">
        <f t="shared" ca="1" si="19"/>
        <v>23042.812590422403</v>
      </c>
      <c r="E33" s="459">
        <f t="shared" si="19"/>
        <v>375.39973813705956</v>
      </c>
      <c r="F33" s="459">
        <f t="shared" ca="1" si="19"/>
        <v>13221.590447983193</v>
      </c>
      <c r="G33" s="459">
        <f t="shared" si="19"/>
        <v>26095.523225786281</v>
      </c>
      <c r="H33" s="459">
        <f t="shared" si="19"/>
        <v>5359.566462877382</v>
      </c>
      <c r="I33" s="459">
        <f t="shared" si="19"/>
        <v>0</v>
      </c>
      <c r="J33" s="459">
        <f t="shared" si="19"/>
        <v>562.27655799652337</v>
      </c>
      <c r="K33" s="459">
        <f t="shared" si="19"/>
        <v>0</v>
      </c>
      <c r="L33" s="459">
        <f t="shared" ca="1" si="19"/>
        <v>0</v>
      </c>
      <c r="M33" s="459">
        <f t="shared" si="19"/>
        <v>0</v>
      </c>
      <c r="N33" s="459">
        <f t="shared" ca="1" si="19"/>
        <v>0</v>
      </c>
      <c r="O33" s="459">
        <f t="shared" si="19"/>
        <v>0</v>
      </c>
      <c r="P33" s="459">
        <f t="shared" si="19"/>
        <v>0</v>
      </c>
      <c r="Q33" s="459">
        <f t="shared" ca="1" si="19"/>
        <v>79862.800679759093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9216.4826397643756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9216.4826397643756</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0.18700769480588814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0.18700769480588814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1</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52.539138306495019</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0.18700769480588814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0.18700769480588814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7917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3015.6</v>
      </c>
      <c r="C14" s="326"/>
      <c r="D14" s="326"/>
      <c r="E14" s="326"/>
      <c r="F14" s="326"/>
    </row>
    <row r="15" spans="1:6">
      <c r="A15" s="1312" t="s">
        <v>183</v>
      </c>
      <c r="B15" s="1313">
        <v>963</v>
      </c>
      <c r="C15" s="326"/>
      <c r="D15" s="326"/>
      <c r="E15" s="326"/>
      <c r="F15" s="326"/>
    </row>
    <row r="16" spans="1:6">
      <c r="A16" s="1312" t="s">
        <v>6</v>
      </c>
      <c r="B16" s="1313">
        <v>1395</v>
      </c>
      <c r="C16" s="326"/>
      <c r="D16" s="326"/>
      <c r="E16" s="326"/>
      <c r="F16" s="326"/>
    </row>
    <row r="17" spans="1:6">
      <c r="A17" s="1312" t="s">
        <v>7</v>
      </c>
      <c r="B17" s="1313">
        <v>886</v>
      </c>
      <c r="C17" s="326"/>
      <c r="D17" s="326"/>
      <c r="E17" s="326"/>
      <c r="F17" s="326"/>
    </row>
    <row r="18" spans="1:6">
      <c r="A18" s="1312" t="s">
        <v>8</v>
      </c>
      <c r="B18" s="1313">
        <v>1382</v>
      </c>
      <c r="C18" s="326"/>
      <c r="D18" s="326"/>
      <c r="E18" s="326"/>
      <c r="F18" s="326"/>
    </row>
    <row r="19" spans="1:6">
      <c r="A19" s="1312" t="s">
        <v>9</v>
      </c>
      <c r="B19" s="1313">
        <v>1435</v>
      </c>
      <c r="C19" s="326"/>
      <c r="D19" s="326"/>
      <c r="E19" s="326"/>
      <c r="F19" s="326"/>
    </row>
    <row r="20" spans="1:6">
      <c r="A20" s="1312" t="s">
        <v>10</v>
      </c>
      <c r="B20" s="1313">
        <v>853</v>
      </c>
      <c r="C20" s="326"/>
      <c r="D20" s="326"/>
      <c r="E20" s="326"/>
      <c r="F20" s="326"/>
    </row>
    <row r="21" spans="1:6">
      <c r="A21" s="1312" t="s">
        <v>11</v>
      </c>
      <c r="B21" s="1313">
        <v>8801</v>
      </c>
      <c r="C21" s="326"/>
      <c r="D21" s="326"/>
      <c r="E21" s="326"/>
      <c r="F21" s="326"/>
    </row>
    <row r="22" spans="1:6">
      <c r="A22" s="1312" t="s">
        <v>12</v>
      </c>
      <c r="B22" s="1313">
        <v>28634</v>
      </c>
      <c r="C22" s="326"/>
      <c r="D22" s="326"/>
      <c r="E22" s="326"/>
      <c r="F22" s="326"/>
    </row>
    <row r="23" spans="1:6">
      <c r="A23" s="1312" t="s">
        <v>13</v>
      </c>
      <c r="B23" s="1313">
        <v>420</v>
      </c>
      <c r="C23" s="326"/>
      <c r="D23" s="326"/>
      <c r="E23" s="326"/>
      <c r="F23" s="326"/>
    </row>
    <row r="24" spans="1:6">
      <c r="A24" s="1312" t="s">
        <v>14</v>
      </c>
      <c r="B24" s="1313">
        <v>15</v>
      </c>
      <c r="C24" s="326"/>
      <c r="D24" s="326"/>
      <c r="E24" s="326"/>
      <c r="F24" s="326"/>
    </row>
    <row r="25" spans="1:6">
      <c r="A25" s="1312" t="s">
        <v>15</v>
      </c>
      <c r="B25" s="1313">
        <v>2071</v>
      </c>
      <c r="C25" s="326"/>
      <c r="D25" s="326"/>
      <c r="E25" s="326"/>
      <c r="F25" s="326"/>
    </row>
    <row r="26" spans="1:6">
      <c r="A26" s="1312" t="s">
        <v>16</v>
      </c>
      <c r="B26" s="1313">
        <v>189</v>
      </c>
      <c r="C26" s="326"/>
      <c r="D26" s="326"/>
      <c r="E26" s="326"/>
      <c r="F26" s="326"/>
    </row>
    <row r="27" spans="1:6">
      <c r="A27" s="1312" t="s">
        <v>17</v>
      </c>
      <c r="B27" s="1313">
        <v>6</v>
      </c>
      <c r="C27" s="326"/>
      <c r="D27" s="326"/>
      <c r="E27" s="326"/>
      <c r="F27" s="326"/>
    </row>
    <row r="28" spans="1:6" s="43" customFormat="1">
      <c r="A28" s="1314" t="s">
        <v>18</v>
      </c>
      <c r="B28" s="1315">
        <v>356782</v>
      </c>
      <c r="C28" s="332"/>
      <c r="D28" s="332"/>
      <c r="E28" s="332"/>
      <c r="F28" s="332"/>
    </row>
    <row r="29" spans="1:6">
      <c r="A29" s="1314" t="s">
        <v>684</v>
      </c>
      <c r="B29" s="1315">
        <v>48</v>
      </c>
      <c r="C29" s="332"/>
      <c r="D29" s="332"/>
      <c r="E29" s="332"/>
      <c r="F29" s="332"/>
    </row>
    <row r="30" spans="1:6">
      <c r="A30" s="1307" t="s">
        <v>685</v>
      </c>
      <c r="B30" s="1316">
        <v>19</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8</v>
      </c>
      <c r="F36" s="1313">
        <v>124370.89413282</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6293</v>
      </c>
      <c r="D39" s="1313">
        <v>82644276.676155999</v>
      </c>
      <c r="E39" s="1313">
        <v>7703</v>
      </c>
      <c r="F39" s="1313">
        <v>23369493.350637499</v>
      </c>
    </row>
    <row r="40" spans="1:6">
      <c r="A40" s="1312" t="s">
        <v>29</v>
      </c>
      <c r="B40" s="1312" t="s">
        <v>28</v>
      </c>
      <c r="C40" s="1313">
        <v>0</v>
      </c>
      <c r="D40" s="1313">
        <v>0</v>
      </c>
      <c r="E40" s="1313">
        <v>0</v>
      </c>
      <c r="F40" s="1313">
        <v>0</v>
      </c>
    </row>
    <row r="41" spans="1:6">
      <c r="A41" s="1312" t="s">
        <v>31</v>
      </c>
      <c r="B41" s="1312" t="s">
        <v>32</v>
      </c>
      <c r="C41" s="1313">
        <v>84</v>
      </c>
      <c r="D41" s="1313">
        <v>1548889.8422479101</v>
      </c>
      <c r="E41" s="1313">
        <v>184</v>
      </c>
      <c r="F41" s="1313">
        <v>2278230.3746622498</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8</v>
      </c>
      <c r="D44" s="1313">
        <v>559045.23932280799</v>
      </c>
      <c r="E44" s="1313">
        <v>20</v>
      </c>
      <c r="F44" s="1313">
        <v>369604.068481202</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3</v>
      </c>
      <c r="D48" s="1313">
        <v>56933.817763072402</v>
      </c>
      <c r="E48" s="1313">
        <v>3</v>
      </c>
      <c r="F48" s="1313">
        <v>22388.8925811484</v>
      </c>
    </row>
    <row r="49" spans="1:6">
      <c r="A49" s="1312" t="s">
        <v>31</v>
      </c>
      <c r="B49" s="1312" t="s">
        <v>39</v>
      </c>
      <c r="C49" s="1313">
        <v>3</v>
      </c>
      <c r="D49" s="1313">
        <v>3618604.0139753898</v>
      </c>
      <c r="E49" s="1313">
        <v>6</v>
      </c>
      <c r="F49" s="1313">
        <v>2774350.4810837801</v>
      </c>
    </row>
    <row r="50" spans="1:6">
      <c r="A50" s="1312" t="s">
        <v>31</v>
      </c>
      <c r="B50" s="1312" t="s">
        <v>40</v>
      </c>
      <c r="C50" s="1313">
        <v>12</v>
      </c>
      <c r="D50" s="1313">
        <v>3425758.2365462701</v>
      </c>
      <c r="E50" s="1313">
        <v>16</v>
      </c>
      <c r="F50" s="1313">
        <v>2762483.0722117899</v>
      </c>
    </row>
    <row r="51" spans="1:6">
      <c r="A51" s="1312" t="s">
        <v>41</v>
      </c>
      <c r="B51" s="1312" t="s">
        <v>42</v>
      </c>
      <c r="C51" s="1313">
        <v>16</v>
      </c>
      <c r="D51" s="1313">
        <v>8693187.6424109302</v>
      </c>
      <c r="E51" s="1313">
        <v>124</v>
      </c>
      <c r="F51" s="1313">
        <v>5654137.7364838002</v>
      </c>
    </row>
    <row r="52" spans="1:6">
      <c r="A52" s="1312" t="s">
        <v>41</v>
      </c>
      <c r="B52" s="1312" t="s">
        <v>28</v>
      </c>
      <c r="C52" s="1313">
        <v>0</v>
      </c>
      <c r="D52" s="1313">
        <v>0</v>
      </c>
      <c r="E52" s="1313">
        <v>0</v>
      </c>
      <c r="F52" s="1313">
        <v>0</v>
      </c>
    </row>
    <row r="53" spans="1:6">
      <c r="A53" s="1312" t="s">
        <v>43</v>
      </c>
      <c r="B53" s="1312" t="s">
        <v>44</v>
      </c>
      <c r="C53" s="1313">
        <v>113</v>
      </c>
      <c r="D53" s="1313">
        <v>1328009.85125772</v>
      </c>
      <c r="E53" s="1313">
        <v>192</v>
      </c>
      <c r="F53" s="1313">
        <v>628888.43893233803</v>
      </c>
    </row>
    <row r="54" spans="1:6">
      <c r="A54" s="1312" t="s">
        <v>45</v>
      </c>
      <c r="B54" s="1312" t="s">
        <v>46</v>
      </c>
      <c r="C54" s="1313">
        <v>0</v>
      </c>
      <c r="D54" s="1313">
        <v>0</v>
      </c>
      <c r="E54" s="1313">
        <v>1</v>
      </c>
      <c r="F54" s="1313">
        <v>1268657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83</v>
      </c>
      <c r="D57" s="1313">
        <v>4732241.4160693698</v>
      </c>
      <c r="E57" s="1313">
        <v>163</v>
      </c>
      <c r="F57" s="1313">
        <v>2751332.52469648</v>
      </c>
    </row>
    <row r="58" spans="1:6">
      <c r="A58" s="1312" t="s">
        <v>48</v>
      </c>
      <c r="B58" s="1312" t="s">
        <v>50</v>
      </c>
      <c r="C58" s="1313">
        <v>35</v>
      </c>
      <c r="D58" s="1313">
        <v>2375477.1970048998</v>
      </c>
      <c r="E58" s="1313">
        <v>49</v>
      </c>
      <c r="F58" s="1313">
        <v>971592.85690749902</v>
      </c>
    </row>
    <row r="59" spans="1:6">
      <c r="A59" s="1312" t="s">
        <v>48</v>
      </c>
      <c r="B59" s="1312" t="s">
        <v>51</v>
      </c>
      <c r="C59" s="1313">
        <v>114</v>
      </c>
      <c r="D59" s="1313">
        <v>5624978.8719337704</v>
      </c>
      <c r="E59" s="1313">
        <v>195</v>
      </c>
      <c r="F59" s="1313">
        <v>5791981.8968847804</v>
      </c>
    </row>
    <row r="60" spans="1:6">
      <c r="A60" s="1312" t="s">
        <v>48</v>
      </c>
      <c r="B60" s="1312" t="s">
        <v>52</v>
      </c>
      <c r="C60" s="1313">
        <v>61</v>
      </c>
      <c r="D60" s="1313">
        <v>3539364.90111082</v>
      </c>
      <c r="E60" s="1313">
        <v>73</v>
      </c>
      <c r="F60" s="1313">
        <v>1705776.5104672101</v>
      </c>
    </row>
    <row r="61" spans="1:6">
      <c r="A61" s="1312" t="s">
        <v>48</v>
      </c>
      <c r="B61" s="1312" t="s">
        <v>53</v>
      </c>
      <c r="C61" s="1313">
        <v>174</v>
      </c>
      <c r="D61" s="1313">
        <v>6074077.1407212904</v>
      </c>
      <c r="E61" s="1313">
        <v>344</v>
      </c>
      <c r="F61" s="1313">
        <v>3635552.2793850899</v>
      </c>
    </row>
    <row r="62" spans="1:6">
      <c r="A62" s="1312" t="s">
        <v>48</v>
      </c>
      <c r="B62" s="1312" t="s">
        <v>54</v>
      </c>
      <c r="C62" s="1313">
        <v>16</v>
      </c>
      <c r="D62" s="1313">
        <v>1488044.7113022499</v>
      </c>
      <c r="E62" s="1313">
        <v>15</v>
      </c>
      <c r="F62" s="1313">
        <v>160370.45498263999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0</v>
      </c>
      <c r="E65" s="1313">
        <v>0</v>
      </c>
      <c r="F65" s="1313">
        <v>0</v>
      </c>
    </row>
    <row r="66" spans="1:6">
      <c r="A66" s="1312" t="s">
        <v>55</v>
      </c>
      <c r="B66" s="1312" t="s">
        <v>57</v>
      </c>
      <c r="C66" s="1313">
        <v>0</v>
      </c>
      <c r="D66" s="1313">
        <v>0</v>
      </c>
      <c r="E66" s="1313">
        <v>18</v>
      </c>
      <c r="F66" s="1313">
        <v>262062.61859230301</v>
      </c>
    </row>
    <row r="67" spans="1:6">
      <c r="A67" s="1314" t="s">
        <v>55</v>
      </c>
      <c r="B67" s="1314" t="s">
        <v>58</v>
      </c>
      <c r="C67" s="1313">
        <v>0</v>
      </c>
      <c r="D67" s="1313">
        <v>0</v>
      </c>
      <c r="E67" s="1313">
        <v>0</v>
      </c>
      <c r="F67" s="1313">
        <v>0</v>
      </c>
    </row>
    <row r="68" spans="1:6">
      <c r="A68" s="1307" t="s">
        <v>55</v>
      </c>
      <c r="B68" s="1307" t="s">
        <v>59</v>
      </c>
      <c r="C68" s="1316">
        <v>7</v>
      </c>
      <c r="D68" s="1316">
        <v>69751.948824339997</v>
      </c>
      <c r="E68" s="1316">
        <v>13</v>
      </c>
      <c r="F68" s="1316">
        <v>243916.58369340401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59823633</v>
      </c>
      <c r="E73" s="447"/>
      <c r="F73" s="326"/>
    </row>
    <row r="74" spans="1:6">
      <c r="A74" s="1312" t="s">
        <v>63</v>
      </c>
      <c r="B74" s="1312" t="s">
        <v>638</v>
      </c>
      <c r="C74" s="1326" t="s">
        <v>640</v>
      </c>
      <c r="D74" s="1327">
        <v>8006916.6740160026</v>
      </c>
      <c r="E74" s="447"/>
      <c r="F74" s="326"/>
    </row>
    <row r="75" spans="1:6">
      <c r="A75" s="1312" t="s">
        <v>64</v>
      </c>
      <c r="B75" s="1312" t="s">
        <v>637</v>
      </c>
      <c r="C75" s="1326" t="s">
        <v>641</v>
      </c>
      <c r="D75" s="1327">
        <v>6745527</v>
      </c>
      <c r="E75" s="447"/>
      <c r="F75" s="326"/>
    </row>
    <row r="76" spans="1:6">
      <c r="A76" s="1312" t="s">
        <v>64</v>
      </c>
      <c r="B76" s="1312" t="s">
        <v>638</v>
      </c>
      <c r="C76" s="1326" t="s">
        <v>642</v>
      </c>
      <c r="D76" s="1327">
        <v>174938.67401600216</v>
      </c>
      <c r="E76" s="447"/>
      <c r="F76" s="326"/>
    </row>
    <row r="77" spans="1:6">
      <c r="A77" s="1312" t="s">
        <v>65</v>
      </c>
      <c r="B77" s="1312" t="s">
        <v>637</v>
      </c>
      <c r="C77" s="1326" t="s">
        <v>643</v>
      </c>
      <c r="D77" s="1327">
        <v>60575758</v>
      </c>
      <c r="E77" s="447"/>
      <c r="F77" s="326"/>
    </row>
    <row r="78" spans="1:6">
      <c r="A78" s="1307" t="s">
        <v>65</v>
      </c>
      <c r="B78" s="1307" t="s">
        <v>638</v>
      </c>
      <c r="C78" s="1307" t="s">
        <v>644</v>
      </c>
      <c r="D78" s="1328">
        <v>8848324</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77000.651967995698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5498.2235447535959</v>
      </c>
      <c r="C91" s="326"/>
      <c r="D91" s="326"/>
      <c r="E91" s="326"/>
      <c r="F91" s="326"/>
    </row>
    <row r="92" spans="1:6">
      <c r="A92" s="1307" t="s">
        <v>68</v>
      </c>
      <c r="B92" s="1308">
        <v>3718.2590950107797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4275</v>
      </c>
      <c r="C97" s="326"/>
      <c r="D97" s="326"/>
      <c r="E97" s="326"/>
      <c r="F97" s="326"/>
    </row>
    <row r="98" spans="1:6">
      <c r="A98" s="1312" t="s">
        <v>71</v>
      </c>
      <c r="B98" s="1313">
        <v>0</v>
      </c>
      <c r="C98" s="326"/>
      <c r="D98" s="326"/>
      <c r="E98" s="326"/>
      <c r="F98" s="326"/>
    </row>
    <row r="99" spans="1:6">
      <c r="A99" s="1312" t="s">
        <v>72</v>
      </c>
      <c r="B99" s="1313">
        <v>150</v>
      </c>
      <c r="C99" s="326"/>
      <c r="D99" s="326"/>
      <c r="E99" s="326"/>
      <c r="F99" s="326"/>
    </row>
    <row r="100" spans="1:6">
      <c r="A100" s="1312" t="s">
        <v>73</v>
      </c>
      <c r="B100" s="1313">
        <v>542</v>
      </c>
      <c r="C100" s="326"/>
      <c r="D100" s="326"/>
      <c r="E100" s="326"/>
      <c r="F100" s="326"/>
    </row>
    <row r="101" spans="1:6">
      <c r="A101" s="1312" t="s">
        <v>74</v>
      </c>
      <c r="B101" s="1313">
        <v>119</v>
      </c>
      <c r="C101" s="326"/>
      <c r="D101" s="326"/>
      <c r="E101" s="326"/>
      <c r="F101" s="326"/>
    </row>
    <row r="102" spans="1:6">
      <c r="A102" s="1312" t="s">
        <v>75</v>
      </c>
      <c r="B102" s="1313">
        <v>92</v>
      </c>
      <c r="C102" s="326"/>
      <c r="D102" s="326"/>
      <c r="E102" s="326"/>
      <c r="F102" s="326"/>
    </row>
    <row r="103" spans="1:6">
      <c r="A103" s="1312" t="s">
        <v>76</v>
      </c>
      <c r="B103" s="1313">
        <v>391</v>
      </c>
      <c r="C103" s="326"/>
      <c r="D103" s="326"/>
      <c r="E103" s="326"/>
      <c r="F103" s="326"/>
    </row>
    <row r="104" spans="1:6">
      <c r="A104" s="1312" t="s">
        <v>77</v>
      </c>
      <c r="B104" s="1313">
        <v>1284</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1</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21</v>
      </c>
      <c r="C123" s="1313">
        <v>33</v>
      </c>
      <c r="D123" s="326"/>
      <c r="E123" s="326"/>
      <c r="F123" s="326"/>
    </row>
    <row r="124" spans="1:6" s="43" customFormat="1">
      <c r="A124" s="1314" t="s">
        <v>88</v>
      </c>
      <c r="B124" s="1335">
        <v>3</v>
      </c>
      <c r="C124" s="1335">
        <v>3</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183</v>
      </c>
      <c r="C129" s="326"/>
      <c r="D129" s="326"/>
      <c r="E129" s="326"/>
      <c r="F129" s="326"/>
    </row>
    <row r="130" spans="1:6">
      <c r="A130" s="1312" t="s">
        <v>290</v>
      </c>
      <c r="B130" s="1313">
        <v>2</v>
      </c>
      <c r="C130" s="326"/>
      <c r="D130" s="326"/>
      <c r="E130" s="326"/>
      <c r="F130" s="326"/>
    </row>
    <row r="131" spans="1:6">
      <c r="A131" s="1312" t="s">
        <v>291</v>
      </c>
      <c r="B131" s="1313">
        <v>1</v>
      </c>
      <c r="C131" s="326"/>
      <c r="D131" s="326"/>
      <c r="E131" s="326"/>
      <c r="F131" s="326"/>
    </row>
    <row r="132" spans="1:6">
      <c r="A132" s="1307" t="s">
        <v>292</v>
      </c>
      <c r="B132" s="1308">
        <v>19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59920.698280290497</v>
      </c>
      <c r="C3" s="43" t="s">
        <v>169</v>
      </c>
      <c r="D3" s="43"/>
      <c r="E3" s="154"/>
      <c r="F3" s="43"/>
      <c r="G3" s="43"/>
      <c r="H3" s="43"/>
      <c r="I3" s="43"/>
      <c r="J3" s="43"/>
      <c r="K3" s="96"/>
    </row>
    <row r="4" spans="1:11">
      <c r="A4" s="354" t="s">
        <v>170</v>
      </c>
      <c r="B4" s="49">
        <f>IF(ISERROR('SEAP template'!B78+'SEAP template'!C78),0,'SEAP template'!B78+'SEAP template'!C78)</f>
        <v>9216.4826397643756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0.18700769480588814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1268.6569999999999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1268.6569999999999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0.18700769480588814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237.24862106935362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23369.493350637498</v>
      </c>
      <c r="C5" s="17">
        <f>IF(ISERROR('Eigen informatie GS &amp; warmtenet'!B59),0,'Eigen informatie GS &amp; warmtenet'!B59)</f>
        <v>0</v>
      </c>
      <c r="D5" s="30">
        <f>(SUM(HH_hh_gas_kWh,HH_rest_gas_kWh)/1000)*0.903</f>
        <v>74627.781838568873</v>
      </c>
      <c r="E5" s="17">
        <f>B32*B41</f>
        <v>1203.3022461195064</v>
      </c>
      <c r="F5" s="17">
        <f>B36*B45</f>
        <v>26360.267332872125</v>
      </c>
      <c r="G5" s="18"/>
      <c r="H5" s="17"/>
      <c r="I5" s="17"/>
      <c r="J5" s="17">
        <f>B35*B44+C35*C44</f>
        <v>150.23004665154485</v>
      </c>
      <c r="K5" s="17"/>
      <c r="L5" s="17"/>
      <c r="M5" s="17"/>
      <c r="N5" s="17">
        <f>B34*B43+C34*C43</f>
        <v>9970.073716674915</v>
      </c>
      <c r="O5" s="17">
        <f>B52*B53*B54</f>
        <v>434.48685004575998</v>
      </c>
      <c r="P5" s="17">
        <f>B60*B61*B62/1000-B60*B61*B62/1000/B63</f>
        <v>452.96025023045598</v>
      </c>
    </row>
    <row r="6" spans="1:16">
      <c r="A6" s="16" t="s">
        <v>603</v>
      </c>
      <c r="B6" s="780">
        <f>kWh_PV_kleiner_dan_10kW</f>
        <v>5498.2235447535959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28867.716895391095</v>
      </c>
      <c r="C8" s="21">
        <f>C5</f>
        <v>0</v>
      </c>
      <c r="D8" s="21">
        <f>D5</f>
        <v>74627.781838568873</v>
      </c>
      <c r="E8" s="21">
        <f>E5</f>
        <v>1203.3022461195064</v>
      </c>
      <c r="F8" s="21">
        <f>F5</f>
        <v>26360.267332872125</v>
      </c>
      <c r="G8" s="21"/>
      <c r="H8" s="21"/>
      <c r="I8" s="21"/>
      <c r="J8" s="21">
        <f>J5</f>
        <v>150.23004665154485</v>
      </c>
      <c r="K8" s="21"/>
      <c r="L8" s="21">
        <f>L5</f>
        <v>0</v>
      </c>
      <c r="M8" s="21">
        <f>M5</f>
        <v>0</v>
      </c>
      <c r="N8" s="21">
        <f>N5</f>
        <v>9970.073716674915</v>
      </c>
      <c r="O8" s="21">
        <f>O5</f>
        <v>434.48685004575998</v>
      </c>
      <c r="P8" s="21">
        <f>P5</f>
        <v>452.96025023045598</v>
      </c>
    </row>
    <row r="9" spans="1:16">
      <c r="B9" s="19"/>
      <c r="C9" s="19"/>
      <c r="D9" s="254"/>
      <c r="E9" s="19"/>
      <c r="F9" s="19"/>
      <c r="G9" s="19"/>
      <c r="H9" s="19"/>
      <c r="I9" s="19"/>
      <c r="J9" s="19"/>
      <c r="K9" s="19"/>
      <c r="L9" s="19"/>
      <c r="M9" s="19"/>
      <c r="N9" s="19"/>
      <c r="O9" s="19"/>
      <c r="P9" s="19"/>
    </row>
    <row r="10" spans="1:16">
      <c r="A10" s="24" t="s">
        <v>213</v>
      </c>
      <c r="B10" s="25">
        <f ca="1">'EF ele_warmte'!B12</f>
        <v>0.18700769480588814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5398.4851909160789</v>
      </c>
      <c r="C12" s="23">
        <f ca="1">C10*C8</f>
        <v>0</v>
      </c>
      <c r="D12" s="23">
        <f>D8*D10</f>
        <v>15074.811931390914</v>
      </c>
      <c r="E12" s="23">
        <f>E10*E8</f>
        <v>273.14960986912797</v>
      </c>
      <c r="F12" s="23">
        <f>F10*F8</f>
        <v>7038.1913778768576</v>
      </c>
      <c r="G12" s="23"/>
      <c r="H12" s="23"/>
      <c r="I12" s="23"/>
      <c r="J12" s="23">
        <f>J10*J8</f>
        <v>53.181436514646876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7917</v>
      </c>
      <c r="C26" s="36"/>
      <c r="D26" s="225"/>
    </row>
    <row r="27" spans="1:5" s="15" customFormat="1">
      <c r="A27" s="227" t="s">
        <v>866</v>
      </c>
      <c r="B27" s="37">
        <f>SUM(HH_hh_gas_aantal,HH_rest_gas_aantal)</f>
        <v>6293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5978.35</v>
      </c>
      <c r="C31" s="34" t="s">
        <v>110</v>
      </c>
      <c r="D31" s="171"/>
    </row>
    <row r="32" spans="1:5">
      <c r="A32" s="168" t="s">
        <v>72</v>
      </c>
      <c r="B32" s="33">
        <f>IF((B21*($B$26-($B$27-0.05*$B$27)-$B$60))&lt;0,0,(B21*($B$26-($B$27-0.05*$B$27)-$B$60)))</f>
        <v>30.093820404157306</v>
      </c>
      <c r="C32" s="34" t="s">
        <v>110</v>
      </c>
      <c r="D32" s="171"/>
    </row>
    <row r="33" spans="1:6">
      <c r="A33" s="168" t="s">
        <v>73</v>
      </c>
      <c r="B33" s="33">
        <f>IF((B22*($B$26-($B$27-0.05*$B$27)-$B$60))&lt;0,0,B22*($B$26-($B$27-0.05*$B$27)-$B$60))</f>
        <v>488.66404189802518</v>
      </c>
      <c r="C33" s="34" t="s">
        <v>110</v>
      </c>
      <c r="D33" s="171"/>
    </row>
    <row r="34" spans="1:6">
      <c r="A34" s="168" t="s">
        <v>74</v>
      </c>
      <c r="B34" s="33">
        <f>IF((B24*($B$26-($B$27-0.05*$B$27)-$B$60))&lt;0,0,B24*($B$26-($B$27-0.05*$B$27)-$B$60))</f>
        <v>93.683436360847082</v>
      </c>
      <c r="C34" s="33">
        <f>B26*C24</f>
        <v>1622.2403254484102</v>
      </c>
      <c r="D34" s="230"/>
    </row>
    <row r="35" spans="1:6">
      <c r="A35" s="168" t="s">
        <v>76</v>
      </c>
      <c r="B35" s="33">
        <f>IF((B19*($B$26-($B$27-0.05*$B$27)-$B$60))&lt;0,0,B19*($B$26-($B$27-0.05*$B$27)-$B$60))</f>
        <v>13.081711984055559</v>
      </c>
      <c r="C35" s="33">
        <f>B35/2</f>
        <v>6.5408559920277796</v>
      </c>
      <c r="D35" s="230"/>
    </row>
    <row r="36" spans="1:6">
      <c r="A36" s="168" t="s">
        <v>77</v>
      </c>
      <c r="B36" s="33">
        <f>IF((B18*($B$26-($B$27-0.05*$B$27)-$B$60))&lt;0,0,B18*($B$26-($B$27-0.05*$B$27)-$B$60))</f>
        <v>1270.1269893529141</v>
      </c>
      <c r="C36" s="34" t="s">
        <v>110</v>
      </c>
      <c r="D36" s="171"/>
    </row>
    <row r="37" spans="1:6">
      <c r="A37" s="168" t="s">
        <v>78</v>
      </c>
      <c r="B37" s="33">
        <f>B60</f>
        <v>43</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219</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43</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15016.606523323699</v>
      </c>
      <c r="C5" s="17">
        <f>IF(ISERROR('Eigen informatie GS &amp; warmtenet'!B60),0,'Eigen informatie GS &amp; warmtenet'!B60)</f>
        <v>0</v>
      </c>
      <c r="D5" s="30">
        <f>SUM(D6:D12)</f>
        <v>21522.26836704259</v>
      </c>
      <c r="E5" s="17">
        <f>SUM(E6:E12)</f>
        <v>82.834780571340929</v>
      </c>
      <c r="F5" s="17">
        <f>SUM(F6:F12)</f>
        <v>3648.389125301273</v>
      </c>
      <c r="G5" s="18"/>
      <c r="H5" s="17"/>
      <c r="I5" s="17"/>
      <c r="J5" s="17">
        <f>SUM(J6:J12)</f>
        <v>2.7827450707631984E-2</v>
      </c>
      <c r="K5" s="17"/>
      <c r="L5" s="17"/>
      <c r="M5" s="17"/>
      <c r="N5" s="17">
        <f>SUM(N6:N12)</f>
        <v>1067.3341651965168</v>
      </c>
      <c r="O5" s="17">
        <f>B38*B39*B40</f>
        <v>9.7945215316823084</v>
      </c>
      <c r="P5" s="17">
        <f>B46*B47*B48/1000-B46*B47*B48/1000/B49</f>
        <v>105.07827661299004</v>
      </c>
      <c r="R5" s="32"/>
    </row>
    <row r="6" spans="1:18">
      <c r="A6" s="32" t="s">
        <v>53</v>
      </c>
      <c r="B6" s="37">
        <f>B26</f>
        <v>3635.5522793850901</v>
      </c>
      <c r="C6" s="33"/>
      <c r="D6" s="37">
        <f>IF(ISERROR(TER_kantoor_gas_kWh/1000),0,TER_kantoor_gas_kWh/1000)*0.903</f>
        <v>5484.8916580713258</v>
      </c>
      <c r="E6" s="33">
        <f>$C$26*'E Balans VL '!I12/100/3.6*1000000</f>
        <v>0.86624495144571279</v>
      </c>
      <c r="F6" s="33">
        <f>$C$26*('E Balans VL '!L12+'E Balans VL '!N12)/100/3.6*1000000</f>
        <v>315.78332987623787</v>
      </c>
      <c r="G6" s="34"/>
      <c r="H6" s="33"/>
      <c r="I6" s="33"/>
      <c r="J6" s="33">
        <f>$C$26*('E Balans VL '!D12+'E Balans VL '!E12)/100/3.6*1000000</f>
        <v>0</v>
      </c>
      <c r="K6" s="33"/>
      <c r="L6" s="33"/>
      <c r="M6" s="33"/>
      <c r="N6" s="33">
        <f>$C$26*'E Balans VL '!Y12/100/3.6*1000000</f>
        <v>4.8594242358857196</v>
      </c>
      <c r="O6" s="33"/>
      <c r="P6" s="33"/>
      <c r="R6" s="32"/>
    </row>
    <row r="7" spans="1:18">
      <c r="A7" s="32" t="s">
        <v>52</v>
      </c>
      <c r="B7" s="37">
        <f t="shared" ref="B7:B12" si="0">B27</f>
        <v>1705.7765104672101</v>
      </c>
      <c r="C7" s="33"/>
      <c r="D7" s="37">
        <f>IF(ISERROR(TER_horeca_gas_kWh/1000),0,TER_horeca_gas_kWh/1000)*0.903</f>
        <v>3196.0465057030706</v>
      </c>
      <c r="E7" s="33">
        <f>$C$27*'E Balans VL '!I9/100/3.6*1000000</f>
        <v>0</v>
      </c>
      <c r="F7" s="33">
        <f>$C$27*('E Balans VL '!L9+'E Balans VL '!N9)/100/3.6*1000000</f>
        <v>138.98991545793828</v>
      </c>
      <c r="G7" s="34"/>
      <c r="H7" s="33"/>
      <c r="I7" s="33"/>
      <c r="J7" s="33">
        <f>$C$27*('E Balans VL '!D9+'E Balans VL '!E9)/100/3.6*1000000</f>
        <v>0</v>
      </c>
      <c r="K7" s="33"/>
      <c r="L7" s="33"/>
      <c r="M7" s="33"/>
      <c r="N7" s="33">
        <f>$C$27*'E Balans VL '!Y9/100/3.6*1000000</f>
        <v>0.47246833635978197</v>
      </c>
      <c r="O7" s="33"/>
      <c r="P7" s="33"/>
      <c r="R7" s="32"/>
    </row>
    <row r="8" spans="1:18">
      <c r="A8" s="6" t="s">
        <v>51</v>
      </c>
      <c r="B8" s="37">
        <f t="shared" si="0"/>
        <v>5791.9818968847803</v>
      </c>
      <c r="C8" s="33"/>
      <c r="D8" s="37">
        <f>IF(ISERROR(TER_handel_gas_kWh/1000),0,TER_handel_gas_kWh/1000)*0.903</f>
        <v>5079.3559213561948</v>
      </c>
      <c r="E8" s="33">
        <f>$C$28*'E Balans VL '!I13/100/3.6*1000000</f>
        <v>46.29887104587813</v>
      </c>
      <c r="F8" s="33">
        <f>$C$28*('E Balans VL '!L13+'E Balans VL '!N13)/100/3.6*1000000</f>
        <v>575.3973963953232</v>
      </c>
      <c r="G8" s="34"/>
      <c r="H8" s="33"/>
      <c r="I8" s="33"/>
      <c r="J8" s="33">
        <f>$C$28*('E Balans VL '!D13+'E Balans VL '!E13)/100/3.6*1000000</f>
        <v>0</v>
      </c>
      <c r="K8" s="33"/>
      <c r="L8" s="33"/>
      <c r="M8" s="33"/>
      <c r="N8" s="33">
        <f>$C$28*'E Balans VL '!Y13/100/3.6*1000000</f>
        <v>2.1636500001975127</v>
      </c>
      <c r="O8" s="33"/>
      <c r="P8" s="33"/>
      <c r="R8" s="32"/>
    </row>
    <row r="9" spans="1:18">
      <c r="A9" s="32" t="s">
        <v>50</v>
      </c>
      <c r="B9" s="37">
        <f t="shared" si="0"/>
        <v>971.59285690749903</v>
      </c>
      <c r="C9" s="33"/>
      <c r="D9" s="37">
        <f>IF(ISERROR(TER_gezond_gas_kWh/1000),0,TER_gezond_gas_kWh/1000)*0.903</f>
        <v>2145.0559088954246</v>
      </c>
      <c r="E9" s="33">
        <f>$C$29*'E Balans VL '!I10/100/3.6*1000000</f>
        <v>0</v>
      </c>
      <c r="F9" s="33">
        <f>$C$29*('E Balans VL '!L10+'E Balans VL '!N10)/100/3.6*1000000</f>
        <v>88.576521689585562</v>
      </c>
      <c r="G9" s="34"/>
      <c r="H9" s="33"/>
      <c r="I9" s="33"/>
      <c r="J9" s="33">
        <f>$C$29*('E Balans VL '!D10+'E Balans VL '!E10)/100/3.6*1000000</f>
        <v>0</v>
      </c>
      <c r="K9" s="33"/>
      <c r="L9" s="33"/>
      <c r="M9" s="33"/>
      <c r="N9" s="33">
        <f>$C$29*'E Balans VL '!Y10/100/3.6*1000000</f>
        <v>7.1014730812966729</v>
      </c>
      <c r="O9" s="33"/>
      <c r="P9" s="33"/>
      <c r="R9" s="32"/>
    </row>
    <row r="10" spans="1:18">
      <c r="A10" s="32" t="s">
        <v>49</v>
      </c>
      <c r="B10" s="37">
        <f t="shared" si="0"/>
        <v>2751.33252469648</v>
      </c>
      <c r="C10" s="33"/>
      <c r="D10" s="37">
        <f>IF(ISERROR(TER_ander_gas_kWh/1000),0,TER_ander_gas_kWh/1000)*0.903</f>
        <v>4273.2139987106411</v>
      </c>
      <c r="E10" s="33">
        <f>$C$30*'E Balans VL '!I14/100/3.6*1000000</f>
        <v>35.669664574017091</v>
      </c>
      <c r="F10" s="33">
        <f>$C$30*('E Balans VL '!L14+'E Balans VL '!N14)/100/3.6*1000000</f>
        <v>2523.3582195677923</v>
      </c>
      <c r="G10" s="34"/>
      <c r="H10" s="33"/>
      <c r="I10" s="33"/>
      <c r="J10" s="33">
        <f>$C$30*('E Balans VL '!D14+'E Balans VL '!E14)/100/3.6*1000000</f>
        <v>2.7827450707631984E-2</v>
      </c>
      <c r="K10" s="33"/>
      <c r="L10" s="33"/>
      <c r="M10" s="33"/>
      <c r="N10" s="33">
        <f>$C$30*'E Balans VL '!Y14/100/3.6*1000000</f>
        <v>1052.2321033568553</v>
      </c>
      <c r="O10" s="33"/>
      <c r="P10" s="33"/>
      <c r="R10" s="32"/>
    </row>
    <row r="11" spans="1:18">
      <c r="A11" s="32" t="s">
        <v>54</v>
      </c>
      <c r="B11" s="37">
        <f t="shared" si="0"/>
        <v>160.37045498263998</v>
      </c>
      <c r="C11" s="33"/>
      <c r="D11" s="37">
        <f>IF(ISERROR(TER_onderwijs_gas_kWh/1000),0,TER_onderwijs_gas_kWh/1000)*0.903</f>
        <v>1343.7043743059317</v>
      </c>
      <c r="E11" s="33">
        <f>$C$31*'E Balans VL '!I11/100/3.6*1000000</f>
        <v>0</v>
      </c>
      <c r="F11" s="33">
        <f>$C$31*('E Balans VL '!L11+'E Balans VL '!N11)/100/3.6*1000000</f>
        <v>6.2837423143957167</v>
      </c>
      <c r="G11" s="34"/>
      <c r="H11" s="33"/>
      <c r="I11" s="33"/>
      <c r="J11" s="33">
        <f>$C$31*('E Balans VL '!D11+'E Balans VL '!E11)/100/3.6*1000000</f>
        <v>0</v>
      </c>
      <c r="K11" s="33"/>
      <c r="L11" s="33"/>
      <c r="M11" s="33"/>
      <c r="N11" s="33">
        <f>$C$31*'E Balans VL '!Y11/100/3.6*1000000</f>
        <v>0.50504618592191608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15016.606523323699</v>
      </c>
      <c r="C16" s="21">
        <f t="shared" ca="1" si="1"/>
        <v>0</v>
      </c>
      <c r="D16" s="21">
        <f t="shared" ca="1" si="1"/>
        <v>21522.26836704259</v>
      </c>
      <c r="E16" s="21">
        <f t="shared" si="1"/>
        <v>82.834780571340929</v>
      </c>
      <c r="F16" s="21">
        <f t="shared" ca="1" si="1"/>
        <v>3648.389125301273</v>
      </c>
      <c r="G16" s="21">
        <f t="shared" si="1"/>
        <v>0</v>
      </c>
      <c r="H16" s="21">
        <f t="shared" si="1"/>
        <v>0</v>
      </c>
      <c r="I16" s="21">
        <f t="shared" si="1"/>
        <v>0</v>
      </c>
      <c r="J16" s="21">
        <f t="shared" si="1"/>
        <v>2.7827450707631984E-2</v>
      </c>
      <c r="K16" s="21">
        <f t="shared" si="1"/>
        <v>0</v>
      </c>
      <c r="L16" s="21">
        <f t="shared" ca="1" si="1"/>
        <v>0</v>
      </c>
      <c r="M16" s="21">
        <f t="shared" si="1"/>
        <v>0</v>
      </c>
      <c r="N16" s="21">
        <f t="shared" ca="1" si="1"/>
        <v>1067.3341651965168</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0.18700769480588814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2808.2209697338271</v>
      </c>
      <c r="C20" s="23">
        <f t="shared" ref="C20:P20" ca="1" si="2">C16*C18</f>
        <v>0</v>
      </c>
      <c r="D20" s="23">
        <f t="shared" ca="1" si="2"/>
        <v>4347.498210142604</v>
      </c>
      <c r="E20" s="23">
        <f t="shared" si="2"/>
        <v>18.803495189694392</v>
      </c>
      <c r="F20" s="23">
        <f t="shared" ca="1" si="2"/>
        <v>974.11989645543997</v>
      </c>
      <c r="G20" s="23">
        <f t="shared" si="2"/>
        <v>0</v>
      </c>
      <c r="H20" s="23">
        <f t="shared" si="2"/>
        <v>0</v>
      </c>
      <c r="I20" s="23">
        <f t="shared" si="2"/>
        <v>0</v>
      </c>
      <c r="J20" s="23">
        <f t="shared" si="2"/>
        <v>9.8509175505017213E-3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3635.5522793850901</v>
      </c>
      <c r="C26" s="39">
        <f>IF(ISERROR(B26*3.6/1000000/'E Balans VL '!Z12*100),0,B26*3.6/1000000/'E Balans VL '!Z12*100)</f>
        <v>0.10430365277152437</v>
      </c>
      <c r="D26" s="233" t="s">
        <v>841</v>
      </c>
      <c r="F26" s="6"/>
    </row>
    <row r="27" spans="1:18" ht="30">
      <c r="A27" s="228" t="s">
        <v>52</v>
      </c>
      <c r="B27" s="33">
        <f>IF(ISERROR(TER_horeca_ele_kWh/1000),0,TER_horeca_ele_kWh/1000)</f>
        <v>1705.7765104672101</v>
      </c>
      <c r="C27" s="39">
        <f>IF(ISERROR(B27*3.6/1000000/'E Balans VL '!Z9*100),0,B27*3.6/1000000/'E Balans VL '!Z9*100)</f>
        <v>0.12496579106236999</v>
      </c>
      <c r="D27" s="233" t="s">
        <v>841</v>
      </c>
      <c r="F27" s="6"/>
    </row>
    <row r="28" spans="1:18" ht="30">
      <c r="A28" s="168" t="s">
        <v>51</v>
      </c>
      <c r="B28" s="33">
        <f>IF(ISERROR(TER_handel_ele_kWh/1000),0,TER_handel_ele_kWh/1000)</f>
        <v>5791.9818968847803</v>
      </c>
      <c r="C28" s="39">
        <f>IF(ISERROR(B28*3.6/1000000/'E Balans VL '!Z13*100),0,B28*3.6/1000000/'E Balans VL '!Z13*100)</f>
        <v>0.17897712586861275</v>
      </c>
      <c r="D28" s="233" t="s">
        <v>841</v>
      </c>
      <c r="F28" s="6"/>
    </row>
    <row r="29" spans="1:18" ht="30">
      <c r="A29" s="228" t="s">
        <v>50</v>
      </c>
      <c r="B29" s="33">
        <f>IF(ISERROR(TER_gezond_ele_kWh/1000),0,TER_gezond_ele_kWh/1000)</f>
        <v>971.59285690749903</v>
      </c>
      <c r="C29" s="39">
        <f>IF(ISERROR(B29*3.6/1000000/'E Balans VL '!Z10*100),0,B29*3.6/1000000/'E Balans VL '!Z10*100)</f>
        <v>9.5222074257689124E-2</v>
      </c>
      <c r="D29" s="233" t="s">
        <v>841</v>
      </c>
      <c r="F29" s="6"/>
    </row>
    <row r="30" spans="1:18" ht="30">
      <c r="A30" s="228" t="s">
        <v>49</v>
      </c>
      <c r="B30" s="33">
        <f>IF(ISERROR(TER_ander_ele_kWh/1000),0,TER_ander_ele_kWh/1000)</f>
        <v>2751.33252469648</v>
      </c>
      <c r="C30" s="39">
        <f>IF(ISERROR(B30*3.6/1000000/'E Balans VL '!Z14*100),0,B30*3.6/1000000/'E Balans VL '!Z14*100)</f>
        <v>0.11396908139644497</v>
      </c>
      <c r="D30" s="233" t="s">
        <v>841</v>
      </c>
      <c r="F30" s="6"/>
    </row>
    <row r="31" spans="1:18" ht="30">
      <c r="A31" s="228" t="s">
        <v>54</v>
      </c>
      <c r="B31" s="33">
        <f>IF(ISERROR(TER_onderwijs_ele_kWh/1000),0,TER_onderwijs_ele_kWh/1000)</f>
        <v>160.37045498263998</v>
      </c>
      <c r="C31" s="39">
        <f>IF(ISERROR(B31*3.6/1000000/'E Balans VL '!Z11*100),0,B31*3.6/1000000/'E Balans VL '!Z11*100)</f>
        <v>4.9276965134149503E-2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8207.0568890201703</v>
      </c>
      <c r="C5" s="17">
        <f>IF(ISERROR('Eigen informatie GS &amp; warmtenet'!B61),0,'Eigen informatie GS &amp; warmtenet'!B61)</f>
        <v>0</v>
      </c>
      <c r="D5" s="30">
        <f>SUM(D6:D15)</f>
        <v>8315.9357283194713</v>
      </c>
      <c r="E5" s="17">
        <f>SUM(E6:E15)</f>
        <v>18.862132377369583</v>
      </c>
      <c r="F5" s="17">
        <f>SUM(F6:F15)</f>
        <v>1612.3295336791455</v>
      </c>
      <c r="G5" s="18"/>
      <c r="H5" s="17"/>
      <c r="I5" s="17"/>
      <c r="J5" s="17">
        <f>SUM(J6:J15)</f>
        <v>0.42431170676392249</v>
      </c>
      <c r="K5" s="17"/>
      <c r="L5" s="17"/>
      <c r="M5" s="17"/>
      <c r="N5" s="17">
        <f>SUM(N6:N15)</f>
        <v>210.63697723949676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369.60406848120198</v>
      </c>
      <c r="C8" s="33"/>
      <c r="D8" s="37">
        <f>IF( ISERROR(IND_metaal_Gas_kWH/1000),0,IND_metaal_Gas_kWH/1000)*0.903</f>
        <v>504.81785110849563</v>
      </c>
      <c r="E8" s="33">
        <f>C30*'E Balans VL '!I18/100/3.6*1000000</f>
        <v>2.0147694198072013</v>
      </c>
      <c r="F8" s="33">
        <f>C30*'E Balans VL '!L18/100/3.6*1000000+C30*'E Balans VL '!N18/100/3.6*1000000</f>
        <v>23.802530241546656</v>
      </c>
      <c r="G8" s="34"/>
      <c r="H8" s="33"/>
      <c r="I8" s="33"/>
      <c r="J8" s="40">
        <f>C30*'E Balans VL '!D18/100/3.6*1000000+C30*'E Balans VL '!E18/100/3.6*1000000</f>
        <v>0.30275081580197261</v>
      </c>
      <c r="K8" s="33"/>
      <c r="L8" s="33"/>
      <c r="M8" s="33"/>
      <c r="N8" s="33">
        <f>C30*'E Balans VL '!Y18/100/3.6*1000000</f>
        <v>7.9850516663146207</v>
      </c>
      <c r="O8" s="33"/>
      <c r="P8" s="33"/>
      <c r="R8" s="32"/>
    </row>
    <row r="9" spans="1:18">
      <c r="A9" s="6" t="s">
        <v>32</v>
      </c>
      <c r="B9" s="37">
        <f t="shared" si="0"/>
        <v>2278.2303746622497</v>
      </c>
      <c r="C9" s="33"/>
      <c r="D9" s="37">
        <f>IF( ISERROR(IND_andere_gas_kWh/1000),0,IND_andere_gas_kWh/1000)*0.903</f>
        <v>1398.6475275498628</v>
      </c>
      <c r="E9" s="33">
        <f>C31*'E Balans VL '!I19/100/3.6*1000000</f>
        <v>7.3545156333084183</v>
      </c>
      <c r="F9" s="33">
        <f>C31*'E Balans VL '!L19/100/3.6*1000000+C31*'E Balans VL '!N19/100/3.6*1000000</f>
        <v>1473.1216445049777</v>
      </c>
      <c r="G9" s="34"/>
      <c r="H9" s="33"/>
      <c r="I9" s="33"/>
      <c r="J9" s="40">
        <f>C31*'E Balans VL '!D19/100/3.6*1000000+C31*'E Balans VL '!E19/100/3.6*1000000</f>
        <v>0</v>
      </c>
      <c r="K9" s="33"/>
      <c r="L9" s="33"/>
      <c r="M9" s="33"/>
      <c r="N9" s="33">
        <f>C31*'E Balans VL '!Y19/100/3.6*1000000</f>
        <v>92.060657853228818</v>
      </c>
      <c r="O9" s="33"/>
      <c r="P9" s="33"/>
      <c r="R9" s="32"/>
    </row>
    <row r="10" spans="1:18">
      <c r="A10" s="6" t="s">
        <v>40</v>
      </c>
      <c r="B10" s="37">
        <f t="shared" si="0"/>
        <v>2762.4830722117899</v>
      </c>
      <c r="C10" s="33"/>
      <c r="D10" s="37">
        <f>IF( ISERROR(IND_voed_gas_kWh/1000),0,IND_voed_gas_kWh/1000)*0.903</f>
        <v>3093.459687601282</v>
      </c>
      <c r="E10" s="33">
        <f>C32*'E Balans VL '!I20/100/3.6*1000000</f>
        <v>5.7908415309150536</v>
      </c>
      <c r="F10" s="33">
        <f>C32*'E Balans VL '!L20/100/3.6*1000000+C32*'E Balans VL '!N20/100/3.6*1000000</f>
        <v>53.822717048829581</v>
      </c>
      <c r="G10" s="34"/>
      <c r="H10" s="33"/>
      <c r="I10" s="33"/>
      <c r="J10" s="40">
        <f>C32*'E Balans VL '!D20/100/3.6*1000000+C32*'E Balans VL '!E20/100/3.6*1000000</f>
        <v>0</v>
      </c>
      <c r="K10" s="33"/>
      <c r="L10" s="33"/>
      <c r="M10" s="33"/>
      <c r="N10" s="33">
        <f>C32*'E Balans VL '!Y20/100/3.6*1000000</f>
        <v>109.88391788706174</v>
      </c>
      <c r="O10" s="33"/>
      <c r="P10" s="33"/>
      <c r="R10" s="32"/>
    </row>
    <row r="11" spans="1:18">
      <c r="A11" s="6" t="s">
        <v>39</v>
      </c>
      <c r="B11" s="37">
        <f t="shared" si="0"/>
        <v>2774.3504810837799</v>
      </c>
      <c r="C11" s="33"/>
      <c r="D11" s="37">
        <f>IF( ISERROR(IND_textiel_gas_kWh/1000),0,IND_textiel_gas_kWh/1000)*0.903</f>
        <v>3267.5994246197774</v>
      </c>
      <c r="E11" s="33">
        <f>C33*'E Balans VL '!I21/100/3.6*1000000</f>
        <v>2.383915970102795</v>
      </c>
      <c r="F11" s="33">
        <f>C33*'E Balans VL '!L21/100/3.6*1000000+C33*'E Balans VL '!N21/100/3.6*1000000</f>
        <v>58.167137284753153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22.388892581148401</v>
      </c>
      <c r="C15" s="33"/>
      <c r="D15" s="37">
        <f>IF( ISERROR(IND_rest_gas_kWh/1000),0,IND_rest_gas_kWh/1000)*0.903</f>
        <v>51.411237440054386</v>
      </c>
      <c r="E15" s="33">
        <f>C37*'E Balans VL '!I15/100/3.6*1000000</f>
        <v>1.3180898232361129</v>
      </c>
      <c r="F15" s="33">
        <f>C37*'E Balans VL '!L15/100/3.6*1000000+C37*'E Balans VL '!N15/100/3.6*1000000</f>
        <v>3.4155045990381754</v>
      </c>
      <c r="G15" s="34"/>
      <c r="H15" s="33"/>
      <c r="I15" s="33"/>
      <c r="J15" s="40">
        <f>C37*'E Balans VL '!D15/100/3.6*1000000+C37*'E Balans VL '!E15/100/3.6*1000000</f>
        <v>0.12156089096194991</v>
      </c>
      <c r="K15" s="33"/>
      <c r="L15" s="33"/>
      <c r="M15" s="33"/>
      <c r="N15" s="33">
        <f>C37*'E Balans VL '!Y15/100/3.6*1000000</f>
        <v>0.70734983289159437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8207.0568890201703</v>
      </c>
      <c r="C18" s="21">
        <f>C5+C16</f>
        <v>0</v>
      </c>
      <c r="D18" s="21">
        <f>MAX((D5+D16),0)</f>
        <v>8315.9357283194713</v>
      </c>
      <c r="E18" s="21">
        <f>MAX((E5+E16),0)</f>
        <v>18.862132377369583</v>
      </c>
      <c r="F18" s="21">
        <f>MAX((F5+F16),0)</f>
        <v>1612.3295336791455</v>
      </c>
      <c r="G18" s="21"/>
      <c r="H18" s="21"/>
      <c r="I18" s="21"/>
      <c r="J18" s="21">
        <f>MAX((J5+J16),0)</f>
        <v>0.42431170676392249</v>
      </c>
      <c r="K18" s="21"/>
      <c r="L18" s="21">
        <f>MAX((L5+L16),0)</f>
        <v>0</v>
      </c>
      <c r="M18" s="21"/>
      <c r="N18" s="21">
        <f>MAX((N5+N16),0)</f>
        <v>210.63697723949676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0.18700769480588814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1534.7827899564456</v>
      </c>
      <c r="C22" s="23">
        <f ca="1">C18*C20</f>
        <v>0</v>
      </c>
      <c r="D22" s="23">
        <f>D18*D20</f>
        <v>1679.8190171205333</v>
      </c>
      <c r="E22" s="23">
        <f>E18*E20</f>
        <v>4.2817040496628955</v>
      </c>
      <c r="F22" s="23">
        <f>F18*F20</f>
        <v>430.49198549233188</v>
      </c>
      <c r="G22" s="23"/>
      <c r="H22" s="23"/>
      <c r="I22" s="23"/>
      <c r="J22" s="23">
        <f>J18*J20</f>
        <v>0.15020634419442855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369.60406848120198</v>
      </c>
      <c r="C30" s="39">
        <f>IF(ISERROR(B30*3.6/1000000/'E Balans VL '!Z18*100),0,B30*3.6/1000000/'E Balans VL '!Z18*100)</f>
        <v>2.2256543534553905E-2</v>
      </c>
      <c r="D30" s="233" t="s">
        <v>841</v>
      </c>
    </row>
    <row r="31" spans="1:18" ht="30">
      <c r="A31" s="6" t="s">
        <v>32</v>
      </c>
      <c r="B31" s="37">
        <f>IF( ISERROR(IND_ander_ele_kWh/1000),0,IND_ander_ele_kWh/1000)</f>
        <v>2278.2303746622497</v>
      </c>
      <c r="C31" s="39">
        <f>IF(ISERROR(B31*3.6/1000000/'E Balans VL '!Z19*100),0,B31*3.6/1000000/'E Balans VL '!Z19*100)</f>
        <v>9.281982194339411E-2</v>
      </c>
      <c r="D31" s="233" t="s">
        <v>841</v>
      </c>
    </row>
    <row r="32" spans="1:18" ht="30">
      <c r="A32" s="168" t="s">
        <v>40</v>
      </c>
      <c r="B32" s="37">
        <f>IF( ISERROR(IND_voed_ele_kWh/1000),0,IND_voed_ele_kWh/1000)</f>
        <v>2762.4830722117899</v>
      </c>
      <c r="C32" s="39">
        <f>IF(ISERROR(B32*3.6/1000000/'E Balans VL '!Z20*100),0,B32*3.6/1000000/'E Balans VL '!Z20*100)</f>
        <v>7.9874502680223183E-2</v>
      </c>
      <c r="D32" s="233" t="s">
        <v>841</v>
      </c>
    </row>
    <row r="33" spans="1:5" ht="30">
      <c r="A33" s="168" t="s">
        <v>39</v>
      </c>
      <c r="B33" s="37">
        <f>IF( ISERROR(IND_textiel_ele_kWh/1000),0,IND_textiel_ele_kWh/1000)</f>
        <v>2774.3504810837799</v>
      </c>
      <c r="C33" s="39">
        <f>IF(ISERROR(B33*3.6/1000000/'E Balans VL '!Z21*100),0,B33*3.6/1000000/'E Balans VL '!Z21*100)</f>
        <v>0.45625186030675491</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22.388892581148401</v>
      </c>
      <c r="C37" s="39">
        <f>IF(ISERROR(B37*3.6/1000000/'E Balans VL '!Z15*100),0,B37*3.6/1000000/'E Balans VL '!Z15*100)</f>
        <v>1.8382976592142502E-4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5654.1377364837999</v>
      </c>
      <c r="C5" s="17">
        <f>'Eigen informatie GS &amp; warmtenet'!B62</f>
        <v>0</v>
      </c>
      <c r="D5" s="30">
        <f>IF(ISERROR(SUM(LB_lb_gas_kWh,LB_rest_gas_kWh)/1000),0,SUM(LB_lb_gas_kWh,LB_rest_gas_kWh)/1000)*0.903</f>
        <v>7849.9484410970708</v>
      </c>
      <c r="E5" s="17">
        <f>B17*'E Balans VL '!I25/3.6*1000000/100</f>
        <v>161.94407332575165</v>
      </c>
      <c r="F5" s="17">
        <f>B17*('E Balans VL '!L25/3.6*1000000+'E Balans VL '!N25/3.6*1000000)/100</f>
        <v>17898.079356399117</v>
      </c>
      <c r="G5" s="18"/>
      <c r="H5" s="17"/>
      <c r="I5" s="17"/>
      <c r="J5" s="17">
        <f>('E Balans VL '!D25+'E Balans VL '!E25)/3.6*1000000*landbouw!B17/100</f>
        <v>1437.6696729382249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5654.1377364837999</v>
      </c>
      <c r="C8" s="21">
        <f>C5+C6</f>
        <v>0</v>
      </c>
      <c r="D8" s="21">
        <f>MAX((D5+D6),0)</f>
        <v>7849.9484410970708</v>
      </c>
      <c r="E8" s="21">
        <f>MAX((E5+E6),0)</f>
        <v>161.94407332575165</v>
      </c>
      <c r="F8" s="21">
        <f>MAX((F5+F6),0)</f>
        <v>17898.079356399117</v>
      </c>
      <c r="G8" s="21"/>
      <c r="H8" s="21"/>
      <c r="I8" s="21"/>
      <c r="J8" s="21">
        <f>MAX((J5+J6),0)</f>
        <v>1437.6696729382249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0.18700769480588814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1057.3672642148176</v>
      </c>
      <c r="C12" s="23">
        <f ca="1">C8*C10</f>
        <v>0</v>
      </c>
      <c r="D12" s="23">
        <f>D8*D10</f>
        <v>1585.6895851016084</v>
      </c>
      <c r="E12" s="23">
        <f>E8*E10</f>
        <v>36.761304644945625</v>
      </c>
      <c r="F12" s="23">
        <f>F8*F10</f>
        <v>4778.7871881585643</v>
      </c>
      <c r="G12" s="23"/>
      <c r="H12" s="23"/>
      <c r="I12" s="23"/>
      <c r="J12" s="23">
        <f>J8*J10</f>
        <v>508.93506422013161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0.78296980956277051</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463.75031679297342</v>
      </c>
      <c r="C26" s="243">
        <f>B26*'GWP N2O_CH4'!B5</f>
        <v>9738.7566526524424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253.1864084078567</v>
      </c>
      <c r="C27" s="243">
        <f>B27*'GWP N2O_CH4'!B5</f>
        <v>5316.914576564991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7.7199160595386012</v>
      </c>
      <c r="C28" s="243">
        <f>B28*'GWP N2O_CH4'!B4</f>
        <v>2393.1739784569663</v>
      </c>
      <c r="D28" s="50"/>
    </row>
    <row r="29" spans="1:4">
      <c r="A29" s="41" t="s">
        <v>272</v>
      </c>
      <c r="B29" s="243">
        <f>B34*'ha_N2O bodem landbouw'!B4</f>
        <v>19.666845968403955</v>
      </c>
      <c r="C29" s="243">
        <f>B29*'GWP N2O_CH4'!B4</f>
        <v>6096.7222502052264</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4.4679554210177528E-3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9.8462360871906171E-4</v>
      </c>
      <c r="C5" s="434" t="s">
        <v>210</v>
      </c>
      <c r="D5" s="419">
        <f>SUM(D6:D11)</f>
        <v>1.5457875453745427E-3</v>
      </c>
      <c r="E5" s="419">
        <f>SUM(E6:E11)</f>
        <v>6.7248038670071945E-4</v>
      </c>
      <c r="F5" s="432" t="s">
        <v>210</v>
      </c>
      <c r="G5" s="419">
        <f>SUM(G6:G11)</f>
        <v>0.35091936645144767</v>
      </c>
      <c r="H5" s="419">
        <f>SUM(H6:H11)</f>
        <v>7.7487707897022404E-2</v>
      </c>
      <c r="I5" s="434" t="s">
        <v>210</v>
      </c>
      <c r="J5" s="434" t="s">
        <v>210</v>
      </c>
      <c r="K5" s="434" t="s">
        <v>210</v>
      </c>
      <c r="L5" s="434" t="s">
        <v>210</v>
      </c>
      <c r="M5" s="419">
        <f>SUM(M6:M11)</f>
        <v>2.5642358755990007E-2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4.1949560306839945E-4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6.9941925841026872E-4</v>
      </c>
      <c r="E6" s="886">
        <f>vkm_GW_PW*SUMIFS(TableVerdeelsleutelVkm[LPG],TableVerdeelsleutelVkm[Voertuigtype],"Lichte voertuigen")*SUMIFS(TableECFTransport[EnergieConsumptieFactor (PJ per km)],TableECFTransport[Index],CONCATENATE($A6,"_LPG_LPG"))</f>
        <v>2.7729128905346707E-4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8.3332998039822567E-2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3.4300744588297127E-2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7.2164831978850808E-3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1.948069073189585E-6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7.7222685950079195E-2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5.6979164625000242E-7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4.4339960325563864E-3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5.9022918934344408E-5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1.3477607431810045E-4</v>
      </c>
      <c r="E8" s="422">
        <f>vkm_NGW_PW*SUMIFS(TableVerdeelsleutelVkm[LPG],TableVerdeelsleutelVkm[Voertuigtype],"Lichte voertuigen")*SUMIFS(TableECFTransport[EnergieConsumptieFactor (PJ per km)],TableECFTransport[Index],CONCATENATE($A8,"_LPG_LPG"))</f>
        <v>5.1161691682534138E-5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1.40837946571079E-2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6.5479387870994278E-3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1.2728641464601165E-3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4.2562278893360591E-8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2.1727114079808652E-3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1.5026334257900382E-8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1.2475334342109334E-4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5.0196167333393102E-4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7.1159221264617339E-4</v>
      </c>
      <c r="E10" s="422">
        <f>vkm_SW_PW*SUMIFS(TableVerdeelsleutelVkm[LPG],TableVerdeelsleutelVkm[Voertuigtype],"Lichte voertuigen")*SUMIFS(TableECFTransport[EnergieConsumptieFactor (PJ per km)],TableECFTransport[Index],CONCATENATE($A10,"_LPG_LPG"))</f>
        <v>3.4402740596471817E-4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9.3798035813029715E-2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3.663779160334156E-2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7.9830430606478708E-3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2.1527820303037551E-6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8.0309140583427405E-2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6.481003037677688E-7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4.6112189750194578E-3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273.50655797751716</v>
      </c>
      <c r="C14" s="21"/>
      <c r="D14" s="21">
        <f t="shared" ref="D14:M14" si="0">((D5)*10^9/3600)+D12</f>
        <v>429.38542927070631</v>
      </c>
      <c r="E14" s="21">
        <f t="shared" si="0"/>
        <v>186.80010741686652</v>
      </c>
      <c r="F14" s="21"/>
      <c r="G14" s="21">
        <f t="shared" si="0"/>
        <v>97477.601792068803</v>
      </c>
      <c r="H14" s="21">
        <f t="shared" si="0"/>
        <v>21524.363304728442</v>
      </c>
      <c r="I14" s="21"/>
      <c r="J14" s="21"/>
      <c r="K14" s="21"/>
      <c r="L14" s="21"/>
      <c r="M14" s="21">
        <f t="shared" si="0"/>
        <v>7122.8774322194458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0.18700769480588814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51.147830921668479</v>
      </c>
      <c r="C18" s="23"/>
      <c r="D18" s="23">
        <f t="shared" ref="D18:M18" si="1">D14*D16</f>
        <v>86.735856712682676</v>
      </c>
      <c r="E18" s="23">
        <f t="shared" si="1"/>
        <v>42.403624383628703</v>
      </c>
      <c r="F18" s="23"/>
      <c r="G18" s="23">
        <f t="shared" si="1"/>
        <v>26026.519678482371</v>
      </c>
      <c r="H18" s="23">
        <f t="shared" si="1"/>
        <v>5359.566462877382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1.486166098275658E-5</v>
      </c>
      <c r="C50" s="315">
        <f t="shared" ref="C50:P50" si="2">SUM(C51:C52)</f>
        <v>0</v>
      </c>
      <c r="D50" s="315">
        <f t="shared" si="2"/>
        <v>0</v>
      </c>
      <c r="E50" s="315">
        <f t="shared" si="2"/>
        <v>0</v>
      </c>
      <c r="F50" s="315">
        <f t="shared" si="2"/>
        <v>0</v>
      </c>
      <c r="G50" s="315">
        <f t="shared" si="2"/>
        <v>9.3038490746844135E-4</v>
      </c>
      <c r="H50" s="315">
        <f t="shared" si="2"/>
        <v>0</v>
      </c>
      <c r="I50" s="315">
        <f t="shared" si="2"/>
        <v>0</v>
      </c>
      <c r="J50" s="315">
        <f t="shared" si="2"/>
        <v>0</v>
      </c>
      <c r="K50" s="315">
        <f t="shared" si="2"/>
        <v>0</v>
      </c>
      <c r="L50" s="315">
        <f t="shared" si="2"/>
        <v>0</v>
      </c>
      <c r="M50" s="315">
        <f t="shared" si="2"/>
        <v>5.3420641298018785E-5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1.486166098275658E-5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9.3038490746844135E-4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5.3420641298018785E-5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4.1282391618768273</v>
      </c>
      <c r="C54" s="21">
        <f t="shared" ref="C54:P54" si="3">(C50)*10^9/3600</f>
        <v>0</v>
      </c>
      <c r="D54" s="21">
        <f t="shared" si="3"/>
        <v>0</v>
      </c>
      <c r="E54" s="21">
        <f t="shared" si="3"/>
        <v>0</v>
      </c>
      <c r="F54" s="21">
        <f t="shared" si="3"/>
        <v>0</v>
      </c>
      <c r="G54" s="21">
        <f t="shared" si="3"/>
        <v>258.44025207456701</v>
      </c>
      <c r="H54" s="21">
        <f t="shared" si="3"/>
        <v>0</v>
      </c>
      <c r="I54" s="21">
        <f t="shared" si="3"/>
        <v>0</v>
      </c>
      <c r="J54" s="21">
        <f t="shared" si="3"/>
        <v>0</v>
      </c>
      <c r="K54" s="21">
        <f t="shared" si="3"/>
        <v>0</v>
      </c>
      <c r="L54" s="21">
        <f t="shared" si="3"/>
        <v>0</v>
      </c>
      <c r="M54" s="21">
        <f t="shared" si="3"/>
        <v>14.83906702722744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0.18700769480588814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0.77201248926997712</v>
      </c>
      <c r="C58" s="23">
        <f t="shared" ref="C58:P58" ca="1" si="4">C54*C56</f>
        <v>0</v>
      </c>
      <c r="D58" s="23">
        <f t="shared" si="4"/>
        <v>0</v>
      </c>
      <c r="E58" s="23">
        <f t="shared" si="4"/>
        <v>0</v>
      </c>
      <c r="F58" s="23">
        <f t="shared" si="4"/>
        <v>0</v>
      </c>
      <c r="G58" s="23">
        <f t="shared" si="4"/>
        <v>69.0035473039094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9216.4826397643756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9216.4826397643756</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2021-06-29T14:17:05Z</dcterms:modified>
</cp:coreProperties>
</file>