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6" i="13"/>
  <c r="B34"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10" i="17"/>
  <c r="C12" i="17" s="1"/>
  <c r="D54" i="14" s="1"/>
  <c r="D56" i="14" s="1"/>
  <c r="C17" i="49"/>
  <c r="C18" i="15"/>
  <c r="C20" i="15" s="1"/>
  <c r="D40" i="14" s="1"/>
  <c r="C10" i="13"/>
  <c r="C12" i="13" s="1"/>
  <c r="D41" i="14" s="1"/>
  <c r="D46" i="14" s="1"/>
  <c r="D61" i="14" s="1"/>
  <c r="D63" i="14" s="1"/>
  <c r="C20" i="16"/>
  <c r="C22" i="16" s="1"/>
  <c r="D4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<sst xmlns="http://schemas.openxmlformats.org/spreadsheetml/2006/main" count="2436" uniqueCount="879">
  <si>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</si>
  <si>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</si>
  <si>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</si>
  <si>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</si>
  <si>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</si>
  <si>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</si>
  <si>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</si>
  <si>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</si>
  <si>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</si>
  <si>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</si>
  <si>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</si>
  <si>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</si>
  <si>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</si>
  <si>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</si>
  <si>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</si>
  <si>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</si>
  <si>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</si>
  <si>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</si>
  <si>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</si>
  <si>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</si>
  <si>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</si>
  <si>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</si>
  <si>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</si>
  <si>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</si>
  <si>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</si>
  <si>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</si>
  <si>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</si>
  <si>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</si>
  <si>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</si>
  <si>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</si>
  <si>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</si>
  <si>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</si>
  <si>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</si>
  <si>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</si>
  <si>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</si>
  <si>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</si>
  <si>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</si>
  <si>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</si>
  <si>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</si>
  <si>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</si>
  <si>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</si>
  <si>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</si>
  <si>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</si>
  <si>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</si>
  <si>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</si>
  <si>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</si>
  <si>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</si>
  <si>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</si>
  <si>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</si>
  <si>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</si>
  <si>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</si>
  <si>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</si>
  <si>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</si>
  <si>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</si>
  <si>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</si>
  <si>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</si>
  <si>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</si>
  <si>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</si>
  <si>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</si>
  <si>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</si>
  <si>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</si>
  <si>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</si>
  <si>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</si>
  <si>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</si>
  <si>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</si>
  <si>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</si>
  <si>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</si>
  <si>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</si>
  <si>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</si>
  <si>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</si>
  <si>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</si>
  <si>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</si>
  <si>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</si>
  <si>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</si>
  <si>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</si>
  <si>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</si>
  <si>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</si>
  <si>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</si>
  <si>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</si>
  <si>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</si>
  <si>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</si>
  <si>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</si>
  <si>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</si>
  <si>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</si>
  <si>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</si>
  <si>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</si>
  <si>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</si>
  <si>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</si>
  <si>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</si>
  <si>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</si>
  <si>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</si>
  <si>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</si>
  <si>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</si>
  <si>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</si>
  <si>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</si>
  <si>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</si>
  <si>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</si>
  <si>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</si>
  <si>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</si>
  <si>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</si>
  <si>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</si>
  <si>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</si>
  <si>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</si>
  <si>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</si>
  <si>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</si>
  <si>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</si>
  <si>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</si>
  <si>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</si>
  <si>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</si>
  <si>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</si>
  <si>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</si>
  <si>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</si>
  <si>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</si>
  <si>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</si>
  <si>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</si>
  <si>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</si>
  <si>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</si>
  <si>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</si>
  <si>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</si>
  <si>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</si>
  <si>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</si>
  <si>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</si>
  <si>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</si>
  <si>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</si>
  <si>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</si>
  <si>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</si>
  <si>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</si>
  <si>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</si>
  <si>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</si>
  <si>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</si>
  <si>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</si>
  <si>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</si>
  <si>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</si>
  <si>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</si>
  <si>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</si>
  <si>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</si>
  <si>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</si>
  <si>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</si>
  <si>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</si>
  <si>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</si>
  <si>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</si>
  <si>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</si>
  <si>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</si>
  <si>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</si>
  <si>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</si>
  <si>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</si>
  <si>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</si>
  <si>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</si>
  <si>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</si>
  <si>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</si>
  <si>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</si>
  <si>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</si>
  <si>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</si>
  <si>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</si>
  <si>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</si>
  <si>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</si>
  <si>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</si>
  <si>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</si>
  <si>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</si>
  <si>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</si>
  <si>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</si>
  <si>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</si>
  <si>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</si>
  <si>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</si>
  <si>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</si>
  <si>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</si>
  <si>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</si>
  <si>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</si>
  <si>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</si>
  <si>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</si>
  <si>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</si>
  <si>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</si>
  <si>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</si>
  <si>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</si>
  <si>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</si>
  <si>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</si>
  <si>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</si>
  <si>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</si>
  <si>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</si>
  <si>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</si>
  <si>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</si>
  <si>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</si>
  <si>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</si>
  <si>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</si>
  <si>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</si>
  <si>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</si>
  <si>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</si>
  <si>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</si>
  <si>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</si>
  <si>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</si>
  <si>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</si>
  <si>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</si>
  <si>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</si>
  <si>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</si>
  <si>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</si>
  <si>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</si>
  <si>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</si>
  <si>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</si>
  <si>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</si>
  <si>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</si>
  <si>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</si>
  <si>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</si>
  <si>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</si>
  <si>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</si>
  <si>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</si>
  <si>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</si>
  <si>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</si>
  <si>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</si>
  <si>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</si>
  <si>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</si>
  <si>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</si>
  <si>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</si>
  <si>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</si>
  <si>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</si>
  <si>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</si>
  <si>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</si>
  <si>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</si>
  <si>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</si>
  <si>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</si>
  <si>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</si>
  <si>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</si>
  <si>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</si>
  <si>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</si>
  <si>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</si>
  <si>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</si>
  <si>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</si>
  <si>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</si>
  <si>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</si>
  <si>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</si>
  <si>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</si>
  <si>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</si>
  <si>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</si>
  <si>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</si>
  <si>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</si>
  <si>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</si>
  <si>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</si>
  <si>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</si>
  <si>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</si>
  <si>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</si>
  <si>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</si>
  <si>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</si>
  <si>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</si>
  <si>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</si>
  <si>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</si>
  <si>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</si>
  <si>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</si>
  <si>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</si>
  <si>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</si>
  <si>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</si>
  <si>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</si>
  <si>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</si>
  <si>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</si>
  <si>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</si>
  <si>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</si>
  <si>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</si>
  <si>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</si>
  <si>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</si>
  <si>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</si>
  <si>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</si>
  <si>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</si>
  <si>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</si>
  <si>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</si>
  <si>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</si>
  <si>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</si>
  <si>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</si>
  <si>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</si>
  <si>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</si>
  <si>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</si>
  <si>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</si>
  <si>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</si>
  <si>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</si>
  <si>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</si>
  <si>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</si>
  <si>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</si>
  <si>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</si>
  <si>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</si>
  <si>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</si>
  <si>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</si>
  <si>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</si>
  <si>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</si>
  <si>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</si>
  <si>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</si>
  <si>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</si>
  <si>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</si>
  <si>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</si>
  <si>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</si>
  <si>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</si>
  <si>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</si>
  <si>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</si>
  <si>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</si>
  <si>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</si>
  <si>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</si>
  <si>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</si>
  <si>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</si>
  <si>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</si>
  <si>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</si>
  <si>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</si>
  <si>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</si>
  <si>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</si>
  <si>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</si>
  <si>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</si>
  <si>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</si>
  <si>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</si>
  <si>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</si>
  <si>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</si>
  <si>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</si>
  <si>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</si>
  <si>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</si>
  <si>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</si>
  <si>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</si>
  <si>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</si>
  <si>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</si>
  <si>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</si>
  <si>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</si>
  <si>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</si>
  <si>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</si>
  <si>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</si>
  <si>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</si>
  <si>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</si>
  <si>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</si>
  <si>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</si>
  <si>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</si>
  <si>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</si>
  <si>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</si>
  <si>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</si>
  <si>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</si>
  <si>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</si>
  <si>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</si>
  <si>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</si>
  <si>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</si>
  <si>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</si>
  <si>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</si>
  <si>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</si>
  <si>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</si>
  <si>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</si>
  <si>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</si>
  <si>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</si>
  <si>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</si>
  <si>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</si>
  <si>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</si>
  <si>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</si>
  <si>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</si>
  <si>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</si>
  <si>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</si>
  <si>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</si>
  <si>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</si>
  <si>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</si>
  <si>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</si>
  <si>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</si>
  <si>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</si>
  <si>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</si>
  <si>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</si>
  <si>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</si>
  <si>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</si>
  <si>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</si>
  <si>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</si>
  <si>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</si>
  <si>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</si>
  <si>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</si>
  <si>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</si>
  <si>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</si>
  <si>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</si>
  <si>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</si>
  <si>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</si>
  <si>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</si>
  <si>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</si>
  <si>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</si>
  <si>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</si>
  <si>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</si>
  <si>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</si>
  <si>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</si>
  <si>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</si>
  <si>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</si>
  <si>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</si>
  <si>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</si>
  <si>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</si>
  <si>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</si>
  <si>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</si>
  <si>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</si>
  <si>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</si>
  <si>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</si>
  <si>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</si>
  <si>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</si>
  <si>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</si>
  <si>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</si>
  <si>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</si>
  <si>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</si>
  <si>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</si>
  <si>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</si>
  <si>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</si>
  <si>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</si>
  <si>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</si>
  <si>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</si>
  <si>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</si>
  <si>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</si>
  <si>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</si>
  <si>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</si>
  <si>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</si>
  <si>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</si>
  <si>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</si>
  <si>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</si>
  <si>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</si>
  <si>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</si>
  <si>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</si>
  <si>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</si>
  <si>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</si>
  <si>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</si>
  <si>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</si>
  <si>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</si>
  <si>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</si>
  <si>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</si>
  <si>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</si>
  <si>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</si>
  <si>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</si>
  <si>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</si>
  <si>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</si>
  <si>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</si>
  <si>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</si>
  <si>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</si>
  <si>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</si>
  <si>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</si>
  <si>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</si>
  <si>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</si>
  <si>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</si>
  <si>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</si>
  <si>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</si>
  <si>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</si>
  <si>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</si>
  <si>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</si>
  <si>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</si>
  <si>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</si>
  <si>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</si>
  <si>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</si>
  <si>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</si>
  <si>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</si>
  <si>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</si>
  <si>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</si>
  <si>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</si>
  <si>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</si>
  <si>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</si>
  <si>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</si>
  <si>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</si>
  <si>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</si>
  <si>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</si>
  <si>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</si>
  <si>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</si>
  <si>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</si>
  <si>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</si>
  <si>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</si>
  <si>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</si>
  <si>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</si>
  <si>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</si>
  <si>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</si>
  <si>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</si>
  <si>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</si>
  <si>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</si>
  <si>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</si>
  <si>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</si>
  <si>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</si>
  <si>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</si>
  <si>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</si>
  <si>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</si>
  <si>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</si>
  <si>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</si>
  <si>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</si>
  <si>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</si>
  <si>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</si>
  <si>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</si>
  <si>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</si>
  <si>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</si>
  <si>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</si>
  <si>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</si>
  <si>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</si>
  <si>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</si>
  <si>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</si>
  <si>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</si>
  <si>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</si>
  <si>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</si>
  <si>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</si>
  <si>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</si>
  <si>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</si>
  <si>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</si>
  <si>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</si>
  <si>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</si>
  <si>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</si>
  <si>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</si>
  <si>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</si>
  <si>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</si>
  <si>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</si>
  <si>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</si>
  <si>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</si>
  <si>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</si>
  <si>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</si>
  <si>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</si>
  <si>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</si>
  <si>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</si>
  <si>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</si>
  <si>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</si>
  <si>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</si>
  <si>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</si>
  <si>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</si>
  <si>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</si>
  <si>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</si>
  <si>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</si>
  <si>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</si>
  <si>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</si>
  <si>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</si>
  <si>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</si>
  <si>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</si>
  <si>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</si>
  <si>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</si>
  <si>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</si>
  <si>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</si>
  <si>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</si>
  <si>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</si>
  <si>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</si>
  <si>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</si>
  <si>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</si>
  <si>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</si>
  <si>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</si>
  <si>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</si>
  <si>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</si>
  <si>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</si>
  <si>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</si>
  <si>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</si>
  <si>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</si>
  <si>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</si>
  <si>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</si>
  <si>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</si>
  <si>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</si>
  <si>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</si>
  <si>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</si>
  <si>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</si>
  <si>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</si>
  <si>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</si>
  <si>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</si>
  <si>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</si>
  <si>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</si>
  <si>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</si>
  <si>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</si>
  <si>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</si>
  <si>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</si>
  <si>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</si>
  <si>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</si>
  <si>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</si>
  <si>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</si>
  <si>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</si>
  <si>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</si>
  <si>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</si>
  <si>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</si>
  <si>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</si>
  <si>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</si>
  <si>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</si>
  <si>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</si>
  <si>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</si>
  <si>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</si>
  <si>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</si>
  <si>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</si>
  <si>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</si>
  <si>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</si>
  <si>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</si>
  <si>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</si>
  <si>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</si>
  <si>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</si>
  <si>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</si>
  <si>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</si>
  <si>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</si>
  <si>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</si>
  <si>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</si>
  <si>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</si>
  <si>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</si>
  <si>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</si>
  <si>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</si>
  <si>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</si>
  <si>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</si>
  <si>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</si>
  <si>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</si>
  <si>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</si>
  <si>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</si>
  <si>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</si>
  <si>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</si>
  <si>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</si>
  <si>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</si>
  <si>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</si>
  <si>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</si>
  <si>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</si>
  <si>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</si>
  <si>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</si>
  <si>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</si>
  <si>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</si>
  <si>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</si>
  <si>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</si>
  <si>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</si>
  <si>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</si>
  <si>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</si>
  <si>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</si>
  <si>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</si>
  <si>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</si>
  <si>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</si>
  <si>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</si>
  <si>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</si>
  <si>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</si>
  <si>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</si>
  <si>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</si>
  <si>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</si>
  <si>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</si>
  <si>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</si>
  <si>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</si>
  <si>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</si>
  <si>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</si>
  <si>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</si>
  <si>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</si>
  <si>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</si>
  <si>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</si>
  <si>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</si>
  <si>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</si>
  <si>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</si>
  <si>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</si>
  <si>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</si>
  <si>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</si>
  <si>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</si>
  <si>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</si>
  <si>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</si>
  <si>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</si>
  <si>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</si>
  <si>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</si>
  <si>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</si>
  <si>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</si>
  <si>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</si>
  <si>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</si>
  <si>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</si>
  <si>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</si>
  <si>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</si>
  <si>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</si>
  <si>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</si>
  <si>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</si>
  <si>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</si>
  <si>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</si>
  <si>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</si>
  <si>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</si>
  <si>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</si>
  <si>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</si>
  <si>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</si>
  <si>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</si>
  <si>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</si>
  <si>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</si>
  <si>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</si>
  <si>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</si>
  <si>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</si>
  <si>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</si>
  <si>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</si>
  <si>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</si>
  <si>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</si>
  <si>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</si>
  <si>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</si>
  <si>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</si>
  <si>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</si>
  <si>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</si>
  <si>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</si>
  <si>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</si>
  <si>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</si>
  <si>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</si>
  <si>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</si>
  <si>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</si>
  <si>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</si>
  <si>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</si>
  <si>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</si>
  <si>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</si>
  <si>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</si>
  <si>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</si>
  <si>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</si>
  <si>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</si>
  <si>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</si>
  <si>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</si>
  <si>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</si>
  <si>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</si>
  <si>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</si>
  <si>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</si>
  <si>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</si>
  <si>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</si>
  <si>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</si>
  <si>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</si>
  <si>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</si>
  <si>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</si>
  <si>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</si>
  <si>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</si>
  <si>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</si>
  <si>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</si>
  <si>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</si>
  <si>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</si>
  <si>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</si>
  <si>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</si>
  <si>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</si>
  <si>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</si>
  <si>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</si>
  <si>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</si>
  <si>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</si>
  <si>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</si>
  <si>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</si>
  <si>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</si>
  <si>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</si>
  <si>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</si>
  <si>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</si>
  <si>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</si>
  <si>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</si>
  <si>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</si>
  <si>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</si>
  <si>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</si>
  <si>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</si>
  <si>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</si>
  <si>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</si>
  <si>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</si>
  <si>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</si>
  <si>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</si>
  <si>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</si>
  <si>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</si>
  <si>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</si>
  <si>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</si>
  <si>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</si>
  <si>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</si>
  <si>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</si>
  <si>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</si>
  <si>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</si>
  <si>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</si>
  <si>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</si>
  <si>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</si>
  <si>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</si>
  <si>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</si>
  <si>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</si>
  <si>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</si>
  <si>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</si>
  <si>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</si>
  <si>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</si>
  <si>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</si>
  <si>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</si>
  <si>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</si>
  <si>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</si>
  <si>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</si>
  <si>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</si>
  <si>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</si>
  <si>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</si>
  <si>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</si>
  <si>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</si>
  <si>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</si>
  <si>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</si>
  <si>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</si>
  <si>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</si>
  <si>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</si>
  <si>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</si>
  <si>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</si>
  <si>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</si>
  <si>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</si>
  <si>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</si>
  <si>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</si>
  <si>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</si>
  <si>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</si>
  <si>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</si>
  <si>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</si>
  <si>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</si>
  <si>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</si>
  <si>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</si>
  <si>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</si>
  <si>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</si>
  <si>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</si>
  <si>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</si>
  <si>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</si>
  <si>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</si>
  <si>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</si>
  <si>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</si>
  <si>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</si>
  <si>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</si>
  <si>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</si>
  <si>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</si>
  <si>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</si>
  <si>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</si>
  <si>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</si>
  <si>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</si>
  <si>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</si>
  <si>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</si>
  <si>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</si>
  <si>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</si>
  <si>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</si>
  <si>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</si>
  <si>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</si>
  <si>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</si>
  <si>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</si>
  <si>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</si>
  <si>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</si>
  <si>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</si>
  <si>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</si>
  <si>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</si>
  <si>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</si>
  <si>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</si>
  <si>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</si>
  <si>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</si>
  <si>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</si>
  <si>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</si>
  <si>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</si>
  <si>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</si>
  <si>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</si>
  <si>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</si>
  <si>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</si>
  <si>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</si>
  <si>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</si>
  <si>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</si>
  <si>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</si>
  <si>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</si>
  <si>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</si>
  <si>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</si>
  <si>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</si>
  <si>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</si>
  <si>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</si>
  <si>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</si>
  <si>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</si>
  <si>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</si>
  <si>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</si>
  <si>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</si>
  <si>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</si>
  <si>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</si>
  <si>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</si>
  <si>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</si>
  <si>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</si>
  <si>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</si>
  <si>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</si>
  <si>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</si>
  <si>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</si>
  <si>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</si>
  <si>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</si>
  <si>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</si>
  <si>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</si>
  <si>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</si>
  <si>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</si>
  <si>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</si>
  <si>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</si>
  <si>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</si>
  <si>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</si>
  <si>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</si>
  <si>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</si>
  <si>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</si>
  <si>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</si>
  <si>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</si>
  <si>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</si>
  <si>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</si>
  <si>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</si>
  <si>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</si>
  <si>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</si>
  <si>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</si>
  <si>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</si>
  <si>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</si>
  <si>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</si>
  <si>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</si>
  <si>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</si>
  <si>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</si>
  <si>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</si>
  <si>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</si>
  <si>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</si>
  <si>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</si>
  <si>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</si>
  <si>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</si>
  <si>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</si>
  <si>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</si>
  <si>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</si>
  <si>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</si>
  <si>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</si>
  <si>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</si>
  <si>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</si>
  <si>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</si>
  <si>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</si>
  <si>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</si>
  <si>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</si>
  <si>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32030</t>
  </si>
  <si>
    <t>LO-RENINGE</t>
  </si>
  <si>
    <t>referentietaak LNE (2017); Jaarverslag De Lijn</t>
  </si>
  <si>
    <t>waterkracht</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</si>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</sst>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25349.2756515445</c:v>
                </c:pt>
                <c:pt idx="1">
                  <c:v>9017.3597779980646</c:v>
                </c:pt>
                <c:pt idx="2">
                  <c:v>206.822</c:v>
                </c:pt>
                <c:pt idx="3">
                  <c:v>25522.674830349966</c:v>
                </c:pt>
                <c:pt idx="4">
                  <c:v>6711.0164272849534</c:v>
                </c:pt>
                <c:pt idx="5">
                  <c:v>16379.432540465888</c:v>
                </c:pt>
                <c:pt idx="6">
                  <c:v>212.96066825145999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25349.2756515445</c:v>
                </c:pt>
                <c:pt idx="1">
                  <c:v>9017.3597779980646</c:v>
                </c:pt>
                <c:pt idx="2">
                  <c:v>206.822</c:v>
                </c:pt>
                <c:pt idx="3">
                  <c:v>25522.674830349966</c:v>
                </c:pt>
                <c:pt idx="4">
                  <c:v>6711.0164272849534</c:v>
                </c:pt>
                <c:pt idx="5">
                  <c:v>16379.432540465888</c:v>
                </c:pt>
                <c:pt idx="6">
                  <c:v>212.96066825145999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5178.2402171901958</c:v>
                </c:pt>
                <c:pt idx="1">
                  <c:v>1718.7470136097388</c:v>
                </c:pt>
                <c:pt idx="2">
                  <c:v>36.827002386533707</c:v>
                </c:pt>
                <c:pt idx="3">
                  <c:v>6403.0266994497924</c:v>
                </c:pt>
                <c:pt idx="4">
                  <c:v>1206.2970632438019</c:v>
                </c:pt>
                <c:pt idx="5">
                  <c:v>4048.3231331605248</c:v>
                </c:pt>
                <c:pt idx="6">
                  <c:v>53.537058337520811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5178.2402171901958</c:v>
                </c:pt>
                <c:pt idx="1">
                  <c:v>1718.7470136097388</c:v>
                </c:pt>
                <c:pt idx="2">
                  <c:v>36.827002386533707</c:v>
                </c:pt>
                <c:pt idx="3">
                  <c:v>6403.0266994497924</c:v>
                </c:pt>
                <c:pt idx="4">
                  <c:v>1206.2970632438019</c:v>
                </c:pt>
                <c:pt idx="5">
                  <c:v>4048.3231331605248</c:v>
                </c:pt>
                <c:pt idx="6">
                  <c:v>53.537058337520811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32030</v>
      </c>
      <c r="B6" s="386"/>
      <c r="C6" s="387"/>
    </row>
    <row r="7" spans="1:7" s="384" customFormat="1" ht="15.75" customHeight="1">
      <c r="A7" s="388" t="str">
        <f>txtMunicipality</f>
        <v>LO-RENINGE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3964.393812627126</v>
      </c>
      <c r="D10" s="683">
        <f ca="1">tertiair!C16</f>
        <v>0</v>
      </c>
      <c r="E10" s="683">
        <f ca="1">tertiair!D16</f>
        <v>4156.0179388797087</v>
      </c>
      <c r="F10" s="683">
        <f>tertiair!E16</f>
        <v>17.839300089445143</v>
      </c>
      <c r="G10" s="683">
        <f ca="1">tertiair!F16</f>
        <v>771.91663886463789</v>
      </c>
      <c r="H10" s="683">
        <f>tertiair!G16</f>
        <v>0</v>
      </c>
      <c r="I10" s="683">
        <f>tertiair!H16</f>
        <v>0</v>
      </c>
      <c r="J10" s="683">
        <f>tertiair!I16</f>
        <v>0</v>
      </c>
      <c r="K10" s="683">
        <f>tertiair!J16</f>
        <v>5.2415759749379186E-3</v>
      </c>
      <c r="L10" s="683">
        <f>tertiair!K16</f>
        <v>0</v>
      </c>
      <c r="M10" s="683">
        <f ca="1">tertiair!L16</f>
        <v>0</v>
      </c>
      <c r="N10" s="683">
        <f>tertiair!M16</f>
        <v>0</v>
      </c>
      <c r="O10" s="683">
        <f ca="1">tertiair!N16</f>
        <v>204.03330858234108</v>
      </c>
      <c r="P10" s="683">
        <f>tertiair!O16</f>
        <v>4.8972607658411542</v>
      </c>
      <c r="Q10" s="684">
        <f>tertiair!P16</f>
        <v>105.07827661299004</v>
      </c>
      <c r="R10" s="686">
        <f ca="1">SUM(C10:Q10)</f>
        <v>9224.1817779980647</v>
      </c>
      <c r="S10" s="67"/>
    </row>
    <row r="11" spans="1:19" s="445" customFormat="1">
      <c r="A11" s="804" t="s">
        <v>220</v>
      </c>
      <c r="B11" s="809"/>
      <c r="C11" s="683">
        <f>huishoudens!B8</f>
        <v>5637.4684653554168</v>
      </c>
      <c r="D11" s="683">
        <f>huishoudens!C8</f>
        <v>0</v>
      </c>
      <c r="E11" s="683">
        <f>huishoudens!D8</f>
        <v>7623.9325218728491</v>
      </c>
      <c r="F11" s="683">
        <f>huishoudens!E8</f>
        <v>430.43771428989396</v>
      </c>
      <c r="G11" s="683">
        <f>huishoudens!F8</f>
        <v>9429.4291026405681</v>
      </c>
      <c r="H11" s="683">
        <f>huishoudens!G8</f>
        <v>0</v>
      </c>
      <c r="I11" s="683">
        <f>huishoudens!H8</f>
        <v>0</v>
      </c>
      <c r="J11" s="683">
        <f>huishoudens!I8</f>
        <v>0</v>
      </c>
      <c r="K11" s="683">
        <f>huishoudens!J8</f>
        <v>53.739347788047681</v>
      </c>
      <c r="L11" s="683">
        <f>huishoudens!K8</f>
        <v>0</v>
      </c>
      <c r="M11" s="683">
        <f>huishoudens!L8</f>
        <v>0</v>
      </c>
      <c r="N11" s="683">
        <f>huishoudens!M8</f>
        <v>0</v>
      </c>
      <c r="O11" s="683">
        <f>huishoudens!N8</f>
        <v>1775.868904400143</v>
      </c>
      <c r="P11" s="683">
        <f>huishoudens!O8</f>
        <v>166.65249042851067</v>
      </c>
      <c r="Q11" s="684">
        <f>huishoudens!P8</f>
        <v>231.74710476907052</v>
      </c>
      <c r="R11" s="686">
        <f>SUM(C11:Q11)</f>
        <v>25349.2756515445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5691.943374559225</v>
      </c>
      <c r="D13" s="683">
        <f>industrie!C18</f>
        <v>0</v>
      </c>
      <c r="E13" s="683">
        <f>industrie!D18</f>
        <v>362.73566537459732</v>
      </c>
      <c r="F13" s="683">
        <f>industrie!E18</f>
        <v>16.192035289819245</v>
      </c>
      <c r="G13" s="683">
        <f>industrie!F18</f>
        <v>432.62704390931714</v>
      </c>
      <c r="H13" s="683">
        <f>industrie!G18</f>
        <v>0</v>
      </c>
      <c r="I13" s="683">
        <f>industrie!H18</f>
        <v>0</v>
      </c>
      <c r="J13" s="683">
        <f>industrie!I18</f>
        <v>0</v>
      </c>
      <c r="K13" s="683">
        <f>industrie!J18</f>
        <v>0.9106883842210578</v>
      </c>
      <c r="L13" s="683">
        <f>industrie!K18</f>
        <v>0</v>
      </c>
      <c r="M13" s="683">
        <f>industrie!L18</f>
        <v>0</v>
      </c>
      <c r="N13" s="683">
        <f>industrie!M18</f>
        <v>0</v>
      </c>
      <c r="O13" s="683">
        <f>industrie!N18</f>
        <v>206.60761976777314</v>
      </c>
      <c r="P13" s="683">
        <f>industrie!O18</f>
        <v>0</v>
      </c>
      <c r="Q13" s="684">
        <f>industrie!P18</f>
        <v>0</v>
      </c>
      <c r="R13" s="686">
        <f>SUM(C13:Q13)</f>
        <v>6711.0164272849534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15293.805652541767</v>
      </c>
      <c r="D16" s="719">
        <f t="shared" ref="D16:R16" ca="1" si="0">SUM(D9:D15)</f>
        <v>0</v>
      </c>
      <c r="E16" s="719">
        <f t="shared" ca="1" si="0"/>
        <v>12142.686126127155</v>
      </c>
      <c r="F16" s="719">
        <f t="shared" si="0"/>
        <v>464.46904966915838</v>
      </c>
      <c r="G16" s="719">
        <f t="shared" ca="1" si="0"/>
        <v>10633.972785414522</v>
      </c>
      <c r="H16" s="719">
        <f t="shared" si="0"/>
        <v>0</v>
      </c>
      <c r="I16" s="719">
        <f t="shared" si="0"/>
        <v>0</v>
      </c>
      <c r="J16" s="719">
        <f t="shared" si="0"/>
        <v>0</v>
      </c>
      <c r="K16" s="719">
        <f t="shared" si="0"/>
        <v>54.655277748243677</v>
      </c>
      <c r="L16" s="719">
        <f t="shared" si="0"/>
        <v>0</v>
      </c>
      <c r="M16" s="719">
        <f t="shared" ca="1" si="0"/>
        <v>0</v>
      </c>
      <c r="N16" s="719">
        <f t="shared" si="0"/>
        <v>0</v>
      </c>
      <c r="O16" s="719">
        <f t="shared" ca="1" si="0"/>
        <v>2186.5098327502574</v>
      </c>
      <c r="P16" s="719">
        <f t="shared" si="0"/>
        <v>171.54975119435184</v>
      </c>
      <c r="Q16" s="719">
        <f t="shared" si="0"/>
        <v>336.82538138206053</v>
      </c>
      <c r="R16" s="719">
        <f t="shared" ca="1" si="0"/>
        <v>41284.473856827513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3.1691730972215124</v>
      </c>
      <c r="D19" s="683">
        <f>transport!C54</f>
        <v>0</v>
      </c>
      <c r="E19" s="683">
        <f>transport!D54</f>
        <v>0</v>
      </c>
      <c r="F19" s="683">
        <f>transport!E54</f>
        <v>0</v>
      </c>
      <c r="G19" s="683">
        <f>transport!F54</f>
        <v>0</v>
      </c>
      <c r="H19" s="683">
        <f>transport!G54</f>
        <v>198.39981696736334</v>
      </c>
      <c r="I19" s="683">
        <f>transport!H54</f>
        <v>0</v>
      </c>
      <c r="J19" s="683">
        <f>transport!I54</f>
        <v>0</v>
      </c>
      <c r="K19" s="683">
        <f>transport!J54</f>
        <v>0</v>
      </c>
      <c r="L19" s="683">
        <f>transport!K54</f>
        <v>0</v>
      </c>
      <c r="M19" s="683">
        <f>transport!L54</f>
        <v>0</v>
      </c>
      <c r="N19" s="683">
        <f>transport!M54</f>
        <v>11.391678186875151</v>
      </c>
      <c r="O19" s="683">
        <f>transport!N54</f>
        <v>0</v>
      </c>
      <c r="P19" s="683">
        <f>transport!O54</f>
        <v>0</v>
      </c>
      <c r="Q19" s="684">
        <f>transport!P54</f>
        <v>0</v>
      </c>
      <c r="R19" s="686">
        <f>SUM(C19:Q19)</f>
        <v>212.96066825145999</v>
      </c>
      <c r="S19" s="67"/>
    </row>
    <row r="20" spans="1:19" s="445" customFormat="1">
      <c r="A20" s="804" t="s">
        <v>302</v>
      </c>
      <c r="B20" s="809"/>
      <c r="C20" s="683">
        <f>transport!B14</f>
        <v>37.075593831913359</v>
      </c>
      <c r="D20" s="683">
        <f>transport!C14</f>
        <v>0</v>
      </c>
      <c r="E20" s="683">
        <f>transport!D14</f>
        <v>76.857196067248296</v>
      </c>
      <c r="F20" s="683">
        <f>transport!E14</f>
        <v>29.523541389029759</v>
      </c>
      <c r="G20" s="683">
        <f>transport!F14</f>
        <v>0</v>
      </c>
      <c r="H20" s="683">
        <f>transport!G14</f>
        <v>11563.157200341207</v>
      </c>
      <c r="I20" s="683">
        <f>transport!H14</f>
        <v>3743.4997319797485</v>
      </c>
      <c r="J20" s="683">
        <f>transport!I14</f>
        <v>0</v>
      </c>
      <c r="K20" s="683">
        <f>transport!J14</f>
        <v>0</v>
      </c>
      <c r="L20" s="683">
        <f>transport!K14</f>
        <v>0</v>
      </c>
      <c r="M20" s="683">
        <f>transport!L14</f>
        <v>0</v>
      </c>
      <c r="N20" s="683">
        <f>transport!M14</f>
        <v>929.31927685674145</v>
      </c>
      <c r="O20" s="683">
        <f>transport!N14</f>
        <v>0</v>
      </c>
      <c r="P20" s="683">
        <f>transport!O14</f>
        <v>0</v>
      </c>
      <c r="Q20" s="684">
        <f>transport!P14</f>
        <v>0</v>
      </c>
      <c r="R20" s="686">
        <f>SUM(C20:Q20)</f>
        <v>16379.432540465888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40.244766929134869</v>
      </c>
      <c r="D22" s="807">
        <f t="shared" ref="D22:R22" si="1">SUM(D18:D21)</f>
        <v>0</v>
      </c>
      <c r="E22" s="807">
        <f t="shared" si="1"/>
        <v>76.857196067248296</v>
      </c>
      <c r="F22" s="807">
        <f t="shared" si="1"/>
        <v>29.523541389029759</v>
      </c>
      <c r="G22" s="807">
        <f t="shared" si="1"/>
        <v>0</v>
      </c>
      <c r="H22" s="807">
        <f t="shared" si="1"/>
        <v>11761.557017308571</v>
      </c>
      <c r="I22" s="807">
        <f t="shared" si="1"/>
        <v>3743.4997319797485</v>
      </c>
      <c r="J22" s="807">
        <f t="shared" si="1"/>
        <v>0</v>
      </c>
      <c r="K22" s="807">
        <f t="shared" si="1"/>
        <v>0</v>
      </c>
      <c r="L22" s="807">
        <f t="shared" si="1"/>
        <v>0</v>
      </c>
      <c r="M22" s="807">
        <f t="shared" si="1"/>
        <v>0</v>
      </c>
      <c r="N22" s="807">
        <f t="shared" si="1"/>
        <v>940.71095504361665</v>
      </c>
      <c r="O22" s="807">
        <f t="shared" si="1"/>
        <v>0</v>
      </c>
      <c r="P22" s="807">
        <f t="shared" si="1"/>
        <v>0</v>
      </c>
      <c r="Q22" s="807">
        <f t="shared" si="1"/>
        <v>0</v>
      </c>
      <c r="R22" s="807">
        <f t="shared" si="1"/>
        <v>16592.393208717349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5696.8420804569196</v>
      </c>
      <c r="D24" s="683">
        <f>+landbouw!C8</f>
        <v>62.357142857142847</v>
      </c>
      <c r="E24" s="683">
        <f>+landbouw!D8</f>
        <v>118.52111249588525</v>
      </c>
      <c r="F24" s="683">
        <f>+landbouw!E8</f>
        <v>163.1671980061227</v>
      </c>
      <c r="G24" s="683">
        <f>+landbouw!F8</f>
        <v>18033.259249941853</v>
      </c>
      <c r="H24" s="683">
        <f>+landbouw!G8</f>
        <v>0</v>
      </c>
      <c r="I24" s="683">
        <f>+landbouw!H8</f>
        <v>0</v>
      </c>
      <c r="J24" s="683">
        <f>+landbouw!I8</f>
        <v>0</v>
      </c>
      <c r="K24" s="683">
        <f>+landbouw!J8</f>
        <v>1448.5280465920398</v>
      </c>
      <c r="L24" s="683">
        <f>+landbouw!K8</f>
        <v>0</v>
      </c>
      <c r="M24" s="683">
        <f>+landbouw!L8</f>
        <v>0</v>
      </c>
      <c r="N24" s="683">
        <f>+landbouw!M8</f>
        <v>0</v>
      </c>
      <c r="O24" s="683">
        <f>+landbouw!N8</f>
        <v>0</v>
      </c>
      <c r="P24" s="683">
        <f>+landbouw!O8</f>
        <v>0</v>
      </c>
      <c r="Q24" s="684">
        <f>+landbouw!P8</f>
        <v>0</v>
      </c>
      <c r="R24" s="686">
        <f>SUM(C24:Q24)</f>
        <v>25522.674830349966</v>
      </c>
      <c r="S24" s="67"/>
    </row>
    <row r="25" spans="1:19" s="445" customFormat="1" ht="15" thickBot="1">
      <c r="A25" s="826" t="s">
        <v>696</v>
      </c>
      <c r="B25" s="939"/>
      <c r="C25" s="940">
        <f>IF(Onbekend_ele_kWh="---",0,Onbekend_ele_kWh)/1000+IF(REST_rest_ele_kWh="---",0,REST_rest_ele_kWh)/1000</f>
        <v>181.057773680624</v>
      </c>
      <c r="D25" s="940"/>
      <c r="E25" s="940">
        <f>IF(onbekend_gas_kWh="---",0,onbekend_gas_kWh)/1000+IF(REST_rest_gas_kWh="---",0,REST_rest_gas_kWh)/1000</f>
        <v>460.97431681037398</v>
      </c>
      <c r="F25" s="940"/>
      <c r="G25" s="940"/>
      <c r="H25" s="940"/>
      <c r="I25" s="940"/>
      <c r="J25" s="940"/>
      <c r="K25" s="940"/>
      <c r="L25" s="940"/>
      <c r="M25" s="940"/>
      <c r="N25" s="940"/>
      <c r="O25" s="940"/>
      <c r="P25" s="940"/>
      <c r="Q25" s="941"/>
      <c r="R25" s="686">
        <f>SUM(C25:Q25)</f>
        <v>642.03209049099792</v>
      </c>
      <c r="S25" s="67"/>
    </row>
    <row r="26" spans="1:19" s="445" customFormat="1" ht="15.75" thickBot="1">
      <c r="A26" s="691" t="s">
        <v>697</v>
      </c>
      <c r="B26" s="812"/>
      <c r="C26" s="807">
        <f>SUM(C24:C25)</f>
        <v>5877.899854137544</v>
      </c>
      <c r="D26" s="807">
        <f t="shared" ref="D26:R26" si="2">SUM(D24:D25)</f>
        <v>62.357142857142847</v>
      </c>
      <c r="E26" s="807">
        <f t="shared" si="2"/>
        <v>579.49542930625921</v>
      </c>
      <c r="F26" s="807">
        <f t="shared" si="2"/>
        <v>163.1671980061227</v>
      </c>
      <c r="G26" s="807">
        <f t="shared" si="2"/>
        <v>18033.259249941853</v>
      </c>
      <c r="H26" s="807">
        <f t="shared" si="2"/>
        <v>0</v>
      </c>
      <c r="I26" s="807">
        <f t="shared" si="2"/>
        <v>0</v>
      </c>
      <c r="J26" s="807">
        <f t="shared" si="2"/>
        <v>0</v>
      </c>
      <c r="K26" s="807">
        <f t="shared" si="2"/>
        <v>1448.5280465920398</v>
      </c>
      <c r="L26" s="807">
        <f t="shared" si="2"/>
        <v>0</v>
      </c>
      <c r="M26" s="807">
        <f t="shared" si="2"/>
        <v>0</v>
      </c>
      <c r="N26" s="807">
        <f t="shared" si="2"/>
        <v>0</v>
      </c>
      <c r="O26" s="807">
        <f t="shared" si="2"/>
        <v>0</v>
      </c>
      <c r="P26" s="807">
        <f t="shared" si="2"/>
        <v>0</v>
      </c>
      <c r="Q26" s="807">
        <f t="shared" si="2"/>
        <v>0</v>
      </c>
      <c r="R26" s="807">
        <f t="shared" si="2"/>
        <v>26164.706920840963</v>
      </c>
      <c r="S26" s="67"/>
    </row>
    <row r="27" spans="1:19" s="445" customFormat="1" ht="17.25" thickTop="1" thickBot="1">
      <c r="A27" s="692" t="s">
        <v>115</v>
      </c>
      <c r="B27" s="799"/>
      <c r="C27" s="693">
        <f ca="1">C22+C16+C26</f>
        <v>21211.950273608447</v>
      </c>
      <c r="D27" s="693">
        <f t="shared" ref="D27:R27" ca="1" si="3">D22+D16+D26</f>
        <v>62.357142857142847</v>
      </c>
      <c r="E27" s="693">
        <f t="shared" ca="1" si="3"/>
        <v>12799.038751500662</v>
      </c>
      <c r="F27" s="693">
        <f t="shared" si="3"/>
        <v>657.15978906431087</v>
      </c>
      <c r="G27" s="693">
        <f t="shared" ca="1" si="3"/>
        <v>28667.232035356377</v>
      </c>
      <c r="H27" s="693">
        <f t="shared" si="3"/>
        <v>11761.557017308571</v>
      </c>
      <c r="I27" s="693">
        <f t="shared" si="3"/>
        <v>3743.4997319797485</v>
      </c>
      <c r="J27" s="693">
        <f t="shared" si="3"/>
        <v>0</v>
      </c>
      <c r="K27" s="693">
        <f t="shared" si="3"/>
        <v>1503.1833243402834</v>
      </c>
      <c r="L27" s="693">
        <f t="shared" si="3"/>
        <v>0</v>
      </c>
      <c r="M27" s="693">
        <f t="shared" ca="1" si="3"/>
        <v>0</v>
      </c>
      <c r="N27" s="693">
        <f t="shared" si="3"/>
        <v>940.71095504361665</v>
      </c>
      <c r="O27" s="693">
        <f t="shared" ca="1" si="3"/>
        <v>2186.5098327502574</v>
      </c>
      <c r="P27" s="693">
        <f t="shared" si="3"/>
        <v>171.54975119435184</v>
      </c>
      <c r="Q27" s="693">
        <f t="shared" si="3"/>
        <v>336.82538138206053</v>
      </c>
      <c r="R27" s="693">
        <f t="shared" ca="1" si="3"/>
        <v>84041.573986385833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705.90527312751351</v>
      </c>
      <c r="D40" s="683">
        <f ca="1">tertiair!C20</f>
        <v>0</v>
      </c>
      <c r="E40" s="683">
        <f ca="1">tertiair!D20</f>
        <v>839.51562365370125</v>
      </c>
      <c r="F40" s="683">
        <f>tertiair!E20</f>
        <v>4.0495211203040471</v>
      </c>
      <c r="G40" s="683">
        <f ca="1">tertiair!F20</f>
        <v>206.10174257685833</v>
      </c>
      <c r="H40" s="683">
        <f>tertiair!G20</f>
        <v>0</v>
      </c>
      <c r="I40" s="683">
        <f>tertiair!H20</f>
        <v>0</v>
      </c>
      <c r="J40" s="683">
        <f>tertiair!I20</f>
        <v>0</v>
      </c>
      <c r="K40" s="683">
        <f>tertiair!J20</f>
        <v>1.855517895128023E-3</v>
      </c>
      <c r="L40" s="683">
        <f>tertiair!K20</f>
        <v>0</v>
      </c>
      <c r="M40" s="683">
        <f ca="1">tertiair!L20</f>
        <v>0</v>
      </c>
      <c r="N40" s="683">
        <f>tertiair!M20</f>
        <v>0</v>
      </c>
      <c r="O40" s="683">
        <f ca="1">tertiair!N20</f>
        <v>0</v>
      </c>
      <c r="P40" s="683">
        <f>tertiair!O20</f>
        <v>0</v>
      </c>
      <c r="Q40" s="766">
        <f>tertiair!P20</f>
        <v>0</v>
      </c>
      <c r="R40" s="845">
        <f t="shared" ca="1" si="4"/>
        <v>1755.5740159962722</v>
      </c>
    </row>
    <row r="41" spans="1:18">
      <c r="A41" s="817" t="s">
        <v>220</v>
      </c>
      <c r="B41" s="824"/>
      <c r="C41" s="683">
        <f ca="1">huishoudens!B12</f>
        <v>1003.8151871060739</v>
      </c>
      <c r="D41" s="683">
        <f ca="1">huishoudens!C12</f>
        <v>0</v>
      </c>
      <c r="E41" s="683">
        <f>huishoudens!D12</f>
        <v>1540.0343694183157</v>
      </c>
      <c r="F41" s="683">
        <f>huishoudens!E12</f>
        <v>97.709361143805936</v>
      </c>
      <c r="G41" s="683">
        <f>huishoudens!F12</f>
        <v>2517.6575704050319</v>
      </c>
      <c r="H41" s="683">
        <f>huishoudens!G12</f>
        <v>0</v>
      </c>
      <c r="I41" s="683">
        <f>huishoudens!H12</f>
        <v>0</v>
      </c>
      <c r="J41" s="683">
        <f>huishoudens!I12</f>
        <v>0</v>
      </c>
      <c r="K41" s="683">
        <f>huishoudens!J12</f>
        <v>19.023729116968877</v>
      </c>
      <c r="L41" s="683">
        <f>huishoudens!K12</f>
        <v>0</v>
      </c>
      <c r="M41" s="683">
        <f>huishoudens!L12</f>
        <v>0</v>
      </c>
      <c r="N41" s="683">
        <f>huishoudens!M12</f>
        <v>0</v>
      </c>
      <c r="O41" s="683">
        <f>huishoudens!N12</f>
        <v>0</v>
      </c>
      <c r="P41" s="683">
        <f>huishoudens!O12</f>
        <v>0</v>
      </c>
      <c r="Q41" s="766">
        <f>huishoudens!P12</f>
        <v>0</v>
      </c>
      <c r="R41" s="845">
        <f t="shared" ca="1" si="4"/>
        <v>5178.2402171901958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1013.5150624155423</v>
      </c>
      <c r="D43" s="683">
        <f ca="1">industrie!C22</f>
        <v>0</v>
      </c>
      <c r="E43" s="683">
        <f>industrie!D22</f>
        <v>73.272604405668659</v>
      </c>
      <c r="F43" s="683">
        <f>industrie!E22</f>
        <v>3.6755920107889688</v>
      </c>
      <c r="G43" s="683">
        <f>industrie!F22</f>
        <v>115.51142072378768</v>
      </c>
      <c r="H43" s="683">
        <f>industrie!G22</f>
        <v>0</v>
      </c>
      <c r="I43" s="683">
        <f>industrie!H22</f>
        <v>0</v>
      </c>
      <c r="J43" s="683">
        <f>industrie!I22</f>
        <v>0</v>
      </c>
      <c r="K43" s="683">
        <f>industrie!J22</f>
        <v>0.32238368801425443</v>
      </c>
      <c r="L43" s="683">
        <f>industrie!K22</f>
        <v>0</v>
      </c>
      <c r="M43" s="683">
        <f>industrie!L22</f>
        <v>0</v>
      </c>
      <c r="N43" s="683">
        <f>industrie!M22</f>
        <v>0</v>
      </c>
      <c r="O43" s="683">
        <f>industrie!N22</f>
        <v>0</v>
      </c>
      <c r="P43" s="683">
        <f>industrie!O22</f>
        <v>0</v>
      </c>
      <c r="Q43" s="766">
        <f>industrie!P22</f>
        <v>0</v>
      </c>
      <c r="R43" s="844">
        <f t="shared" ca="1" si="4"/>
        <v>1206.2970632438019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2723.2355226491295</v>
      </c>
      <c r="D46" s="719">
        <f t="shared" ref="D46:Q46" ca="1" si="5">SUM(D39:D45)</f>
        <v>0</v>
      </c>
      <c r="E46" s="719">
        <f t="shared" ca="1" si="5"/>
        <v>2452.8225974776856</v>
      </c>
      <c r="F46" s="719">
        <f t="shared" si="5"/>
        <v>105.43447427489896</v>
      </c>
      <c r="G46" s="719">
        <f t="shared" ca="1" si="5"/>
        <v>2839.2707337056777</v>
      </c>
      <c r="H46" s="719">
        <f t="shared" si="5"/>
        <v>0</v>
      </c>
      <c r="I46" s="719">
        <f t="shared" si="5"/>
        <v>0</v>
      </c>
      <c r="J46" s="719">
        <f t="shared" si="5"/>
        <v>0</v>
      </c>
      <c r="K46" s="719">
        <f t="shared" si="5"/>
        <v>19.347968322878259</v>
      </c>
      <c r="L46" s="719">
        <f t="shared" si="5"/>
        <v>0</v>
      </c>
      <c r="M46" s="719">
        <f t="shared" ca="1" si="5"/>
        <v>0</v>
      </c>
      <c r="N46" s="719">
        <f t="shared" si="5"/>
        <v>0</v>
      </c>
      <c r="O46" s="719">
        <f t="shared" ca="1" si="5"/>
        <v>0</v>
      </c>
      <c r="P46" s="719">
        <f t="shared" si="5"/>
        <v>0</v>
      </c>
      <c r="Q46" s="719">
        <f t="shared" si="5"/>
        <v>0</v>
      </c>
      <c r="R46" s="719">
        <f ca="1">SUM(R39:R45)</f>
        <v>8140.1112964302702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0.56430720723479633</v>
      </c>
      <c r="D49" s="683">
        <f ca="1">transport!C58</f>
        <v>0</v>
      </c>
      <c r="E49" s="683">
        <f>transport!D58</f>
        <v>0</v>
      </c>
      <c r="F49" s="683">
        <f>transport!E58</f>
        <v>0</v>
      </c>
      <c r="G49" s="683">
        <f>transport!F58</f>
        <v>0</v>
      </c>
      <c r="H49" s="683">
        <f>transport!G58</f>
        <v>52.972751130286014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53.537058337520811</v>
      </c>
    </row>
    <row r="50" spans="1:18">
      <c r="A50" s="820" t="s">
        <v>302</v>
      </c>
      <c r="B50" s="830"/>
      <c r="C50" s="689">
        <f ca="1">transport!B18</f>
        <v>6.6017299055711067</v>
      </c>
      <c r="D50" s="689">
        <f>transport!C18</f>
        <v>0</v>
      </c>
      <c r="E50" s="689">
        <f>transport!D18</f>
        <v>15.525153605584157</v>
      </c>
      <c r="F50" s="689">
        <f>transport!E18</f>
        <v>6.7018438953097554</v>
      </c>
      <c r="G50" s="689">
        <f>transport!F18</f>
        <v>0</v>
      </c>
      <c r="H50" s="689">
        <f>transport!G18</f>
        <v>3087.3629724911025</v>
      </c>
      <c r="I50" s="689">
        <f>transport!H18</f>
        <v>932.13143326295733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4048.3231331605248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7.1660371128059026</v>
      </c>
      <c r="D52" s="719">
        <f t="shared" ref="D52:Q52" ca="1" si="6">SUM(D48:D51)</f>
        <v>0</v>
      </c>
      <c r="E52" s="719">
        <f t="shared" si="6"/>
        <v>15.525153605584157</v>
      </c>
      <c r="F52" s="719">
        <f t="shared" si="6"/>
        <v>6.7018438953097554</v>
      </c>
      <c r="G52" s="719">
        <f t="shared" si="6"/>
        <v>0</v>
      </c>
      <c r="H52" s="719">
        <f t="shared" si="6"/>
        <v>3140.3357236213883</v>
      </c>
      <c r="I52" s="719">
        <f t="shared" si="6"/>
        <v>932.13143326295733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4101.8601914980454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1014.3873325501764</v>
      </c>
      <c r="D54" s="689">
        <f ca="1">+landbouw!C12</f>
        <v>0</v>
      </c>
      <c r="E54" s="689">
        <f>+landbouw!D12</f>
        <v>23.941264724168821</v>
      </c>
      <c r="F54" s="689">
        <f>+landbouw!E12</f>
        <v>37.038953947389857</v>
      </c>
      <c r="G54" s="689">
        <f>+landbouw!F12</f>
        <v>4814.8802197344748</v>
      </c>
      <c r="H54" s="689">
        <f>+landbouw!G12</f>
        <v>0</v>
      </c>
      <c r="I54" s="689">
        <f>+landbouw!H12</f>
        <v>0</v>
      </c>
      <c r="J54" s="689">
        <f>+landbouw!I12</f>
        <v>0</v>
      </c>
      <c r="K54" s="689">
        <f>+landbouw!J12</f>
        <v>512.77892849358204</v>
      </c>
      <c r="L54" s="689">
        <f>+landbouw!K12</f>
        <v>0</v>
      </c>
      <c r="M54" s="689">
        <f>+landbouw!L12</f>
        <v>0</v>
      </c>
      <c r="N54" s="689">
        <f>+landbouw!M12</f>
        <v>0</v>
      </c>
      <c r="O54" s="689">
        <f>+landbouw!N12</f>
        <v>0</v>
      </c>
      <c r="P54" s="689">
        <f>+landbouw!O12</f>
        <v>0</v>
      </c>
      <c r="Q54" s="690">
        <f>+landbouw!P12</f>
        <v>0</v>
      </c>
      <c r="R54" s="718">
        <f ca="1">SUM(C54:Q54)</f>
        <v>6403.0266994497924</v>
      </c>
    </row>
    <row r="55" spans="1:18" ht="15" thickBot="1">
      <c r="A55" s="820" t="s">
        <v>696</v>
      </c>
      <c r="B55" s="830"/>
      <c r="C55" s="689">
        <f ca="1">C25*'EF ele_warmte'!B12</f>
        <v>32.239389733378552</v>
      </c>
      <c r="D55" s="689"/>
      <c r="E55" s="689">
        <f>E25*EF_CO2_aardgas</f>
        <v>93.116811995695556</v>
      </c>
      <c r="F55" s="689"/>
      <c r="G55" s="689"/>
      <c r="H55" s="689"/>
      <c r="I55" s="689"/>
      <c r="J55" s="689"/>
      <c r="K55" s="689"/>
      <c r="L55" s="689"/>
      <c r="M55" s="689"/>
      <c r="N55" s="689"/>
      <c r="O55" s="689"/>
      <c r="P55" s="689"/>
      <c r="Q55" s="690"/>
      <c r="R55" s="718">
        <f ca="1">SUM(C55:Q55)</f>
        <v>125.35620172907412</v>
      </c>
    </row>
    <row r="56" spans="1:18" ht="15.75" thickBot="1">
      <c r="A56" s="818" t="s">
        <v>697</v>
      </c>
      <c r="B56" s="831"/>
      <c r="C56" s="719">
        <f ca="1">SUM(C54:C55)</f>
        <v>1046.626722283555</v>
      </c>
      <c r="D56" s="719">
        <f t="shared" ref="D56:Q56" ca="1" si="7">SUM(D54:D55)</f>
        <v>0</v>
      </c>
      <c r="E56" s="719">
        <f t="shared" si="7"/>
        <v>117.05807671986437</v>
      </c>
      <c r="F56" s="719">
        <f t="shared" si="7"/>
        <v>37.038953947389857</v>
      </c>
      <c r="G56" s="719">
        <f t="shared" si="7"/>
        <v>4814.8802197344748</v>
      </c>
      <c r="H56" s="719">
        <f t="shared" si="7"/>
        <v>0</v>
      </c>
      <c r="I56" s="719">
        <f t="shared" si="7"/>
        <v>0</v>
      </c>
      <c r="J56" s="719">
        <f t="shared" si="7"/>
        <v>0</v>
      </c>
      <c r="K56" s="719">
        <f t="shared" si="7"/>
        <v>512.77892849358204</v>
      </c>
      <c r="L56" s="719">
        <f t="shared" si="7"/>
        <v>0</v>
      </c>
      <c r="M56" s="719">
        <f t="shared" si="7"/>
        <v>0</v>
      </c>
      <c r="N56" s="719">
        <f t="shared" si="7"/>
        <v>0</v>
      </c>
      <c r="O56" s="719">
        <f t="shared" si="7"/>
        <v>0</v>
      </c>
      <c r="P56" s="719">
        <f t="shared" si="7"/>
        <v>0</v>
      </c>
      <c r="Q56" s="720">
        <f t="shared" si="7"/>
        <v>0</v>
      </c>
      <c r="R56" s="721">
        <f ca="1">SUM(R54:R55)</f>
        <v>6528.3829011788666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3777.0282820454904</v>
      </c>
      <c r="D61" s="727">
        <f t="shared" ref="D61:Q61" ca="1" si="8">D46+D52+D56</f>
        <v>0</v>
      </c>
      <c r="E61" s="727">
        <f t="shared" ca="1" si="8"/>
        <v>2585.4058278031343</v>
      </c>
      <c r="F61" s="727">
        <f t="shared" si="8"/>
        <v>149.17527211759858</v>
      </c>
      <c r="G61" s="727">
        <f t="shared" ca="1" si="8"/>
        <v>7654.1509534401521</v>
      </c>
      <c r="H61" s="727">
        <f t="shared" si="8"/>
        <v>3140.3357236213883</v>
      </c>
      <c r="I61" s="727">
        <f t="shared" si="8"/>
        <v>932.13143326295733</v>
      </c>
      <c r="J61" s="727">
        <f t="shared" si="8"/>
        <v>0</v>
      </c>
      <c r="K61" s="727">
        <f t="shared" si="8"/>
        <v>532.12689681646032</v>
      </c>
      <c r="L61" s="727">
        <f t="shared" si="8"/>
        <v>0</v>
      </c>
      <c r="M61" s="727">
        <f t="shared" ca="1" si="8"/>
        <v>0</v>
      </c>
      <c r="N61" s="727">
        <f t="shared" si="8"/>
        <v>0</v>
      </c>
      <c r="O61" s="727">
        <f t="shared" ca="1" si="8"/>
        <v>0</v>
      </c>
      <c r="P61" s="727">
        <f t="shared" si="8"/>
        <v>0</v>
      </c>
      <c r="Q61" s="727">
        <f t="shared" si="8"/>
        <v>0</v>
      </c>
      <c r="R61" s="727">
        <f ca="1">R46+R52+R56</f>
        <v>18770.354389107182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0.17806133963762896</v>
      </c>
      <c r="D63" s="773">
        <f t="shared" ca="1" si="9"/>
        <v>0</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4077.6745629953693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4121.324562995369</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5637.4684653554168</v>
      </c>
      <c r="C4" s="449">
        <f>huishoudens!C8</f>
        <v>0</v>
      </c>
      <c r="D4" s="449">
        <f>huishoudens!D8</f>
        <v>7623.9325218728491</v>
      </c>
      <c r="E4" s="449">
        <f>huishoudens!E8</f>
        <v>430.43771428989396</v>
      </c>
      <c r="F4" s="449">
        <f>huishoudens!F8</f>
        <v>9429.4291026405681</v>
      </c>
      <c r="G4" s="449">
        <f>huishoudens!G8</f>
        <v>0</v>
      </c>
      <c r="H4" s="449">
        <f>huishoudens!H8</f>
        <v>0</v>
      </c>
      <c r="I4" s="449">
        <f>huishoudens!I8</f>
        <v>0</v>
      </c>
      <c r="J4" s="449">
        <f>huishoudens!J8</f>
        <v>53.739347788047681</v>
      </c>
      <c r="K4" s="449">
        <f>huishoudens!K8</f>
        <v>0</v>
      </c>
      <c r="L4" s="449">
        <f>huishoudens!L8</f>
        <v>0</v>
      </c>
      <c r="M4" s="449">
        <f>huishoudens!M8</f>
        <v>0</v>
      </c>
      <c r="N4" s="449">
        <f>huishoudens!N8</f>
        <v>1775.868904400143</v>
      </c>
      <c r="O4" s="449">
        <f>huishoudens!O8</f>
        <v>166.65249042851067</v>
      </c>
      <c r="P4" s="450">
        <f>huishoudens!P8</f>
        <v>231.74710476907052</v>
      </c>
      <c r="Q4" s="451">
        <f>SUM(B4:P4)</f>
        <v>25349.2756515445</v>
      </c>
    </row>
    <row r="5" spans="1:17">
      <c r="A5" s="448" t="s">
        <v>155</v>
      </c>
      <c r="B5" s="449">
        <f ca="1">tertiair!B16</f>
        <v>3757.5718126271258</v>
      </c>
      <c r="C5" s="449">
        <f ca="1">tertiair!C16</f>
        <v>0</v>
      </c>
      <c r="D5" s="449">
        <f ca="1">tertiair!D16</f>
        <v>4156.0179388797087</v>
      </c>
      <c r="E5" s="449">
        <f>tertiair!E16</f>
        <v>17.839300089445143</v>
      </c>
      <c r="F5" s="449">
        <f ca="1">tertiair!F16</f>
        <v>771.91663886463789</v>
      </c>
      <c r="G5" s="449">
        <f>tertiair!G16</f>
        <v>0</v>
      </c>
      <c r="H5" s="449">
        <f>tertiair!H16</f>
        <v>0</v>
      </c>
      <c r="I5" s="449">
        <f>tertiair!I16</f>
        <v>0</v>
      </c>
      <c r="J5" s="449">
        <f>tertiair!J16</f>
        <v>5.2415759749379186E-3</v>
      </c>
      <c r="K5" s="449">
        <f>tertiair!K16</f>
        <v>0</v>
      </c>
      <c r="L5" s="449">
        <f ca="1">tertiair!L16</f>
        <v>0</v>
      </c>
      <c r="M5" s="449">
        <f>tertiair!M16</f>
        <v>0</v>
      </c>
      <c r="N5" s="449">
        <f ca="1">tertiair!N16</f>
        <v>204.03330858234108</v>
      </c>
      <c r="O5" s="449">
        <f>tertiair!O16</f>
        <v>4.8972607658411542</v>
      </c>
      <c r="P5" s="450">
        <f>tertiair!P16</f>
        <v>105.07827661299004</v>
      </c>
      <c r="Q5" s="448">
        <f t="shared" ref="Q5:Q14" ca="1" si="0">SUM(B5:P5)</f>
        <v>9017.3597779980646</v>
      </c>
    </row>
    <row r="6" spans="1:17">
      <c r="A6" s="448" t="s">
        <v>193</v>
      </c>
      <c r="B6" s="449">
        <f>'openbare verlichting'!B8</f>
        <v>206.822</v>
      </c>
      <c r="C6" s="449"/>
      <c r="D6" s="449"/>
      <c r="E6" s="449"/>
      <c r="F6" s="449"/>
      <c r="G6" s="449"/>
      <c r="H6" s="449"/>
      <c r="I6" s="449"/>
      <c r="J6" s="449"/>
      <c r="K6" s="449"/>
      <c r="L6" s="449"/>
      <c r="M6" s="449"/>
      <c r="N6" s="449"/>
      <c r="O6" s="449"/>
      <c r="P6" s="450"/>
      <c r="Q6" s="448">
        <f t="shared" si="0"/>
        <v>206.822</v>
      </c>
    </row>
    <row r="7" spans="1:17">
      <c r="A7" s="448" t="s">
        <v>111</v>
      </c>
      <c r="B7" s="449">
        <f>landbouw!B8</f>
        <v>5696.8420804569196</v>
      </c>
      <c r="C7" s="449">
        <f>landbouw!C8</f>
        <v>62.357142857142847</v>
      </c>
      <c r="D7" s="449">
        <f>landbouw!D8</f>
        <v>118.52111249588525</v>
      </c>
      <c r="E7" s="449">
        <f>landbouw!E8</f>
        <v>163.1671980061227</v>
      </c>
      <c r="F7" s="449">
        <f>landbouw!F8</f>
        <v>18033.259249941853</v>
      </c>
      <c r="G7" s="449">
        <f>landbouw!G8</f>
        <v>0</v>
      </c>
      <c r="H7" s="449">
        <f>landbouw!H8</f>
        <v>0</v>
      </c>
      <c r="I7" s="449">
        <f>landbouw!I8</f>
        <v>0</v>
      </c>
      <c r="J7" s="449">
        <f>landbouw!J8</f>
        <v>1448.5280465920398</v>
      </c>
      <c r="K7" s="449">
        <f>landbouw!K8</f>
        <v>0</v>
      </c>
      <c r="L7" s="449">
        <f>landbouw!L8</f>
        <v>0</v>
      </c>
      <c r="M7" s="449">
        <f>landbouw!M8</f>
        <v>0</v>
      </c>
      <c r="N7" s="449">
        <f>landbouw!N8</f>
        <v>0</v>
      </c>
      <c r="O7" s="449">
        <f>landbouw!O8</f>
        <v>0</v>
      </c>
      <c r="P7" s="450">
        <f>landbouw!P8</f>
        <v>0</v>
      </c>
      <c r="Q7" s="448">
        <f t="shared" si="0"/>
        <v>25522.674830349966</v>
      </c>
    </row>
    <row r="8" spans="1:17">
      <c r="A8" s="448" t="s">
        <v>617</v>
      </c>
      <c r="B8" s="449">
        <f>industrie!B18</f>
        <v>5691.943374559225</v>
      </c>
      <c r="C8" s="449">
        <f>industrie!C18</f>
        <v>0</v>
      </c>
      <c r="D8" s="449">
        <f>industrie!D18</f>
        <v>362.73566537459732</v>
      </c>
      <c r="E8" s="449">
        <f>industrie!E18</f>
        <v>16.192035289819245</v>
      </c>
      <c r="F8" s="449">
        <f>industrie!F18</f>
        <v>432.62704390931714</v>
      </c>
      <c r="G8" s="449">
        <f>industrie!G18</f>
        <v>0</v>
      </c>
      <c r="H8" s="449">
        <f>industrie!H18</f>
        <v>0</v>
      </c>
      <c r="I8" s="449">
        <f>industrie!I18</f>
        <v>0</v>
      </c>
      <c r="J8" s="449">
        <f>industrie!J18</f>
        <v>0.9106883842210578</v>
      </c>
      <c r="K8" s="449">
        <f>industrie!K18</f>
        <v>0</v>
      </c>
      <c r="L8" s="449">
        <f>industrie!L18</f>
        <v>0</v>
      </c>
      <c r="M8" s="449">
        <f>industrie!M18</f>
        <v>0</v>
      </c>
      <c r="N8" s="449">
        <f>industrie!N18</f>
        <v>206.60761976777314</v>
      </c>
      <c r="O8" s="449">
        <f>industrie!O18</f>
        <v>0</v>
      </c>
      <c r="P8" s="450">
        <f>industrie!P18</f>
        <v>0</v>
      </c>
      <c r="Q8" s="448">
        <f t="shared" si="0"/>
        <v>6711.0164272849534</v>
      </c>
    </row>
    <row r="9" spans="1:17" s="454" customFormat="1">
      <c r="A9" s="452" t="s">
        <v>543</v>
      </c>
      <c r="B9" s="453">
        <f>transport!B14</f>
        <v>37.075593831913359</v>
      </c>
      <c r="C9" s="453">
        <f>transport!C14</f>
        <v>0</v>
      </c>
      <c r="D9" s="453">
        <f>transport!D14</f>
        <v>76.857196067248296</v>
      </c>
      <c r="E9" s="453">
        <f>transport!E14</f>
        <v>29.523541389029759</v>
      </c>
      <c r="F9" s="453">
        <f>transport!F14</f>
        <v>0</v>
      </c>
      <c r="G9" s="453">
        <f>transport!G14</f>
        <v>11563.157200341207</v>
      </c>
      <c r="H9" s="453">
        <f>transport!H14</f>
        <v>3743.4997319797485</v>
      </c>
      <c r="I9" s="453">
        <f>transport!I14</f>
        <v>0</v>
      </c>
      <c r="J9" s="453">
        <f>transport!J14</f>
        <v>0</v>
      </c>
      <c r="K9" s="453">
        <f>transport!K14</f>
        <v>0</v>
      </c>
      <c r="L9" s="453">
        <f>transport!L14</f>
        <v>0</v>
      </c>
      <c r="M9" s="453">
        <f>transport!M14</f>
        <v>929.31927685674145</v>
      </c>
      <c r="N9" s="453">
        <f>transport!N14</f>
        <v>0</v>
      </c>
      <c r="O9" s="453">
        <f>transport!O14</f>
        <v>0</v>
      </c>
      <c r="P9" s="453">
        <f>transport!P14</f>
        <v>0</v>
      </c>
      <c r="Q9" s="452">
        <f>SUM(B9:P9)</f>
        <v>16379.432540465888</v>
      </c>
    </row>
    <row r="10" spans="1:17">
      <c r="A10" s="448" t="s">
        <v>533</v>
      </c>
      <c r="B10" s="449">
        <f>transport!B54</f>
        <v>3.1691730972215124</v>
      </c>
      <c r="C10" s="449">
        <f>transport!C54</f>
        <v>0</v>
      </c>
      <c r="D10" s="449">
        <f>transport!D54</f>
        <v>0</v>
      </c>
      <c r="E10" s="449">
        <f>transport!E54</f>
        <v>0</v>
      </c>
      <c r="F10" s="449">
        <f>transport!F54</f>
        <v>0</v>
      </c>
      <c r="G10" s="449">
        <f>transport!G54</f>
        <v>198.39981696736334</v>
      </c>
      <c r="H10" s="449">
        <f>transport!H54</f>
        <v>0</v>
      </c>
      <c r="I10" s="449">
        <f>transport!I54</f>
        <v>0</v>
      </c>
      <c r="J10" s="449">
        <f>transport!J54</f>
        <v>0</v>
      </c>
      <c r="K10" s="449">
        <f>transport!K54</f>
        <v>0</v>
      </c>
      <c r="L10" s="449">
        <f>transport!L54</f>
        <v>0</v>
      </c>
      <c r="M10" s="449">
        <f>transport!M54</f>
        <v>11.391678186875151</v>
      </c>
      <c r="N10" s="449">
        <f>transport!N54</f>
        <v>0</v>
      </c>
      <c r="O10" s="449">
        <f>transport!O54</f>
        <v>0</v>
      </c>
      <c r="P10" s="450">
        <f>transport!P54</f>
        <v>0</v>
      </c>
      <c r="Q10" s="448">
        <f t="shared" si="0"/>
        <v>212.96066825145999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181.057773680624</v>
      </c>
      <c r="C14" s="456"/>
      <c r="D14" s="456">
        <f>'SEAP template'!E25</f>
        <v>460.97431681037398</v>
      </c>
      <c r="E14" s="456"/>
      <c r="F14" s="456"/>
      <c r="G14" s="456"/>
      <c r="H14" s="456"/>
      <c r="I14" s="456"/>
      <c r="J14" s="456"/>
      <c r="K14" s="456"/>
      <c r="L14" s="456"/>
      <c r="M14" s="456"/>
      <c r="N14" s="456"/>
      <c r="O14" s="456"/>
      <c r="P14" s="457"/>
      <c r="Q14" s="448">
        <f t="shared" si="0"/>
        <v>642.03209049099792</v>
      </c>
    </row>
    <row r="15" spans="1:17" s="460" customFormat="1">
      <c r="A15" s="458" t="s">
        <v>537</v>
      </c>
      <c r="B15" s="459">
        <f ca="1">SUM(B4:B14)</f>
        <v>21211.950273608443</v>
      </c>
      <c r="C15" s="459">
        <f t="shared" ref="C15:Q15" ca="1" si="1">SUM(C4:C14)</f>
        <v>62.357142857142847</v>
      </c>
      <c r="D15" s="459">
        <f t="shared" ca="1" si="1"/>
        <v>12799.038751500664</v>
      </c>
      <c r="E15" s="459">
        <f t="shared" si="1"/>
        <v>657.15978906431087</v>
      </c>
      <c r="F15" s="459">
        <f t="shared" ca="1" si="1"/>
        <v>28667.232035356374</v>
      </c>
      <c r="G15" s="459">
        <f t="shared" si="1"/>
        <v>11761.557017308571</v>
      </c>
      <c r="H15" s="459">
        <f t="shared" si="1"/>
        <v>3743.4997319797485</v>
      </c>
      <c r="I15" s="459">
        <f t="shared" si="1"/>
        <v>0</v>
      </c>
      <c r="J15" s="459">
        <f t="shared" si="1"/>
        <v>1503.1833243402834</v>
      </c>
      <c r="K15" s="459">
        <f t="shared" si="1"/>
        <v>0</v>
      </c>
      <c r="L15" s="459">
        <f t="shared" ca="1" si="1"/>
        <v>0</v>
      </c>
      <c r="M15" s="459">
        <f t="shared" si="1"/>
        <v>940.71095504361665</v>
      </c>
      <c r="N15" s="459">
        <f t="shared" ca="1" si="1"/>
        <v>2186.5098327502574</v>
      </c>
      <c r="O15" s="459">
        <f t="shared" si="1"/>
        <v>171.54975119435184</v>
      </c>
      <c r="P15" s="459">
        <f t="shared" si="1"/>
        <v>336.82538138206053</v>
      </c>
      <c r="Q15" s="459">
        <f t="shared" ca="1" si="1"/>
        <v>84041.573986385833</v>
      </c>
    </row>
    <row r="17" spans="1:17">
      <c r="A17" s="461" t="s">
        <v>538</v>
      </c>
      <c r="B17" s="778">
        <f ca="1">huishoudens!B10</f>
        <v>0.17806133963762899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1003.8151871060739</v>
      </c>
      <c r="C22" s="449">
        <f t="shared" ref="C22:C32" ca="1" si="3">C4*$C$17</f>
        <v>0</v>
      </c>
      <c r="D22" s="449">
        <f t="shared" ref="D22:D32" si="4">D4*$D$17</f>
        <v>1540.0343694183157</v>
      </c>
      <c r="E22" s="449">
        <f t="shared" ref="E22:E32" si="5">E4*$E$17</f>
        <v>97.709361143805936</v>
      </c>
      <c r="F22" s="449">
        <f t="shared" ref="F22:F32" si="6">F4*$F$17</f>
        <v>2517.6575704050319</v>
      </c>
      <c r="G22" s="449">
        <f t="shared" ref="G22:G32" si="7">G4*$G$17</f>
        <v>0</v>
      </c>
      <c r="H22" s="449">
        <f t="shared" ref="H22:H32" si="8">H4*$H$17</f>
        <v>0</v>
      </c>
      <c r="I22" s="449">
        <f t="shared" ref="I22:I32" si="9">I4*$I$17</f>
        <v>0</v>
      </c>
      <c r="J22" s="449">
        <f t="shared" ref="J22:J32" si="10">J4*$J$17</f>
        <v>19.023729116968877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5178.2402171901958</v>
      </c>
    </row>
    <row r="23" spans="1:17">
      <c r="A23" s="448" t="s">
        <v>155</v>
      </c>
      <c r="B23" s="449">
        <f t="shared" ca="1" si="2"/>
        <v>669.07827074097986</v>
      </c>
      <c r="C23" s="449">
        <f t="shared" ca="1" si="3"/>
        <v>0</v>
      </c>
      <c r="D23" s="449">
        <f t="shared" ca="1" si="4"/>
        <v>839.51562365370125</v>
      </c>
      <c r="E23" s="449">
        <f t="shared" si="5"/>
        <v>4.0495211203040471</v>
      </c>
      <c r="F23" s="449">
        <f t="shared" ca="1" si="6"/>
        <v>206.10174257685833</v>
      </c>
      <c r="G23" s="449">
        <f t="shared" si="7"/>
        <v>0</v>
      </c>
      <c r="H23" s="449">
        <f t="shared" si="8"/>
        <v>0</v>
      </c>
      <c r="I23" s="449">
        <f t="shared" si="9"/>
        <v>0</v>
      </c>
      <c r="J23" s="449">
        <f t="shared" si="10"/>
        <v>1.855517895128023E-3</v>
      </c>
      <c r="K23" s="449">
        <f t="shared" si="11"/>
        <v>0</v>
      </c>
      <c r="L23" s="449">
        <f t="shared" ca="1" si="12"/>
        <v>0</v>
      </c>
      <c r="M23" s="449">
        <f t="shared" si="13"/>
        <v>0</v>
      </c>
      <c r="N23" s="449">
        <f t="shared" ca="1" si="14"/>
        <v>0</v>
      </c>
      <c r="O23" s="449">
        <f t="shared" si="15"/>
        <v>0</v>
      </c>
      <c r="P23" s="450">
        <f t="shared" si="16"/>
        <v>0</v>
      </c>
      <c r="Q23" s="448">
        <f t="shared" ref="Q23:Q31" ca="1" si="17">SUM(B23:P23)</f>
        <v>1718.7470136097388</v>
      </c>
    </row>
    <row r="24" spans="1:17">
      <c r="A24" s="448" t="s">
        <v>193</v>
      </c>
      <c r="B24" s="449">
        <f t="shared" ca="1" si="2"/>
        <v>36.827002386533707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36.827002386533707</v>
      </c>
    </row>
    <row r="25" spans="1:17">
      <c r="A25" s="448" t="s">
        <v>111</v>
      </c>
      <c r="B25" s="449">
        <f t="shared" ca="1" si="2"/>
        <v>1014.3873325501764</v>
      </c>
      <c r="C25" s="449">
        <f t="shared" ca="1" si="3"/>
        <v>0</v>
      </c>
      <c r="D25" s="449">
        <f t="shared" si="4"/>
        <v>23.941264724168821</v>
      </c>
      <c r="E25" s="449">
        <f t="shared" si="5"/>
        <v>37.038953947389857</v>
      </c>
      <c r="F25" s="449">
        <f t="shared" si="6"/>
        <v>4814.8802197344748</v>
      </c>
      <c r="G25" s="449">
        <f t="shared" si="7"/>
        <v>0</v>
      </c>
      <c r="H25" s="449">
        <f t="shared" si="8"/>
        <v>0</v>
      </c>
      <c r="I25" s="449">
        <f t="shared" si="9"/>
        <v>0</v>
      </c>
      <c r="J25" s="449">
        <f t="shared" si="10"/>
        <v>512.77892849358204</v>
      </c>
      <c r="K25" s="449">
        <f t="shared" si="11"/>
        <v>0</v>
      </c>
      <c r="L25" s="449">
        <f t="shared" si="12"/>
        <v>0</v>
      </c>
      <c r="M25" s="449">
        <f t="shared" si="13"/>
        <v>0</v>
      </c>
      <c r="N25" s="449">
        <f t="shared" si="14"/>
        <v>0</v>
      </c>
      <c r="O25" s="449">
        <f t="shared" si="15"/>
        <v>0</v>
      </c>
      <c r="P25" s="450">
        <f t="shared" si="16"/>
        <v>0</v>
      </c>
      <c r="Q25" s="448">
        <f t="shared" ca="1" si="17"/>
        <v>6403.0266994497924</v>
      </c>
    </row>
    <row r="26" spans="1:17">
      <c r="A26" s="448" t="s">
        <v>617</v>
      </c>
      <c r="B26" s="449">
        <f t="shared" ca="1" si="2"/>
        <v>1013.5150624155423</v>
      </c>
      <c r="C26" s="449">
        <f t="shared" ca="1" si="3"/>
        <v>0</v>
      </c>
      <c r="D26" s="449">
        <f t="shared" si="4"/>
        <v>73.272604405668659</v>
      </c>
      <c r="E26" s="449">
        <f t="shared" si="5"/>
        <v>3.6755920107889688</v>
      </c>
      <c r="F26" s="449">
        <f t="shared" si="6"/>
        <v>115.51142072378768</v>
      </c>
      <c r="G26" s="449">
        <f t="shared" si="7"/>
        <v>0</v>
      </c>
      <c r="H26" s="449">
        <f t="shared" si="8"/>
        <v>0</v>
      </c>
      <c r="I26" s="449">
        <f t="shared" si="9"/>
        <v>0</v>
      </c>
      <c r="J26" s="449">
        <f t="shared" si="10"/>
        <v>0.32238368801425443</v>
      </c>
      <c r="K26" s="449">
        <f t="shared" si="11"/>
        <v>0</v>
      </c>
      <c r="L26" s="449">
        <f t="shared" si="12"/>
        <v>0</v>
      </c>
      <c r="M26" s="449">
        <f t="shared" si="13"/>
        <v>0</v>
      </c>
      <c r="N26" s="449">
        <f t="shared" si="14"/>
        <v>0</v>
      </c>
      <c r="O26" s="449">
        <f t="shared" si="15"/>
        <v>0</v>
      </c>
      <c r="P26" s="450">
        <f t="shared" si="16"/>
        <v>0</v>
      </c>
      <c r="Q26" s="448">
        <f t="shared" ca="1" si="17"/>
        <v>1206.2970632438019</v>
      </c>
    </row>
    <row r="27" spans="1:17" s="454" customFormat="1">
      <c r="A27" s="452" t="s">
        <v>543</v>
      </c>
      <c r="B27" s="772">
        <f t="shared" ca="1" si="2"/>
        <v>6.6017299055711067</v>
      </c>
      <c r="C27" s="453">
        <f t="shared" ca="1" si="3"/>
        <v>0</v>
      </c>
      <c r="D27" s="453">
        <f t="shared" si="4"/>
        <v>15.525153605584157</v>
      </c>
      <c r="E27" s="453">
        <f t="shared" si="5"/>
        <v>6.7018438953097554</v>
      </c>
      <c r="F27" s="453">
        <f t="shared" si="6"/>
        <v>0</v>
      </c>
      <c r="G27" s="453">
        <f t="shared" si="7"/>
        <v>3087.3629724911025</v>
      </c>
      <c r="H27" s="453">
        <f t="shared" si="8"/>
        <v>932.13143326295733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4048.3231331605248</v>
      </c>
    </row>
    <row r="28" spans="1:17" ht="16.5" customHeight="1">
      <c r="A28" s="448" t="s">
        <v>533</v>
      </c>
      <c r="B28" s="449">
        <f t="shared" ca="1" si="2"/>
        <v>0.56430720723479633</v>
      </c>
      <c r="C28" s="449">
        <f t="shared" ca="1" si="3"/>
        <v>0</v>
      </c>
      <c r="D28" s="449">
        <f t="shared" si="4"/>
        <v>0</v>
      </c>
      <c r="E28" s="449">
        <f t="shared" si="5"/>
        <v>0</v>
      </c>
      <c r="F28" s="449">
        <f t="shared" si="6"/>
        <v>0</v>
      </c>
      <c r="G28" s="449">
        <f t="shared" si="7"/>
        <v>52.972751130286014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53.537058337520811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32.239389733378552</v>
      </c>
      <c r="C32" s="449">
        <f t="shared" ca="1" si="3"/>
        <v>0</v>
      </c>
      <c r="D32" s="449">
        <f t="shared" si="4"/>
        <v>93.116811995695556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125.35620172907412</v>
      </c>
    </row>
    <row r="33" spans="1:17" s="460" customFormat="1">
      <c r="A33" s="458" t="s">
        <v>537</v>
      </c>
      <c r="B33" s="459">
        <f ca="1">SUM(B22:B32)</f>
        <v>3777.0282820454909</v>
      </c>
      <c r="C33" s="459">
        <f t="shared" ref="C33:Q33" ca="1" si="19">SUM(C22:C32)</f>
        <v>0</v>
      </c>
      <c r="D33" s="459">
        <f t="shared" ca="1" si="19"/>
        <v>2585.4058278031343</v>
      </c>
      <c r="E33" s="459">
        <f t="shared" si="19"/>
        <v>149.17527211759855</v>
      </c>
      <c r="F33" s="459">
        <f t="shared" ca="1" si="19"/>
        <v>7654.1509534401521</v>
      </c>
      <c r="G33" s="459">
        <f t="shared" si="19"/>
        <v>3140.3357236213883</v>
      </c>
      <c r="H33" s="459">
        <f t="shared" si="19"/>
        <v>932.13143326295733</v>
      </c>
      <c r="I33" s="459">
        <f t="shared" si="19"/>
        <v>0</v>
      </c>
      <c r="J33" s="459">
        <f t="shared" si="19"/>
        <v>532.12689681646032</v>
      </c>
      <c r="K33" s="459">
        <f t="shared" si="19"/>
        <v>0</v>
      </c>
      <c r="L33" s="459">
        <f t="shared" ca="1" si="19"/>
        <v>0</v>
      </c>
      <c r="M33" s="459">
        <f t="shared" si="19"/>
        <v>0</v>
      </c>
      <c r="N33" s="459">
        <f t="shared" ca="1" si="19"/>
        <v>0</v>
      </c>
      <c r="O33" s="459">
        <f t="shared" si="19"/>
        <v>0</v>
      </c>
      <c r="P33" s="459">
        <f t="shared" si="19"/>
        <v>0</v>
      </c>
      <c r="Q33" s="459">
        <f t="shared" ca="1" si="19"/>
        <v>18770.354389107182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4077.6745629953693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4121.324562995369</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0.17806133963762899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0.17806133963762899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0.17806133963762899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0.17806133963762899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5482.5</v>
      </c>
      <c r="C14" s="326"/>
      <c r="D14" s="326"/>
      <c r="E14" s="326"/>
      <c r="F14" s="326"/>
    </row>
    <row r="15" spans="1:6">
      <c r="A15" s="1312" t="s">
        <v>183</v>
      </c>
      <c r="B15" s="1313">
        <v>125</v>
      </c>
      <c r="C15" s="326"/>
      <c r="D15" s="326"/>
      <c r="E15" s="326"/>
      <c r="F15" s="326"/>
    </row>
    <row r="16" spans="1:6">
      <c r="A16" s="1312" t="s">
        <v>6</v>
      </c>
      <c r="B16" s="1313">
        <v>3908</v>
      </c>
      <c r="C16" s="326"/>
      <c r="D16" s="326"/>
      <c r="E16" s="326"/>
      <c r="F16" s="326"/>
    </row>
    <row r="17" spans="1:6">
      <c r="A17" s="1312" t="s">
        <v>7</v>
      </c>
      <c r="B17" s="1313">
        <v>1773</v>
      </c>
      <c r="C17" s="326"/>
      <c r="D17" s="326"/>
      <c r="E17" s="326"/>
      <c r="F17" s="326"/>
    </row>
    <row r="18" spans="1:6">
      <c r="A18" s="1312" t="s">
        <v>8</v>
      </c>
      <c r="B18" s="1313">
        <v>3176</v>
      </c>
      <c r="C18" s="326"/>
      <c r="D18" s="326"/>
      <c r="E18" s="326"/>
      <c r="F18" s="326"/>
    </row>
    <row r="19" spans="1:6">
      <c r="A19" s="1312" t="s">
        <v>9</v>
      </c>
      <c r="B19" s="1313">
        <v>2727</v>
      </c>
      <c r="C19" s="326"/>
      <c r="D19" s="326"/>
      <c r="E19" s="326"/>
      <c r="F19" s="326"/>
    </row>
    <row r="20" spans="1:6">
      <c r="A20" s="1312" t="s">
        <v>10</v>
      </c>
      <c r="B20" s="1313">
        <v>1859</v>
      </c>
      <c r="C20" s="326"/>
      <c r="D20" s="326"/>
      <c r="E20" s="326"/>
      <c r="F20" s="326"/>
    </row>
    <row r="21" spans="1:6">
      <c r="A21" s="1312" t="s">
        <v>11</v>
      </c>
      <c r="B21" s="1313">
        <v>34472</v>
      </c>
      <c r="C21" s="326"/>
      <c r="D21" s="326"/>
      <c r="E21" s="326"/>
      <c r="F21" s="326"/>
    </row>
    <row r="22" spans="1:6">
      <c r="A22" s="1312" t="s">
        <v>12</v>
      </c>
      <c r="B22" s="1313">
        <v>53293</v>
      </c>
      <c r="C22" s="326"/>
      <c r="D22" s="326"/>
      <c r="E22" s="326"/>
      <c r="F22" s="326"/>
    </row>
    <row r="23" spans="1:6">
      <c r="A23" s="1312" t="s">
        <v>13</v>
      </c>
      <c r="B23" s="1313">
        <v>1516</v>
      </c>
      <c r="C23" s="326"/>
      <c r="D23" s="326"/>
      <c r="E23" s="326"/>
      <c r="F23" s="326"/>
    </row>
    <row r="24" spans="1:6">
      <c r="A24" s="1312" t="s">
        <v>14</v>
      </c>
      <c r="B24" s="1313">
        <v>75</v>
      </c>
      <c r="C24" s="326"/>
      <c r="D24" s="326"/>
      <c r="E24" s="326"/>
      <c r="F24" s="326"/>
    </row>
    <row r="25" spans="1:6">
      <c r="A25" s="1312" t="s">
        <v>15</v>
      </c>
      <c r="B25" s="1313">
        <v>8749</v>
      </c>
      <c r="C25" s="326"/>
      <c r="D25" s="326"/>
      <c r="E25" s="326"/>
      <c r="F25" s="326"/>
    </row>
    <row r="26" spans="1:6">
      <c r="A26" s="1312" t="s">
        <v>16</v>
      </c>
      <c r="B26" s="1313">
        <v>1065</v>
      </c>
      <c r="C26" s="326"/>
      <c r="D26" s="326"/>
      <c r="E26" s="326"/>
      <c r="F26" s="326"/>
    </row>
    <row r="27" spans="1:6">
      <c r="A27" s="1312" t="s">
        <v>17</v>
      </c>
      <c r="B27" s="1313">
        <v>540</v>
      </c>
      <c r="C27" s="326"/>
      <c r="D27" s="326"/>
      <c r="E27" s="326"/>
      <c r="F27" s="326"/>
    </row>
    <row r="28" spans="1:6" s="43" customFormat="1">
      <c r="A28" s="1314" t="s">
        <v>18</v>
      </c>
      <c r="B28" s="1315">
        <v>432307</v>
      </c>
      <c r="C28" s="332"/>
      <c r="D28" s="332"/>
      <c r="E28" s="332"/>
      <c r="F28" s="332"/>
    </row>
    <row r="29" spans="1:6">
      <c r="A29" s="1314" t="s">
        <v>684</v>
      </c>
      <c r="B29" s="1315">
        <v>46</v>
      </c>
      <c r="C29" s="332"/>
      <c r="D29" s="332"/>
      <c r="E29" s="332"/>
      <c r="F29" s="332"/>
    </row>
    <row r="30" spans="1:6">
      <c r="A30" s="1307" t="s">
        <v>685</v>
      </c>
      <c r="B30" s="1316">
        <v>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12359.983278813799</v>
      </c>
      <c r="E38" s="1313">
        <v>1</v>
      </c>
      <c r="F38" s="1313">
        <v>339.761279952</v>
      </c>
    </row>
    <row r="39" spans="1:6">
      <c r="A39" s="1312" t="s">
        <v>29</v>
      </c>
      <c r="B39" s="1312" t="s">
        <v>30</v>
      </c>
      <c r="C39" s="1313">
        <v>602</v>
      </c>
      <c r="D39" s="1313">
        <v>8442893.1582202092</v>
      </c>
      <c r="E39" s="1313">
        <v>1100</v>
      </c>
      <c r="F39" s="1313">
        <v>3890644.2033552201</v>
      </c>
    </row>
    <row r="40" spans="1:6">
      <c r="A40" s="1312" t="s">
        <v>29</v>
      </c>
      <c r="B40" s="1312" t="s">
        <v>28</v>
      </c>
      <c r="C40" s="1313">
        <v>0</v>
      </c>
      <c r="D40" s="1313">
        <v>0</v>
      </c>
      <c r="E40" s="1313">
        <v>0</v>
      </c>
      <c r="F40" s="1313">
        <v>0</v>
      </c>
    </row>
    <row r="41" spans="1:6">
      <c r="A41" s="1312" t="s">
        <v>31</v>
      </c>
      <c r="B41" s="1312" t="s">
        <v>32</v>
      </c>
      <c r="C41" s="1313">
        <v>12</v>
      </c>
      <c r="D41" s="1313">
        <v>279599.50010327902</v>
      </c>
      <c r="E41" s="1313">
        <v>33</v>
      </c>
      <c r="F41" s="1313">
        <v>433692.02256458101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77492.368565156401</v>
      </c>
      <c r="E44" s="1313">
        <v>18</v>
      </c>
      <c r="F44" s="1313">
        <v>1104209.7795685399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44608.7574385384</v>
      </c>
      <c r="E48" s="1313">
        <v>1</v>
      </c>
      <c r="F48" s="1313">
        <v>1142.9900818642</v>
      </c>
    </row>
    <row r="49" spans="1:6">
      <c r="A49" s="1312" t="s">
        <v>31</v>
      </c>
      <c r="B49" s="1312" t="s">
        <v>39</v>
      </c>
      <c r="C49" s="1313">
        <v>0</v>
      </c>
      <c r="D49" s="1313">
        <v>0</v>
      </c>
      <c r="E49" s="1313">
        <v>0</v>
      </c>
      <c r="F49" s="1313">
        <v>0</v>
      </c>
    </row>
    <row r="50" spans="1:6">
      <c r="A50" s="1312" t="s">
        <v>31</v>
      </c>
      <c r="B50" s="1312" t="s">
        <v>40</v>
      </c>
      <c r="C50" s="1313">
        <v>0</v>
      </c>
      <c r="D50" s="1313">
        <v>0</v>
      </c>
      <c r="E50" s="1313">
        <v>6</v>
      </c>
      <c r="F50" s="1313">
        <v>4152898.58234424</v>
      </c>
    </row>
    <row r="51" spans="1:6">
      <c r="A51" s="1312" t="s">
        <v>41</v>
      </c>
      <c r="B51" s="1312" t="s">
        <v>42</v>
      </c>
      <c r="C51" s="1313">
        <v>11</v>
      </c>
      <c r="D51" s="1313">
        <v>131252.61627451301</v>
      </c>
      <c r="E51" s="1313">
        <v>148</v>
      </c>
      <c r="F51" s="1313">
        <v>5696842.08045692</v>
      </c>
    </row>
    <row r="52" spans="1:6">
      <c r="A52" s="1312" t="s">
        <v>41</v>
      </c>
      <c r="B52" s="1312" t="s">
        <v>28</v>
      </c>
      <c r="C52" s="1313">
        <v>0</v>
      </c>
      <c r="D52" s="1313">
        <v>0</v>
      </c>
      <c r="E52" s="1313">
        <v>0</v>
      </c>
      <c r="F52" s="1313">
        <v>0</v>
      </c>
    </row>
    <row r="53" spans="1:6">
      <c r="A53" s="1312" t="s">
        <v>43</v>
      </c>
      <c r="B53" s="1312" t="s">
        <v>44</v>
      </c>
      <c r="C53" s="1313">
        <v>10</v>
      </c>
      <c r="D53" s="1313">
        <v>460974.31681037397</v>
      </c>
      <c r="E53" s="1313">
        <v>46</v>
      </c>
      <c r="F53" s="1313">
        <v>181057.773680624</v>
      </c>
    </row>
    <row r="54" spans="1:6">
      <c r="A54" s="1312" t="s">
        <v>45</v>
      </c>
      <c r="B54" s="1312" t="s">
        <v>46</v>
      </c>
      <c r="C54" s="1313">
        <v>0</v>
      </c>
      <c r="D54" s="1313">
        <v>0</v>
      </c>
      <c r="E54" s="1313">
        <v>1</v>
      </c>
      <c r="F54" s="1313">
        <v>206822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773380.30868396803</v>
      </c>
      <c r="E57" s="1313">
        <v>60</v>
      </c>
      <c r="F57" s="1313">
        <v>518240.73329718102</v>
      </c>
    </row>
    <row r="58" spans="1:6">
      <c r="A58" s="1312" t="s">
        <v>48</v>
      </c>
      <c r="B58" s="1312" t="s">
        <v>50</v>
      </c>
      <c r="C58" s="1313">
        <v>10</v>
      </c>
      <c r="D58" s="1313">
        <v>1599803.89972744</v>
      </c>
      <c r="E58" s="1313">
        <v>13</v>
      </c>
      <c r="F58" s="1313">
        <v>560283.94983764202</v>
      </c>
    </row>
    <row r="59" spans="1:6">
      <c r="A59" s="1312" t="s">
        <v>48</v>
      </c>
      <c r="B59" s="1312" t="s">
        <v>51</v>
      </c>
      <c r="C59" s="1313">
        <v>16</v>
      </c>
      <c r="D59" s="1313">
        <v>820632.30156251695</v>
      </c>
      <c r="E59" s="1313">
        <v>45</v>
      </c>
      <c r="F59" s="1313">
        <v>1369111.9425315701</v>
      </c>
    </row>
    <row r="60" spans="1:6">
      <c r="A60" s="1312" t="s">
        <v>48</v>
      </c>
      <c r="B60" s="1312" t="s">
        <v>52</v>
      </c>
      <c r="C60" s="1313">
        <v>11</v>
      </c>
      <c r="D60" s="1313">
        <v>764527.21624909202</v>
      </c>
      <c r="E60" s="1313">
        <v>20</v>
      </c>
      <c r="F60" s="1313">
        <v>541359.70001380902</v>
      </c>
    </row>
    <row r="61" spans="1:6">
      <c r="A61" s="1312" t="s">
        <v>48</v>
      </c>
      <c r="B61" s="1312" t="s">
        <v>53</v>
      </c>
      <c r="C61" s="1313">
        <v>24</v>
      </c>
      <c r="D61" s="1313">
        <v>467351.236853501</v>
      </c>
      <c r="E61" s="1313">
        <v>88</v>
      </c>
      <c r="F61" s="1313">
        <v>740386.34667173005</v>
      </c>
    </row>
    <row r="62" spans="1:6">
      <c r="A62" s="1312" t="s">
        <v>48</v>
      </c>
      <c r="B62" s="1312" t="s">
        <v>54</v>
      </c>
      <c r="C62" s="1313">
        <v>5</v>
      </c>
      <c r="D62" s="1313">
        <v>176761.22615904</v>
      </c>
      <c r="E62" s="1313">
        <v>5</v>
      </c>
      <c r="F62" s="1313">
        <v>28189.140275193498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19953.1684401364</v>
      </c>
      <c r="E65" s="1313">
        <v>0</v>
      </c>
      <c r="F65" s="1313">
        <v>0</v>
      </c>
    </row>
    <row r="66" spans="1:6">
      <c r="A66" s="1312" t="s">
        <v>55</v>
      </c>
      <c r="B66" s="1312" t="s">
        <v>57</v>
      </c>
      <c r="C66" s="1313">
        <v>0</v>
      </c>
      <c r="D66" s="1313">
        <v>0</v>
      </c>
      <c r="E66" s="1313">
        <v>3</v>
      </c>
      <c r="F66" s="1313">
        <v>23484.948802054401</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13668.2546111215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6360651</v>
      </c>
      <c r="E73" s="447"/>
      <c r="F73" s="326"/>
    </row>
    <row r="74" spans="1:6">
      <c r="A74" s="1312" t="s">
        <v>63</v>
      </c>
      <c r="B74" s="1312" t="s">
        <v>638</v>
      </c>
      <c r="C74" s="1326" t="s">
        <v>640</v>
      </c>
      <c r="D74" s="1327">
        <v>717503.00952601957</v>
      </c>
      <c r="E74" s="447"/>
      <c r="F74" s="326"/>
    </row>
    <row r="75" spans="1:6">
      <c r="A75" s="1312" t="s">
        <v>64</v>
      </c>
      <c r="B75" s="1312" t="s">
        <v>637</v>
      </c>
      <c r="C75" s="1326" t="s">
        <v>641</v>
      </c>
      <c r="D75" s="1327">
        <v>10126157</v>
      </c>
      <c r="E75" s="447"/>
      <c r="F75" s="326"/>
    </row>
    <row r="76" spans="1:6">
      <c r="A76" s="1312" t="s">
        <v>64</v>
      </c>
      <c r="B76" s="1312" t="s">
        <v>638</v>
      </c>
      <c r="C76" s="1326" t="s">
        <v>642</v>
      </c>
      <c r="D76" s="1327">
        <v>378833.00952601962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59111.980947960801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1746.8242620001963</v>
      </c>
      <c r="C91" s="326"/>
      <c r="D91" s="326"/>
      <c r="E91" s="326"/>
      <c r="F91" s="326"/>
    </row>
    <row r="92" spans="1:6">
      <c r="A92" s="1307" t="s">
        <v>68</v>
      </c>
      <c r="B92" s="1308">
        <v>2330.8503009951733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332</v>
      </c>
      <c r="C97" s="326"/>
      <c r="D97" s="326"/>
      <c r="E97" s="326"/>
      <c r="F97" s="326"/>
    </row>
    <row r="98" spans="1:6">
      <c r="A98" s="1312" t="s">
        <v>71</v>
      </c>
      <c r="B98" s="1313">
        <v>0</v>
      </c>
      <c r="C98" s="326"/>
      <c r="D98" s="326"/>
      <c r="E98" s="326"/>
      <c r="F98" s="326"/>
    </row>
    <row r="99" spans="1:6">
      <c r="A99" s="1312" t="s">
        <v>72</v>
      </c>
      <c r="B99" s="1313">
        <v>88</v>
      </c>
      <c r="C99" s="326"/>
      <c r="D99" s="326"/>
      <c r="E99" s="326"/>
      <c r="F99" s="326"/>
    </row>
    <row r="100" spans="1:6">
      <c r="A100" s="1312" t="s">
        <v>73</v>
      </c>
      <c r="B100" s="1313">
        <v>82</v>
      </c>
      <c r="C100" s="326"/>
      <c r="D100" s="326"/>
      <c r="E100" s="326"/>
      <c r="F100" s="326"/>
    </row>
    <row r="101" spans="1:6">
      <c r="A101" s="1312" t="s">
        <v>74</v>
      </c>
      <c r="B101" s="1313">
        <v>55</v>
      </c>
      <c r="C101" s="326"/>
      <c r="D101" s="326"/>
      <c r="E101" s="326"/>
      <c r="F101" s="326"/>
    </row>
    <row r="102" spans="1:6">
      <c r="A102" s="1312" t="s">
        <v>75</v>
      </c>
      <c r="B102" s="1313">
        <v>21</v>
      </c>
      <c r="C102" s="326"/>
      <c r="D102" s="326"/>
      <c r="E102" s="326"/>
      <c r="F102" s="326"/>
    </row>
    <row r="103" spans="1:6">
      <c r="A103" s="1312" t="s">
        <v>76</v>
      </c>
      <c r="B103" s="1313">
        <v>98</v>
      </c>
      <c r="C103" s="326"/>
      <c r="D103" s="326"/>
      <c r="E103" s="326"/>
      <c r="F103" s="326"/>
    </row>
    <row r="104" spans="1:6">
      <c r="A104" s="1312" t="s">
        <v>77</v>
      </c>
      <c r="B104" s="1313">
        <v>491</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v>
      </c>
      <c r="C123" s="1313">
        <v>14</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70</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21211.950273608447</v>
      </c>
      <c r="C3" s="43" t="s">
        <v>169</v>
      </c>
      <c r="D3" s="43"/>
      <c r="E3" s="154"/>
      <c r="F3" s="43"/>
      <c r="G3" s="43"/>
      <c r="H3" s="43"/>
      <c r="I3" s="43"/>
      <c r="J3" s="43"/>
      <c r="K3" s="96"/>
    </row>
    <row r="4" spans="1:11">
      <c r="A4" s="354" t="s">
        <v>170</v>
      </c>
      <c r="B4" s="49">
        <f>IF(ISERROR('SEAP template'!B78+'SEAP template'!C78),0,'SEAP template'!B78+'SEAP template'!C78)</f>
        <v>4121.324562995369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0.17806133963762899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206.822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206.822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0.17806133963762899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36.827002386533707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3890.6442033552203</v>
      </c>
      <c r="C5" s="17">
        <f>IF(ISERROR('Eigen informatie GS &amp; warmtenet'!B59),0,'Eigen informatie GS &amp; warmtenet'!B59)</f>
        <v>0</v>
      </c>
      <c r="D5" s="30">
        <f>(SUM(HH_hh_gas_kWh,HH_rest_gas_kWh)/1000)*0.903</f>
        <v>7623.9325218728491</v>
      </c>
      <c r="E5" s="17">
        <f>B32*B41</f>
        <v>430.43771428989396</v>
      </c>
      <c r="F5" s="17">
        <f>B36*B45</f>
        <v>9429.4291026405681</v>
      </c>
      <c r="G5" s="18"/>
      <c r="H5" s="17"/>
      <c r="I5" s="17"/>
      <c r="J5" s="17">
        <f>B35*B44+C35*C44</f>
        <v>53.739347788047681</v>
      </c>
      <c r="K5" s="17"/>
      <c r="L5" s="17"/>
      <c r="M5" s="17"/>
      <c r="N5" s="17">
        <f>B34*B43+C34*C43</f>
        <v>1775.868904400143</v>
      </c>
      <c r="O5" s="17">
        <f>B52*B53*B54</f>
        <v>166.65249042851067</v>
      </c>
      <c r="P5" s="17">
        <f>B60*B61*B62/1000-B60*B61*B62/1000/B63</f>
        <v>231.74710476907052</v>
      </c>
    </row>
    <row r="6" spans="1:16">
      <c r="A6" s="16" t="s">
        <v>603</v>
      </c>
      <c r="B6" s="780">
        <f>kWh_PV_kleiner_dan_10kW</f>
        <v>1746.8242620001963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5637.4684653554168</v>
      </c>
      <c r="C8" s="21">
        <f>C5</f>
        <v>0</v>
      </c>
      <c r="D8" s="21">
        <f>D5</f>
        <v>7623.9325218728491</v>
      </c>
      <c r="E8" s="21">
        <f>E5</f>
        <v>430.43771428989396</v>
      </c>
      <c r="F8" s="21">
        <f>F5</f>
        <v>9429.4291026405681</v>
      </c>
      <c r="G8" s="21"/>
      <c r="H8" s="21"/>
      <c r="I8" s="21"/>
      <c r="J8" s="21">
        <f>J5</f>
        <v>53.739347788047681</v>
      </c>
      <c r="K8" s="21"/>
      <c r="L8" s="21">
        <f>L5</f>
        <v>0</v>
      </c>
      <c r="M8" s="21">
        <f>M5</f>
        <v>0</v>
      </c>
      <c r="N8" s="21">
        <f>N5</f>
        <v>1775.868904400143</v>
      </c>
      <c r="O8" s="21">
        <f>O5</f>
        <v>166.65249042851067</v>
      </c>
      <c r="P8" s="21">
        <f>P5</f>
        <v>231.74710476907052</v>
      </c>
    </row>
    <row r="9" spans="1:16">
      <c r="B9" s="19"/>
      <c r="C9" s="19"/>
      <c r="D9" s="254"/>
      <c r="E9" s="19"/>
      <c r="F9" s="19"/>
      <c r="G9" s="19"/>
      <c r="H9" s="19"/>
      <c r="I9" s="19"/>
      <c r="J9" s="19"/>
      <c r="K9" s="19"/>
      <c r="L9" s="19"/>
      <c r="M9" s="19"/>
      <c r="N9" s="19"/>
      <c r="O9" s="19"/>
      <c r="P9" s="19"/>
    </row>
    <row r="10" spans="1:16">
      <c r="A10" s="24" t="s">
        <v>213</v>
      </c>
      <c r="B10" s="25">
        <f ca="1">'EF ele_warmte'!B12</f>
        <v>0.17806133963762899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1003.8151871060739</v>
      </c>
      <c r="C12" s="23">
        <f ca="1">C10*C8</f>
        <v>0</v>
      </c>
      <c r="D12" s="23">
        <f>D8*D10</f>
        <v>1540.0343694183157</v>
      </c>
      <c r="E12" s="23">
        <f>E10*E8</f>
        <v>97.709361143805936</v>
      </c>
      <c r="F12" s="23">
        <f>F10*F8</f>
        <v>2517.6575704050319</v>
      </c>
      <c r="G12" s="23"/>
      <c r="H12" s="23"/>
      <c r="I12" s="23"/>
      <c r="J12" s="23">
        <f>J10*J8</f>
        <v>19.023729116968877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1272</v>
      </c>
      <c r="C26" s="36"/>
      <c r="D26" s="225"/>
    </row>
    <row r="27" spans="1:5" s="15" customFormat="1">
      <c r="A27" s="227" t="s">
        <v>866</v>
      </c>
      <c r="B27" s="37">
        <f>SUM(HH_hh_gas_aantal,HH_rest_gas_aantal)</f>
        <v>602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571.9</v>
      </c>
      <c r="C31" s="34" t="s">
        <v>110</v>
      </c>
      <c r="D31" s="171"/>
    </row>
    <row r="32" spans="1:5">
      <c r="A32" s="168" t="s">
        <v>72</v>
      </c>
      <c r="B32" s="33">
        <f>IF((B21*($B$26-($B$27-0.05*$B$27)-$B$60))&lt;0,0,(B21*($B$26-($B$27-0.05*$B$27)-$B$60)))</f>
        <v>10.764972234357119</v>
      </c>
      <c r="C32" s="34" t="s">
        <v>110</v>
      </c>
      <c r="D32" s="171"/>
    </row>
    <row r="33" spans="1:6">
      <c r="A33" s="168" t="s">
        <v>73</v>
      </c>
      <c r="B33" s="33">
        <f>IF((B22*($B$26-($B$27-0.05*$B$27)-$B$60))&lt;0,0,B22*($B$26-($B$27-0.05*$B$27)-$B$60))</f>
        <v>174.80182882444066</v>
      </c>
      <c r="C33" s="34" t="s">
        <v>110</v>
      </c>
      <c r="D33" s="171"/>
    </row>
    <row r="34" spans="1:6">
      <c r="A34" s="168" t="s">
        <v>74</v>
      </c>
      <c r="B34" s="33">
        <f>IF((B24*($B$26-($B$27-0.05*$B$27)-$B$60))&lt;0,0,B24*($B$26-($B$27-0.05*$B$27)-$B$60))</f>
        <v>33.51184986484342</v>
      </c>
      <c r="C34" s="33">
        <f>B26*C24</f>
        <v>260.64035543392419</v>
      </c>
      <c r="D34" s="230"/>
    </row>
    <row r="35" spans="1:6">
      <c r="A35" s="168" t="s">
        <v>76</v>
      </c>
      <c r="B35" s="33">
        <f>IF((B19*($B$26-($B$27-0.05*$B$27)-$B$60))&lt;0,0,B19*($B$26-($B$27-0.05*$B$27)-$B$60))</f>
        <v>4.6795077658787623</v>
      </c>
      <c r="C35" s="33">
        <f>B35/2</f>
        <v>2.3397538829393811</v>
      </c>
      <c r="D35" s="230"/>
    </row>
    <row r="36" spans="1:6">
      <c r="A36" s="168" t="s">
        <v>77</v>
      </c>
      <c r="B36" s="33">
        <f>IF((B18*($B$26-($B$27-0.05*$B$27)-$B$60))&lt;0,0,B18*($B$26-($B$27-0.05*$B$27)-$B$60))</f>
        <v>454.34184131047994</v>
      </c>
      <c r="C36" s="34" t="s">
        <v>110</v>
      </c>
      <c r="D36" s="171"/>
    </row>
    <row r="37" spans="1:6">
      <c r="A37" s="168" t="s">
        <v>78</v>
      </c>
      <c r="B37" s="33">
        <f>B60</f>
        <v>22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3757.5718126271258</v>
      </c>
      <c r="C5" s="17">
        <f>IF(ISERROR('Eigen informatie GS &amp; warmtenet'!B60),0,'Eigen informatie GS &amp; warmtenet'!B60)</f>
        <v>0</v>
      </c>
      <c r="D5" s="30">
        <f>SUM(D6:D12)</f>
        <v>4156.0179388797087</v>
      </c>
      <c r="E5" s="17">
        <f>SUM(E6:E12)</f>
        <v>17.839300089445143</v>
      </c>
      <c r="F5" s="17">
        <f>SUM(F6:F12)</f>
        <v>771.91663886463789</v>
      </c>
      <c r="G5" s="18"/>
      <c r="H5" s="17"/>
      <c r="I5" s="17"/>
      <c r="J5" s="17">
        <f>SUM(J6:J12)</f>
        <v>5.2415759749379186E-3</v>
      </c>
      <c r="K5" s="17"/>
      <c r="L5" s="17"/>
      <c r="M5" s="17"/>
      <c r="N5" s="17">
        <f>SUM(N6:N12)</f>
        <v>204.03330858234108</v>
      </c>
      <c r="O5" s="17">
        <f>B38*B39*B40</f>
        <v>4.8972607658411542</v>
      </c>
      <c r="P5" s="17">
        <f>B46*B47*B48/1000-B46*B47*B48/1000/B49</f>
        <v>105.07827661299004</v>
      </c>
      <c r="R5" s="32"/>
    </row>
    <row r="6" spans="1:18">
      <c r="A6" s="32" t="s">
        <v>53</v>
      </c>
      <c r="B6" s="37">
        <f>B26</f>
        <v>740.38634667173005</v>
      </c>
      <c r="C6" s="33"/>
      <c r="D6" s="37">
        <f>IF(ISERROR(TER_kantoor_gas_kWh/1000),0,TER_kantoor_gas_kWh/1000)*0.903</f>
        <v>422.01816687871144</v>
      </c>
      <c r="E6" s="33">
        <f>$C$26*'E Balans VL '!I12/100/3.6*1000000</f>
        <v>0.17641224376291989</v>
      </c>
      <c r="F6" s="33">
        <f>$C$26*('E Balans VL '!L12+'E Balans VL '!N12)/100/3.6*1000000</f>
        <v>64.309807143371984</v>
      </c>
      <c r="G6" s="34"/>
      <c r="H6" s="33"/>
      <c r="I6" s="33"/>
      <c r="J6" s="33">
        <f>$C$26*('E Balans VL '!D12+'E Balans VL '!E12)/100/3.6*1000000</f>
        <v>0</v>
      </c>
      <c r="K6" s="33"/>
      <c r="L6" s="33"/>
      <c r="M6" s="33"/>
      <c r="N6" s="33">
        <f>$C$26*'E Balans VL '!Y12/100/3.6*1000000</f>
        <v>0.98962993252404141</v>
      </c>
      <c r="O6" s="33"/>
      <c r="P6" s="33"/>
      <c r="R6" s="32"/>
    </row>
    <row r="7" spans="1:18">
      <c r="A7" s="32" t="s">
        <v>52</v>
      </c>
      <c r="B7" s="37">
        <f t="shared" ref="B7:B12" si="0">B27</f>
        <v>541.35970001380906</v>
      </c>
      <c r="C7" s="33"/>
      <c r="D7" s="37">
        <f>IF(ISERROR(TER_horeca_gas_kWh/1000),0,TER_horeca_gas_kWh/1000)*0.903</f>
        <v>690.36807627293013</v>
      </c>
      <c r="E7" s="33">
        <f>$C$27*'E Balans VL '!I9/100/3.6*1000000</f>
        <v>0</v>
      </c>
      <c r="F7" s="33">
        <f>$C$27*('E Balans VL '!L9+'E Balans VL '!N9)/100/3.6*1000000</f>
        <v>44.111018340055004</v>
      </c>
      <c r="G7" s="34"/>
      <c r="H7" s="33"/>
      <c r="I7" s="33"/>
      <c r="J7" s="33">
        <f>$C$27*('E Balans VL '!D9+'E Balans VL '!E9)/100/3.6*1000000</f>
        <v>0</v>
      </c>
      <c r="K7" s="33"/>
      <c r="L7" s="33"/>
      <c r="M7" s="33"/>
      <c r="N7" s="33">
        <f>$C$27*'E Balans VL '!Y9/100/3.6*1000000</f>
        <v>0.14994655822039574</v>
      </c>
      <c r="O7" s="33"/>
      <c r="P7" s="33"/>
      <c r="R7" s="32"/>
    </row>
    <row r="8" spans="1:18">
      <c r="A8" s="6" t="s">
        <v>51</v>
      </c>
      <c r="B8" s="37">
        <f t="shared" si="0"/>
        <v>1369.1119425315701</v>
      </c>
      <c r="C8" s="33"/>
      <c r="D8" s="37">
        <f>IF(ISERROR(TER_handel_gas_kWh/1000),0,TER_handel_gas_kWh/1000)*0.903</f>
        <v>741.03096831095286</v>
      </c>
      <c r="E8" s="33">
        <f>$C$28*'E Balans VL '!I13/100/3.6*1000000</f>
        <v>10.944153210964682</v>
      </c>
      <c r="F8" s="33">
        <f>$C$28*('E Balans VL '!L13+'E Balans VL '!N13)/100/3.6*1000000</f>
        <v>136.01276059411001</v>
      </c>
      <c r="G8" s="34"/>
      <c r="H8" s="33"/>
      <c r="I8" s="33"/>
      <c r="J8" s="33">
        <f>$C$28*('E Balans VL '!D13+'E Balans VL '!E13)/100/3.6*1000000</f>
        <v>0</v>
      </c>
      <c r="K8" s="33"/>
      <c r="L8" s="33"/>
      <c r="M8" s="33"/>
      <c r="N8" s="33">
        <f>$C$28*'E Balans VL '!Y13/100/3.6*1000000</f>
        <v>0.51144480550295091</v>
      </c>
      <c r="O8" s="33"/>
      <c r="P8" s="33"/>
      <c r="R8" s="32"/>
    </row>
    <row r="9" spans="1:18">
      <c r="A9" s="32" t="s">
        <v>50</v>
      </c>
      <c r="B9" s="37">
        <f t="shared" si="0"/>
        <v>560.28394983764201</v>
      </c>
      <c r="C9" s="33"/>
      <c r="D9" s="37">
        <f>IF(ISERROR(TER_gezond_gas_kWh/1000),0,TER_gezond_gas_kWh/1000)*0.903</f>
        <v>1444.6229214538785</v>
      </c>
      <c r="E9" s="33">
        <f>$C$29*'E Balans VL '!I10/100/3.6*1000000</f>
        <v>0</v>
      </c>
      <c r="F9" s="33">
        <f>$C$29*('E Balans VL '!L10+'E Balans VL '!N10)/100/3.6*1000000</f>
        <v>51.079012244987531</v>
      </c>
      <c r="G9" s="34"/>
      <c r="H9" s="33"/>
      <c r="I9" s="33"/>
      <c r="J9" s="33">
        <f>$C$29*('E Balans VL '!D10+'E Balans VL '!E10)/100/3.6*1000000</f>
        <v>0</v>
      </c>
      <c r="K9" s="33"/>
      <c r="L9" s="33"/>
      <c r="M9" s="33"/>
      <c r="N9" s="33">
        <f>$C$29*'E Balans VL '!Y10/100/3.6*1000000</f>
        <v>4.0951735692241691</v>
      </c>
      <c r="O9" s="33"/>
      <c r="P9" s="33"/>
      <c r="R9" s="32"/>
    </row>
    <row r="10" spans="1:18">
      <c r="A10" s="32" t="s">
        <v>49</v>
      </c>
      <c r="B10" s="37">
        <f t="shared" si="0"/>
        <v>518.24073329718101</v>
      </c>
      <c r="C10" s="33"/>
      <c r="D10" s="37">
        <f>IF(ISERROR(TER_ander_gas_kWh/1000),0,TER_ander_gas_kWh/1000)*0.903</f>
        <v>698.36241874162317</v>
      </c>
      <c r="E10" s="33">
        <f>$C$30*'E Balans VL '!I14/100/3.6*1000000</f>
        <v>6.7187346347175412</v>
      </c>
      <c r="F10" s="33">
        <f>$C$30*('E Balans VL '!L14+'E Balans VL '!N14)/100/3.6*1000000</f>
        <v>475.29951481402435</v>
      </c>
      <c r="G10" s="34"/>
      <c r="H10" s="33"/>
      <c r="I10" s="33"/>
      <c r="J10" s="33">
        <f>$C$30*('E Balans VL '!D14+'E Balans VL '!E14)/100/3.6*1000000</f>
        <v>5.2415759749379186E-3</v>
      </c>
      <c r="K10" s="33"/>
      <c r="L10" s="33"/>
      <c r="M10" s="33"/>
      <c r="N10" s="33">
        <f>$C$30*'E Balans VL '!Y14/100/3.6*1000000</f>
        <v>198.19833914937237</v>
      </c>
      <c r="O10" s="33"/>
      <c r="P10" s="33"/>
      <c r="R10" s="32"/>
    </row>
    <row r="11" spans="1:18">
      <c r="A11" s="32" t="s">
        <v>54</v>
      </c>
      <c r="B11" s="37">
        <f t="shared" si="0"/>
        <v>28.189140275193498</v>
      </c>
      <c r="C11" s="33"/>
      <c r="D11" s="37">
        <f>IF(ISERROR(TER_onderwijs_gas_kWh/1000),0,TER_onderwijs_gas_kWh/1000)*0.903</f>
        <v>159.61538722161313</v>
      </c>
      <c r="E11" s="33">
        <f>$C$31*'E Balans VL '!I11/100/3.6*1000000</f>
        <v>0</v>
      </c>
      <c r="F11" s="33">
        <f>$C$31*('E Balans VL '!L11+'E Balans VL '!N11)/100/3.6*1000000</f>
        <v>1.104525728089033</v>
      </c>
      <c r="G11" s="34"/>
      <c r="H11" s="33"/>
      <c r="I11" s="33"/>
      <c r="J11" s="33">
        <f>$C$31*('E Balans VL '!D11+'E Balans VL '!E11)/100/3.6*1000000</f>
        <v>0</v>
      </c>
      <c r="K11" s="33"/>
      <c r="L11" s="33"/>
      <c r="M11" s="33"/>
      <c r="N11" s="33">
        <f>$C$31*'E Balans VL '!Y11/100/3.6*1000000</f>
        <v>8.8774567497145782E-2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3757.5718126271258</v>
      </c>
      <c r="C16" s="21">
        <f t="shared" ca="1" si="1"/>
        <v>0</v>
      </c>
      <c r="D16" s="21">
        <f t="shared" ca="1" si="1"/>
        <v>4156.0179388797087</v>
      </c>
      <c r="E16" s="21">
        <f t="shared" si="1"/>
        <v>17.839300089445143</v>
      </c>
      <c r="F16" s="21">
        <f t="shared" ca="1" si="1"/>
        <v>771.91663886463789</v>
      </c>
      <c r="G16" s="21">
        <f t="shared" si="1"/>
        <v>0</v>
      </c>
      <c r="H16" s="21">
        <f t="shared" si="1"/>
        <v>0</v>
      </c>
      <c r="I16" s="21">
        <f t="shared" si="1"/>
        <v>0</v>
      </c>
      <c r="J16" s="21">
        <f t="shared" si="1"/>
        <v>5.2415759749379186E-3</v>
      </c>
      <c r="K16" s="21">
        <f t="shared" si="1"/>
        <v>0</v>
      </c>
      <c r="L16" s="21">
        <f t="shared" ca="1" si="1"/>
        <v>0</v>
      </c>
      <c r="M16" s="21">
        <f t="shared" si="1"/>
        <v>0</v>
      </c>
      <c r="N16" s="21">
        <f t="shared" ca="1" si="1"/>
        <v>204.03330858234108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0.17806133963762899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669.07827074097986</v>
      </c>
      <c r="C20" s="23">
        <f t="shared" ref="C20:P20" ca="1" si="2">C16*C18</f>
        <v>0</v>
      </c>
      <c r="D20" s="23">
        <f t="shared" ca="1" si="2"/>
        <v>839.51562365370125</v>
      </c>
      <c r="E20" s="23">
        <f t="shared" si="2"/>
        <v>4.0495211203040471</v>
      </c>
      <c r="F20" s="23">
        <f t="shared" ca="1" si="2"/>
        <v>206.10174257685833</v>
      </c>
      <c r="G20" s="23">
        <f t="shared" si="2"/>
        <v>0</v>
      </c>
      <c r="H20" s="23">
        <f t="shared" si="2"/>
        <v>0</v>
      </c>
      <c r="I20" s="23">
        <f t="shared" si="2"/>
        <v>0</v>
      </c>
      <c r="J20" s="23">
        <f t="shared" si="2"/>
        <v>1.855517895128023E-3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740.38634667173005</v>
      </c>
      <c r="C26" s="39">
        <f>IF(ISERROR(B26*3.6/1000000/'E Balans VL '!Z12*100),0,B26*3.6/1000000/'E Balans VL '!Z12*100)</f>
        <v>2.1241614611876049E-2</v>
      </c>
      <c r="D26" s="233" t="s">
        <v>841</v>
      </c>
      <c r="F26" s="6"/>
    </row>
    <row r="27" spans="1:18" ht="30">
      <c r="A27" s="228" t="s">
        <v>52</v>
      </c>
      <c r="B27" s="33">
        <f>IF(ISERROR(TER_horeca_ele_kWh/1000),0,TER_horeca_ele_kWh/1000)</f>
        <v>541.35970001380906</v>
      </c>
      <c r="C27" s="39">
        <f>IF(ISERROR(B27*3.6/1000000/'E Balans VL '!Z9*100),0,B27*3.6/1000000/'E Balans VL '!Z9*100)</f>
        <v>3.9660203283596228E-2</v>
      </c>
      <c r="D27" s="233" t="s">
        <v>841</v>
      </c>
      <c r="F27" s="6"/>
    </row>
    <row r="28" spans="1:18" ht="30">
      <c r="A28" s="168" t="s">
        <v>51</v>
      </c>
      <c r="B28" s="33">
        <f>IF(ISERROR(TER_handel_ele_kWh/1000),0,TER_handel_ele_kWh/1000)</f>
        <v>1369.1119425315701</v>
      </c>
      <c r="C28" s="39">
        <f>IF(ISERROR(B28*3.6/1000000/'E Balans VL '!Z13*100),0,B28*3.6/1000000/'E Balans VL '!Z13*100)</f>
        <v>4.2306713803523535E-2</v>
      </c>
      <c r="D28" s="233" t="s">
        <v>841</v>
      </c>
      <c r="F28" s="6"/>
    </row>
    <row r="29" spans="1:18" ht="30">
      <c r="A29" s="228" t="s">
        <v>50</v>
      </c>
      <c r="B29" s="33">
        <f>IF(ISERROR(TER_gezond_ele_kWh/1000),0,TER_gezond_ele_kWh/1000)</f>
        <v>560.28394983764201</v>
      </c>
      <c r="C29" s="39">
        <f>IF(ISERROR(B29*3.6/1000000/'E Balans VL '!Z10*100),0,B29*3.6/1000000/'E Balans VL '!Z10*100)</f>
        <v>5.4911272244882986E-2</v>
      </c>
      <c r="D29" s="233" t="s">
        <v>841</v>
      </c>
      <c r="F29" s="6"/>
    </row>
    <row r="30" spans="1:18" ht="30">
      <c r="A30" s="228" t="s">
        <v>49</v>
      </c>
      <c r="B30" s="33">
        <f>IF(ISERROR(TER_ander_ele_kWh/1000),0,TER_ander_ele_kWh/1000)</f>
        <v>518.24073329718101</v>
      </c>
      <c r="C30" s="39">
        <f>IF(ISERROR(B30*3.6/1000000/'E Balans VL '!Z14*100),0,B30*3.6/1000000/'E Balans VL '!Z14*100)</f>
        <v>2.1467205358107515E-2</v>
      </c>
      <c r="D30" s="233" t="s">
        <v>841</v>
      </c>
      <c r="F30" s="6"/>
    </row>
    <row r="31" spans="1:18" ht="30">
      <c r="A31" s="228" t="s">
        <v>54</v>
      </c>
      <c r="B31" s="33">
        <f>IF(ISERROR(TER_onderwijs_ele_kWh/1000),0,TER_onderwijs_ele_kWh/1000)</f>
        <v>28.189140275193498</v>
      </c>
      <c r="C31" s="39">
        <f>IF(ISERROR(B31*3.6/1000000/'E Balans VL '!Z11*100),0,B31*3.6/1000000/'E Balans VL '!Z11*100)</f>
        <v>8.6616657828446422E-3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5691.943374559225</v>
      </c>
      <c r="C5" s="17">
        <f>IF(ISERROR('Eigen informatie GS &amp; warmtenet'!B61),0,'Eigen informatie GS &amp; warmtenet'!B61)</f>
        <v>0</v>
      </c>
      <c r="D5" s="30">
        <f>SUM(D6:D15)</f>
        <v>362.73566537459732</v>
      </c>
      <c r="E5" s="17">
        <f>SUM(E6:E15)</f>
        <v>16.192035289819245</v>
      </c>
      <c r="F5" s="17">
        <f>SUM(F6:F15)</f>
        <v>432.62704390931714</v>
      </c>
      <c r="G5" s="18"/>
      <c r="H5" s="17"/>
      <c r="I5" s="17"/>
      <c r="J5" s="17">
        <f>SUM(J6:J15)</f>
        <v>0.9106883842210578</v>
      </c>
      <c r="K5" s="17"/>
      <c r="L5" s="17"/>
      <c r="M5" s="17"/>
      <c r="N5" s="17">
        <f>SUM(N6:N15)</f>
        <v>206.60761976777314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1104.2097795685399</v>
      </c>
      <c r="C8" s="33"/>
      <c r="D8" s="37">
        <f>IF( ISERROR(IND_metaal_Gas_kWH/1000),0,IND_metaal_Gas_kWH/1000)*0.903</f>
        <v>69.975608814336226</v>
      </c>
      <c r="E8" s="33">
        <f>C30*'E Balans VL '!I18/100/3.6*1000000</f>
        <v>6.0192197181939147</v>
      </c>
      <c r="F8" s="33">
        <f>C30*'E Balans VL '!L18/100/3.6*1000000+C30*'E Balans VL '!N18/100/3.6*1000000</f>
        <v>71.111194146740004</v>
      </c>
      <c r="G8" s="34"/>
      <c r="H8" s="33"/>
      <c r="I8" s="33"/>
      <c r="J8" s="40">
        <f>C30*'E Balans VL '!D18/100/3.6*1000000+C30*'E Balans VL '!E18/100/3.6*1000000</f>
        <v>0.90448249921765767</v>
      </c>
      <c r="K8" s="33"/>
      <c r="L8" s="33"/>
      <c r="M8" s="33"/>
      <c r="N8" s="33">
        <f>C30*'E Balans VL '!Y18/100/3.6*1000000</f>
        <v>23.855722629181805</v>
      </c>
      <c r="O8" s="33"/>
      <c r="P8" s="33"/>
      <c r="R8" s="32"/>
    </row>
    <row r="9" spans="1:18">
      <c r="A9" s="6" t="s">
        <v>32</v>
      </c>
      <c r="B9" s="37">
        <f t="shared" si="0"/>
        <v>433.69202256458101</v>
      </c>
      <c r="C9" s="33"/>
      <c r="D9" s="37">
        <f>IF( ISERROR(IND_andere_gas_kWh/1000),0,IND_andere_gas_kWh/1000)*0.903</f>
        <v>252.47834859326096</v>
      </c>
      <c r="E9" s="33">
        <f>C31*'E Balans VL '!I19/100/3.6*1000000</f>
        <v>1.4000317068308861</v>
      </c>
      <c r="F9" s="33">
        <f>C31*'E Balans VL '!L19/100/3.6*1000000+C31*'E Balans VL '!N19/100/3.6*1000000</f>
        <v>280.42866629927204</v>
      </c>
      <c r="G9" s="34"/>
      <c r="H9" s="33"/>
      <c r="I9" s="33"/>
      <c r="J9" s="40">
        <f>C31*'E Balans VL '!D19/100/3.6*1000000+C31*'E Balans VL '!E19/100/3.6*1000000</f>
        <v>0</v>
      </c>
      <c r="K9" s="33"/>
      <c r="L9" s="33"/>
      <c r="M9" s="33"/>
      <c r="N9" s="33">
        <f>C31*'E Balans VL '!Y19/100/3.6*1000000</f>
        <v>17.524993673614667</v>
      </c>
      <c r="O9" s="33"/>
      <c r="P9" s="33"/>
      <c r="R9" s="32"/>
    </row>
    <row r="10" spans="1:18">
      <c r="A10" s="6" t="s">
        <v>40</v>
      </c>
      <c r="B10" s="37">
        <f t="shared" si="0"/>
        <v>4152.8985823442399</v>
      </c>
      <c r="C10" s="33"/>
      <c r="D10" s="37">
        <f>IF( ISERROR(IND_voed_gas_kWh/1000),0,IND_voed_gas_kWh/1000)*0.903</f>
        <v>0</v>
      </c>
      <c r="E10" s="33">
        <f>C32*'E Balans VL '!I20/100/3.6*1000000</f>
        <v>8.705493194230705</v>
      </c>
      <c r="F10" s="33">
        <f>C32*'E Balans VL '!L20/100/3.6*1000000+C32*'E Balans VL '!N20/100/3.6*1000000</f>
        <v>80.91281629140893</v>
      </c>
      <c r="G10" s="34"/>
      <c r="H10" s="33"/>
      <c r="I10" s="33"/>
      <c r="J10" s="40">
        <f>C32*'E Balans VL '!D20/100/3.6*1000000+C32*'E Balans VL '!E20/100/3.6*1000000</f>
        <v>0</v>
      </c>
      <c r="K10" s="33"/>
      <c r="L10" s="33"/>
      <c r="M10" s="33"/>
      <c r="N10" s="33">
        <f>C32*'E Balans VL '!Y20/100/3.6*1000000</f>
        <v>165.19079208338545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1.1429900818642</v>
      </c>
      <c r="C15" s="33"/>
      <c r="D15" s="37">
        <f>IF( ISERROR(IND_rest_gas_kWh/1000),0,IND_rest_gas_kWh/1000)*0.903</f>
        <v>40.281707967000173</v>
      </c>
      <c r="E15" s="33">
        <f>C37*'E Balans VL '!I15/100/3.6*1000000</f>
        <v>6.7290670563739746E-2</v>
      </c>
      <c r="F15" s="33">
        <f>C37*'E Balans VL '!L15/100/3.6*1000000+C37*'E Balans VL '!N15/100/3.6*1000000</f>
        <v>0.17436717189617931</v>
      </c>
      <c r="G15" s="34"/>
      <c r="H15" s="33"/>
      <c r="I15" s="33"/>
      <c r="J15" s="40">
        <f>C37*'E Balans VL '!D15/100/3.6*1000000+C37*'E Balans VL '!E15/100/3.6*1000000</f>
        <v>6.2058850034000836E-3</v>
      </c>
      <c r="K15" s="33"/>
      <c r="L15" s="33"/>
      <c r="M15" s="33"/>
      <c r="N15" s="33">
        <f>C37*'E Balans VL '!Y15/100/3.6*1000000</f>
        <v>3.6111381591251594E-2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5691.943374559225</v>
      </c>
      <c r="C18" s="21">
        <f>C5+C16</f>
        <v>0</v>
      </c>
      <c r="D18" s="21">
        <f>MAX((D5+D16),0)</f>
        <v>362.73566537459732</v>
      </c>
      <c r="E18" s="21">
        <f>MAX((E5+E16),0)</f>
        <v>16.192035289819245</v>
      </c>
      <c r="F18" s="21">
        <f>MAX((F5+F16),0)</f>
        <v>432.62704390931714</v>
      </c>
      <c r="G18" s="21"/>
      <c r="H18" s="21"/>
      <c r="I18" s="21"/>
      <c r="J18" s="21">
        <f>MAX((J5+J16),0)</f>
        <v>0.9106883842210578</v>
      </c>
      <c r="K18" s="21"/>
      <c r="L18" s="21">
        <f>MAX((L5+L16),0)</f>
        <v>0</v>
      </c>
      <c r="M18" s="21"/>
      <c r="N18" s="21">
        <f>MAX((N5+N16),0)</f>
        <v>206.60761976777314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0.17806133963762899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1013.5150624155423</v>
      </c>
      <c r="C22" s="23">
        <f ca="1">C18*C20</f>
        <v>0</v>
      </c>
      <c r="D22" s="23">
        <f>D18*D20</f>
        <v>73.272604405668659</v>
      </c>
      <c r="E22" s="23">
        <f>E18*E20</f>
        <v>3.6755920107889688</v>
      </c>
      <c r="F22" s="23">
        <f>F18*F20</f>
        <v>115.51142072378768</v>
      </c>
      <c r="G22" s="23"/>
      <c r="H22" s="23"/>
      <c r="I22" s="23"/>
      <c r="J22" s="23">
        <f>J18*J20</f>
        <v>0.32238368801425443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1104.2097795685399</v>
      </c>
      <c r="C30" s="39">
        <f>IF(ISERROR(B30*3.6/1000000/'E Balans VL '!Z18*100),0,B30*3.6/1000000/'E Balans VL '!Z18*100)</f>
        <v>6.6492485137504137E-2</v>
      </c>
      <c r="D30" s="233" t="s">
        <v>841</v>
      </c>
    </row>
    <row r="31" spans="1:18" ht="30">
      <c r="A31" s="6" t="s">
        <v>32</v>
      </c>
      <c r="B31" s="37">
        <f>IF( ISERROR(IND_ander_ele_kWh/1000),0,IND_ander_ele_kWh/1000)</f>
        <v>433.69202256458101</v>
      </c>
      <c r="C31" s="39">
        <f>IF(ISERROR(B31*3.6/1000000/'E Balans VL '!Z19*100),0,B31*3.6/1000000/'E Balans VL '!Z19*100)</f>
        <v>1.7669510845092985E-2</v>
      </c>
      <c r="D31" s="233" t="s">
        <v>841</v>
      </c>
    </row>
    <row r="32" spans="1:18" ht="30">
      <c r="A32" s="168" t="s">
        <v>40</v>
      </c>
      <c r="B32" s="37">
        <f>IF( ISERROR(IND_voed_ele_kWh/1000),0,IND_voed_ele_kWh/1000)</f>
        <v>4152.8985823442399</v>
      </c>
      <c r="C32" s="39">
        <f>IF(ISERROR(B32*3.6/1000000/'E Balans VL '!Z20*100),0,B32*3.6/1000000/'E Balans VL '!Z20*100)</f>
        <v>0.12007701052827265</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1.1429900818642</v>
      </c>
      <c r="C37" s="39">
        <f>IF(ISERROR(B37*3.6/1000000/'E Balans VL '!Z15*100),0,B37*3.6/1000000/'E Balans VL '!Z15*100)</f>
        <v>9.3848142974487758E-6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5696.8420804569196</v>
      </c>
      <c r="C5" s="17">
        <f>'Eigen informatie GS &amp; warmtenet'!B62</f>
        <v>0</v>
      </c>
      <c r="D5" s="30">
        <f>IF(ISERROR(SUM(LB_lb_gas_kWh,LB_rest_gas_kWh)/1000),0,SUM(LB_lb_gas_kWh,LB_rest_gas_kWh)/1000)*0.903</f>
        <v>118.52111249588525</v>
      </c>
      <c r="E5" s="17">
        <f>B17*'E Balans VL '!I25/3.6*1000000/100</f>
        <v>163.1671980061227</v>
      </c>
      <c r="F5" s="17">
        <f>B17*('E Balans VL '!L25/3.6*1000000+'E Balans VL '!N25/3.6*1000000)/100</f>
        <v>18033.259249941853</v>
      </c>
      <c r="G5" s="18"/>
      <c r="H5" s="17"/>
      <c r="I5" s="17"/>
      <c r="J5" s="17">
        <f>('E Balans VL '!D25+'E Balans VL '!E25)/3.6*1000000*landbouw!B17/100</f>
        <v>1448.5280465920398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5696.8420804569196</v>
      </c>
      <c r="C8" s="21">
        <f>C5+C6</f>
        <v>62.357142857142847</v>
      </c>
      <c r="D8" s="21">
        <f>MAX((D5+D6),0)</f>
        <v>118.52111249588525</v>
      </c>
      <c r="E8" s="21">
        <f>MAX((E5+E6),0)</f>
        <v>163.1671980061227</v>
      </c>
      <c r="F8" s="21">
        <f>MAX((F5+F6),0)</f>
        <v>18033.259249941853</v>
      </c>
      <c r="G8" s="21"/>
      <c r="H8" s="21"/>
      <c r="I8" s="21"/>
      <c r="J8" s="21">
        <f>MAX((J5+J6),0)</f>
        <v>1448.5280465920398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0.17806133963762899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1014.3873325501764</v>
      </c>
      <c r="C12" s="23">
        <f ca="1">C8*C10</f>
        <v>0</v>
      </c>
      <c r="D12" s="23">
        <f>D8*D10</f>
        <v>23.941264724168821</v>
      </c>
      <c r="E12" s="23">
        <f>E8*E10</f>
        <v>37.038953947389857</v>
      </c>
      <c r="F12" s="23">
        <f>F8*F10</f>
        <v>4814.8802197344748</v>
      </c>
      <c r="G12" s="23"/>
      <c r="H12" s="23"/>
      <c r="I12" s="23"/>
      <c r="J12" s="23">
        <f>J8*J10</f>
        <v>512.77892849358204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0.78888339243366279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1117.706498195618</v>
      </c>
      <c r="C26" s="243">
        <f>B26*'GWP N2O_CH4'!B5</f>
        <v>23471.836462107978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599.36538368043216</v>
      </c>
      <c r="C27" s="243">
        <f>B27*'GWP N2O_CH4'!B5</f>
        <v>12586.673057289076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15.690727225451797</v>
      </c>
      <c r="C28" s="243">
        <f>B28*'GWP N2O_CH4'!B4</f>
        <v>4864.1254398900574</v>
      </c>
      <c r="D28" s="50"/>
    </row>
    <row r="29" spans="1:4">
      <c r="A29" s="41" t="s">
        <v>272</v>
      </c>
      <c r="B29" s="243">
        <f>B34*'ha_N2O bodem landbouw'!B4</f>
        <v>35.755233791542217</v>
      </c>
      <c r="C29" s="243">
        <f>B29*'GWP N2O_CH4'!B4</f>
        <v>11084.122475378088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8.1229491960902751E-3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1.3347213779488809E-4</v>
      </c>
      <c r="C5" s="434" t="s">
        <v>210</v>
      </c>
      <c r="D5" s="419">
        <f>SUM(D6:D11)</f>
        <v>2.7668590584209386E-4</v>
      </c>
      <c r="E5" s="419">
        <f>SUM(E6:E11)</f>
        <v>1.0628474900050713E-4</v>
      </c>
      <c r="F5" s="432" t="s">
        <v>210</v>
      </c>
      <c r="G5" s="419">
        <f>SUM(G6:G11)</f>
        <v>4.162736592122835E-2</v>
      </c>
      <c r="H5" s="419">
        <f>SUM(H6:H11)</f>
        <v>1.3476599035127095E-2</v>
      </c>
      <c r="I5" s="434" t="s">
        <v>210</v>
      </c>
      <c r="J5" s="434" t="s">
        <v>210</v>
      </c>
      <c r="K5" s="434" t="s">
        <v>210</v>
      </c>
      <c r="L5" s="434" t="s">
        <v>210</v>
      </c>
      <c r="M5" s="419">
        <f>SUM(M6:M11)</f>
        <v>3.3455493966842694E-3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4.4602191363948387E-5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7.4364621176158493E-5</v>
      </c>
      <c r="E6" s="886">
        <f>vkm_GW_PW*SUMIFS(TableVerdeelsleutelVkm[LPG],TableVerdeelsleutelVkm[Voertuigtype],"Lichte voertuigen")*SUMIFS(TableECFTransport[EnergieConsumptieFactor (PJ per km)],TableECFTransport[Index],CONCATENATE($A6,"_LPG_LPG"))</f>
        <v>2.9482547725064177E-5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8.8602462059600342E-3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3.6469711788700079E-3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7.6728090166491457E-4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1.7456724975221058E-7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6.9199558117886487E-3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5.1059257593361191E-8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3.9733216006979506E-4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8.8603209760696855E-5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2.023212846659354E-4</v>
      </c>
      <c r="E8" s="422">
        <f>vkm_NGW_PW*SUMIFS(TableVerdeelsleutelVkm[LPG],TableVerdeelsleutelVkm[Voertuigtype],"Lichte voertuigen")*SUMIFS(TableECFTransport[EnergieConsumptieFactor (PJ per km)],TableECFTransport[Index],CONCATENATE($A8,"_LPG_LPG"))</f>
        <v>7.6802201275442955E-5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2.1142116228077622E-2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9.8295442571882646E-3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1.9107806086501667E-3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9.2169420490649563E-8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4.7050476754020411E-3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3.25398112286116E-8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2.7015572629939314E-4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37.075593831913359</v>
      </c>
      <c r="C14" s="21"/>
      <c r="D14" s="21">
        <f t="shared" ref="D14:M14" si="0">((D5)*10^9/3600)+D12</f>
        <v>76.857196067248296</v>
      </c>
      <c r="E14" s="21">
        <f t="shared" si="0"/>
        <v>29.523541389029759</v>
      </c>
      <c r="F14" s="21"/>
      <c r="G14" s="21">
        <f t="shared" si="0"/>
        <v>11563.157200341207</v>
      </c>
      <c r="H14" s="21">
        <f t="shared" si="0"/>
        <v>3743.4997319797485</v>
      </c>
      <c r="I14" s="21"/>
      <c r="J14" s="21"/>
      <c r="K14" s="21"/>
      <c r="L14" s="21"/>
      <c r="M14" s="21">
        <f t="shared" si="0"/>
        <v>929.31927685674145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0.17806133963762899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6.6017299055711067</v>
      </c>
      <c r="C18" s="23"/>
      <c r="D18" s="23">
        <f t="shared" ref="D18:M18" si="1">D14*D16</f>
        <v>15.525153605584157</v>
      </c>
      <c r="E18" s="23">
        <f t="shared" si="1"/>
        <v>6.7018438953097554</v>
      </c>
      <c r="F18" s="23"/>
      <c r="G18" s="23">
        <f t="shared" si="1"/>
        <v>3087.3629724911025</v>
      </c>
      <c r="H18" s="23">
        <f t="shared" si="1"/>
        <v>932.13143326295733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1.1409023149997446E-5</v>
      </c>
      <c r="C50" s="315">
        <f t="shared" ref="C50:P50" si="2">SUM(C51:C52)</f>
        <v>0</v>
      </c>
      <c r="D50" s="315">
        <f t="shared" si="2"/>
        <v>0</v>
      </c>
      <c r="E50" s="315">
        <f t="shared" si="2"/>
        <v>0</v>
      </c>
      <c r="F50" s="315">
        <f t="shared" si="2"/>
        <v>0</v>
      </c>
      <c r="G50" s="315">
        <f t="shared" si="2"/>
        <v>7.1423934108250803E-4</v>
      </c>
      <c r="H50" s="315">
        <f t="shared" si="2"/>
        <v>0</v>
      </c>
      <c r="I50" s="315">
        <f t="shared" si="2"/>
        <v>0</v>
      </c>
      <c r="J50" s="315">
        <f t="shared" si="2"/>
        <v>0</v>
      </c>
      <c r="K50" s="315">
        <f t="shared" si="2"/>
        <v>0</v>
      </c>
      <c r="L50" s="315">
        <f t="shared" si="2"/>
        <v>0</v>
      </c>
      <c r="M50" s="315">
        <f t="shared" si="2"/>
        <v>4.1010041472750542E-5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1.1409023149997446E-5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7.1423934108250803E-4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4.1010041472750542E-5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3.1691730972215124</v>
      </c>
      <c r="C54" s="21">
        <f t="shared" ref="C54:P54" si="3">(C50)*10^9/3600</f>
        <v>0</v>
      </c>
      <c r="D54" s="21">
        <f t="shared" si="3"/>
        <v>0</v>
      </c>
      <c r="E54" s="21">
        <f t="shared" si="3"/>
        <v>0</v>
      </c>
      <c r="F54" s="21">
        <f t="shared" si="3"/>
        <v>0</v>
      </c>
      <c r="G54" s="21">
        <f t="shared" si="3"/>
        <v>198.39981696736334</v>
      </c>
      <c r="H54" s="21">
        <f t="shared" si="3"/>
        <v>0</v>
      </c>
      <c r="I54" s="21">
        <f t="shared" si="3"/>
        <v>0</v>
      </c>
      <c r="J54" s="21">
        <f t="shared" si="3"/>
        <v>0</v>
      </c>
      <c r="K54" s="21">
        <f t="shared" si="3"/>
        <v>0</v>
      </c>
      <c r="L54" s="21">
        <f t="shared" si="3"/>
        <v>0</v>
      </c>
      <c r="M54" s="21">
        <f t="shared" si="3"/>
        <v>11.391678186875151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0.17806133963762899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0.56430720723479633</v>
      </c>
      <c r="C58" s="23">
        <f t="shared" ref="C58:P58" ca="1" si="4">C54*C56</f>
        <v>0</v>
      </c>
      <c r="D58" s="23">
        <f t="shared" si="4"/>
        <v>0</v>
      </c>
      <c r="E58" s="23">
        <f t="shared" si="4"/>
        <v>0</v>
      </c>
      <c r="F58" s="23">
        <f t="shared" si="4"/>
        <v>0</v>
      </c>
      <c r="G58" s="23">
        <f t="shared" si="4"/>
        <v>52.972751130286014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4077.6745629953693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4121.324562995369</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32030</v>
      </c>
      <c r="C28" s="787">
        <v>8647</v>
      </c>
      <c r="D28" s="637"/>
      <c r="E28" s="636"/>
      <c r="F28" s="636" t="s">
        <v>874</v>
      </c>
      <c r="G28" s="636" t="s">
        <v>875</v>
      </c>
      <c r="H28" s="636" t="s">
        <v>876</v>
      </c>
      <c r="I28" s="636" t="s">
        <v>877</v>
      </c>
      <c r="J28" s="786">
        <v>42298</v>
      </c>
      <c r="K28" s="786">
        <v>42298</v>
      </c>
      <c r="L28" s="636" t="s">
        <v>878</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2021-06-29T14:16:56Z</dcterms:modified>
</cp:coreProperties>
</file>