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2" i="13"/>
  <c r="B35" i="13"/>
  <c r="B34" i="13"/>
  <c r="F16" i="16"/>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20" i="16" s="1"/>
  <c r="C22" i="16" s="1"/>
  <c r="D43"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6" i="22"/>
  <c r="C56" i="22"/>
  <c r="C58" i="22" s="1"/>
  <c r="D49" i="14" s="1"/>
  <c r="D52"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22" i="59"/>
  <c r="C29" i="20"/>
  <c r="C10" i="13"/>
  <c r="C12" i="13" s="1"/>
  <c r="D41" i="14" s="1"/>
  <c r="D46" i="14" s="1"/>
  <c r="D61" i="14" s="1"/>
  <c r="D63" i="14" s="1"/>
  <c r="C18" i="15"/>
  <c r="C20" i="15" s="1"/>
  <c r="D40" i="14" s="1"/>
  <c r="C17" i="49"/>
  <c r="C10" i="17"/>
  <c r="C12" i="17" s="1"/>
  <c r="D54" i="14" s="1"/>
  <c r="D56"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25" i="48"/>
  <c r="C31" i="48"/>
  <c r="C26" i="48"/>
  <c r="C22" i="48"/>
  <c r="C23" i="48"/>
  <c r="F27" i="14"/>
  <c r="F63" i="14" s="1"/>
  <c r="C78" i="14"/>
  <c r="B78" i="14"/>
  <c r="C32"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<sst xmlns="http://schemas.openxmlformats.org/spreadsheetml/2006/main" count="2437" uniqueCount="880">
  <si>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</si>
  <si>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</si>
  <si>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</si>
  <si>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</si>
  <si>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</si>
  <si>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</si>
  <si>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</si>
  <si>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</si>
  <si>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</si>
  <si>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</si>
  <si>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</si>
  <si>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</si>
  <si>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</si>
  <si>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</si>
  <si>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</si>
  <si>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</si>
  <si>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</si>
  <si>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</si>
  <si>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</si>
  <si>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</si>
  <si>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</si>
  <si>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</si>
  <si>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</si>
  <si>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</si>
  <si>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</si>
  <si>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</si>
  <si>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</si>
  <si>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</si>
  <si>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</si>
  <si>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</si>
  <si>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</si>
  <si>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</si>
  <si>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</si>
  <si>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</si>
  <si>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</si>
  <si>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</si>
  <si>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</si>
  <si>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</si>
  <si>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</si>
  <si>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</si>
  <si>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</si>
  <si>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</si>
  <si>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</si>
  <si>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</si>
  <si>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</si>
  <si>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</si>
  <si>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</si>
  <si>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</si>
  <si>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</si>
  <si>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</si>
  <si>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</si>
  <si>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</si>
  <si>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</si>
  <si>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</si>
  <si>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</si>
  <si>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</si>
  <si>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</si>
  <si>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</si>
  <si>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</si>
  <si>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</si>
  <si>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</si>
  <si>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</si>
  <si>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</si>
  <si>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</si>
  <si>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</si>
  <si>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</si>
  <si>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</si>
  <si>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</si>
  <si>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</si>
  <si>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</si>
  <si>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</si>
  <si>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</si>
  <si>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</si>
  <si>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</si>
  <si>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</si>
  <si>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</si>
  <si>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</si>
  <si>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</si>
  <si>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</si>
  <si>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</si>
  <si>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</si>
  <si>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</si>
  <si>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</si>
  <si>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</si>
  <si>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</si>
  <si>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</si>
  <si>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</si>
  <si>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</si>
  <si>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</si>
  <si>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</si>
  <si>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</si>
  <si>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</si>
  <si>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</si>
  <si>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</si>
  <si>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</si>
  <si>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</si>
  <si>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</si>
  <si>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</si>
  <si>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</si>
  <si>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</si>
  <si>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</si>
  <si>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</si>
  <si>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</si>
  <si>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</si>
  <si>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</si>
  <si>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</si>
  <si>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</si>
  <si>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</si>
  <si>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</si>
  <si>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</si>
  <si>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</si>
  <si>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</si>
  <si>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</si>
  <si>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</si>
  <si>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</si>
  <si>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</si>
  <si>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</si>
  <si>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</si>
  <si>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</si>
  <si>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</si>
  <si>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</si>
  <si>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</si>
  <si>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</si>
  <si>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</si>
  <si>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</si>
  <si>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</si>
  <si>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</si>
  <si>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</si>
  <si>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</si>
  <si>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</si>
  <si>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</si>
  <si>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</si>
  <si>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</si>
  <si>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</si>
  <si>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</si>
  <si>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</si>
  <si>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</si>
  <si>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</si>
  <si>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</si>
  <si>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</si>
  <si>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</si>
  <si>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</si>
  <si>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</si>
  <si>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</si>
  <si>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</si>
  <si>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</si>
  <si>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</si>
  <si>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</si>
  <si>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</si>
  <si>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</si>
  <si>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</si>
  <si>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</si>
  <si>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</si>
  <si>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</si>
  <si>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</si>
  <si>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</si>
  <si>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</si>
  <si>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</si>
  <si>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</si>
  <si>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</si>
  <si>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</si>
  <si>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</si>
  <si>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</si>
  <si>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</si>
  <si>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</si>
  <si>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</si>
  <si>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</si>
  <si>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</si>
  <si>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</si>
  <si>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</si>
  <si>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</si>
  <si>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</si>
  <si>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</si>
  <si>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</si>
  <si>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</si>
  <si>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</si>
  <si>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</si>
  <si>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</si>
  <si>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</si>
  <si>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</si>
  <si>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</si>
  <si>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</si>
  <si>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</si>
  <si>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</si>
  <si>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</si>
  <si>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</si>
  <si>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</si>
  <si>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</si>
  <si>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</si>
  <si>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</si>
  <si>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</si>
  <si>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</si>
  <si>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</si>
  <si>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</si>
  <si>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</si>
  <si>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</si>
  <si>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</si>
  <si>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</si>
  <si>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</si>
  <si>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</si>
  <si>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</si>
  <si>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</si>
  <si>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</si>
  <si>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</si>
  <si>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</si>
  <si>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</si>
  <si>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</si>
  <si>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</si>
  <si>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</si>
  <si>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</si>
  <si>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</si>
  <si>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</si>
  <si>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</si>
  <si>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</si>
  <si>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</si>
  <si>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</si>
  <si>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</si>
  <si>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</si>
  <si>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</si>
  <si>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</si>
  <si>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</si>
  <si>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</si>
  <si>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</si>
  <si>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</si>
  <si>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</si>
  <si>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</si>
  <si>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</si>
  <si>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</si>
  <si>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</si>
  <si>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</si>
  <si>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</si>
  <si>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</si>
  <si>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</si>
  <si>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</si>
  <si>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</si>
  <si>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</si>
  <si>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</si>
  <si>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</si>
  <si>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</si>
  <si>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</si>
  <si>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</si>
  <si>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</si>
  <si>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</si>
  <si>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</si>
  <si>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</si>
  <si>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</si>
  <si>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</si>
  <si>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</si>
  <si>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</si>
  <si>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</si>
  <si>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</si>
  <si>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</si>
  <si>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</si>
  <si>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</si>
  <si>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</si>
  <si>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</si>
  <si>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</si>
  <si>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</si>
  <si>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</si>
  <si>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</si>
  <si>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</si>
  <si>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</si>
  <si>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</si>
  <si>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</si>
  <si>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</si>
  <si>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</si>
  <si>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</si>
  <si>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</si>
  <si>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</si>
  <si>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</si>
  <si>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</si>
  <si>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</si>
  <si>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</si>
  <si>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</si>
  <si>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</si>
  <si>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</si>
  <si>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</si>
  <si>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</si>
  <si>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</si>
  <si>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</si>
  <si>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</si>
  <si>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</si>
  <si>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</si>
  <si>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</si>
  <si>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</si>
  <si>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</si>
  <si>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</si>
  <si>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</si>
  <si>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</si>
  <si>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</si>
  <si>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</si>
  <si>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</si>
  <si>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</si>
  <si>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</si>
  <si>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</si>
  <si>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</si>
  <si>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</si>
  <si>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</si>
  <si>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</si>
  <si>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</si>
  <si>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</si>
  <si>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</si>
  <si>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</si>
  <si>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</si>
  <si>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</si>
  <si>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</si>
  <si>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</si>
  <si>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</si>
  <si>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</si>
  <si>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</si>
  <si>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</si>
  <si>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</si>
  <si>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</si>
  <si>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</si>
  <si>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</si>
  <si>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</si>
  <si>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</si>
  <si>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</si>
  <si>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</si>
  <si>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</si>
  <si>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</si>
  <si>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</si>
  <si>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</si>
  <si>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</si>
  <si>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</si>
  <si>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</si>
  <si>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</si>
  <si>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</si>
  <si>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</si>
  <si>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</si>
  <si>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</si>
  <si>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</si>
  <si>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</si>
  <si>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</si>
  <si>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</si>
  <si>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</si>
  <si>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</si>
  <si>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</si>
  <si>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</si>
  <si>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</si>
  <si>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</si>
  <si>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</si>
  <si>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</si>
  <si>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</si>
  <si>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</si>
  <si>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</si>
  <si>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</si>
  <si>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</si>
  <si>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</si>
  <si>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</si>
  <si>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</si>
  <si>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</si>
  <si>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</si>
  <si>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</si>
  <si>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</si>
  <si>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</si>
  <si>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</si>
  <si>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</si>
  <si>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</si>
  <si>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</si>
  <si>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</si>
  <si>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</si>
  <si>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</si>
  <si>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</si>
  <si>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</si>
  <si>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</si>
  <si>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</si>
  <si>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</si>
  <si>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</si>
  <si>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</si>
  <si>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</si>
  <si>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</si>
  <si>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</si>
  <si>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</si>
  <si>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</si>
  <si>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</si>
  <si>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</si>
  <si>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</si>
  <si>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</si>
  <si>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</si>
  <si>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</si>
  <si>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</si>
  <si>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</si>
  <si>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</si>
  <si>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</si>
  <si>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</si>
  <si>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</si>
  <si>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</si>
  <si>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</si>
  <si>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</si>
  <si>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</si>
  <si>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</si>
  <si>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</si>
  <si>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</si>
  <si>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</si>
  <si>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</si>
  <si>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</si>
  <si>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</si>
  <si>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</si>
  <si>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</si>
  <si>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</si>
  <si>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</si>
  <si>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</si>
  <si>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</si>
  <si>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</si>
  <si>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</si>
  <si>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</si>
  <si>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</si>
  <si>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</si>
  <si>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</si>
  <si>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</si>
  <si>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</si>
  <si>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</si>
  <si>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</si>
  <si>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</si>
  <si>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</si>
  <si>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</si>
  <si>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</si>
  <si>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</si>
  <si>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</si>
  <si>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</si>
  <si>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</si>
  <si>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</si>
  <si>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</si>
  <si>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</si>
  <si>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</si>
  <si>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</si>
  <si>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</si>
  <si>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</si>
  <si>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</si>
  <si>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</si>
  <si>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</si>
  <si>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</si>
  <si>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</si>
  <si>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</si>
  <si>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</si>
  <si>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</si>
  <si>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</si>
  <si>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</si>
  <si>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</si>
  <si>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</si>
  <si>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</si>
  <si>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</si>
  <si>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</si>
  <si>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</si>
  <si>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</si>
  <si>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</si>
  <si>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</si>
  <si>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</si>
  <si>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</si>
  <si>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</si>
  <si>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</si>
  <si>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</si>
  <si>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</si>
  <si>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</si>
  <si>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</si>
  <si>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</si>
  <si>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</si>
  <si>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</si>
  <si>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</si>
  <si>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</si>
  <si>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</si>
  <si>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</si>
  <si>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</si>
  <si>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</si>
  <si>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</si>
  <si>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</si>
  <si>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</si>
  <si>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</si>
  <si>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</si>
  <si>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</si>
  <si>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</si>
  <si>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</si>
  <si>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</si>
  <si>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</si>
  <si>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</si>
  <si>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</si>
  <si>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</si>
  <si>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</si>
  <si>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</si>
  <si>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</si>
  <si>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</si>
  <si>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</si>
  <si>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</si>
  <si>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</si>
  <si>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</si>
  <si>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</si>
  <si>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</si>
  <si>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</si>
  <si>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</si>
  <si>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</si>
  <si>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</si>
  <si>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</si>
  <si>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</si>
  <si>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</si>
  <si>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</si>
  <si>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</si>
  <si>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</si>
  <si>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</si>
  <si>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</si>
  <si>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</si>
  <si>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</si>
  <si>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</si>
  <si>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</si>
  <si>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</si>
  <si>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</si>
  <si>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</si>
  <si>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</si>
  <si>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</si>
  <si>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</si>
  <si>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</si>
  <si>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</si>
  <si>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</si>
  <si>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</si>
  <si>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</si>
  <si>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</si>
  <si>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</si>
  <si>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</si>
  <si>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</si>
  <si>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</si>
  <si>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</si>
  <si>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</si>
  <si>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</si>
  <si>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</si>
  <si>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</si>
  <si>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</si>
  <si>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</si>
  <si>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</si>
  <si>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</si>
  <si>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</si>
  <si>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</si>
  <si>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</si>
  <si>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</si>
  <si>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</si>
  <si>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</si>
  <si>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</si>
  <si>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</si>
  <si>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</si>
  <si>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</si>
  <si>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</si>
  <si>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</si>
  <si>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</si>
  <si>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</si>
  <si>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</si>
  <si>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</si>
  <si>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</si>
  <si>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</si>
  <si>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</si>
  <si>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</si>
  <si>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</si>
  <si>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</si>
  <si>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</si>
  <si>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</si>
  <si>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</si>
  <si>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</si>
  <si>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</si>
  <si>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</si>
  <si>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</si>
  <si>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</si>
  <si>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</si>
  <si>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</si>
  <si>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</si>
  <si>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</si>
  <si>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</si>
  <si>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</si>
  <si>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</si>
  <si>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</si>
  <si>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</si>
  <si>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</si>
  <si>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</si>
  <si>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</si>
  <si>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</si>
  <si>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</si>
  <si>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</si>
  <si>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</si>
  <si>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</si>
  <si>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</si>
  <si>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</si>
  <si>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</si>
  <si>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</si>
  <si>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</si>
  <si>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</si>
  <si>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</si>
  <si>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</si>
  <si>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</si>
  <si>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</si>
  <si>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</si>
  <si>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</si>
  <si>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</si>
  <si>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</si>
  <si>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</si>
  <si>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</si>
  <si>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</si>
  <si>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</si>
  <si>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</si>
  <si>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</si>
  <si>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</si>
  <si>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</si>
  <si>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</si>
  <si>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</si>
  <si>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</si>
  <si>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</si>
  <si>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</si>
  <si>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</si>
  <si>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</si>
  <si>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</si>
  <si>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</si>
  <si>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</si>
  <si>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</si>
  <si>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</si>
  <si>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</si>
  <si>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</si>
  <si>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</si>
  <si>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</si>
  <si>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</si>
  <si>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</si>
  <si>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</si>
  <si>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</si>
  <si>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</si>
  <si>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</si>
  <si>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</si>
  <si>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</si>
  <si>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</si>
  <si>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</si>
  <si>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</si>
  <si>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</si>
  <si>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</si>
  <si>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</si>
  <si>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</si>
  <si>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</si>
  <si>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</si>
  <si>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</si>
  <si>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</si>
  <si>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</si>
  <si>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</si>
  <si>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</si>
  <si>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</si>
  <si>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</si>
  <si>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</si>
  <si>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</si>
  <si>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</si>
  <si>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</si>
  <si>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</si>
  <si>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</si>
  <si>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</si>
  <si>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</si>
  <si>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</si>
  <si>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</si>
  <si>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</si>
  <si>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</si>
  <si>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</si>
  <si>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</si>
  <si>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</si>
  <si>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</si>
  <si>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</si>
  <si>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</si>
  <si>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</si>
  <si>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</si>
  <si>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</si>
  <si>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</si>
  <si>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</si>
  <si>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</si>
  <si>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</si>
  <si>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</si>
  <si>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</si>
  <si>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</si>
  <si>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</si>
  <si>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</si>
  <si>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</si>
  <si>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</si>
  <si>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</si>
  <si>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</si>
  <si>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</si>
  <si>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</si>
  <si>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</si>
  <si>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</si>
  <si>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</si>
  <si>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</si>
  <si>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</si>
  <si>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</si>
  <si>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</si>
  <si>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</si>
  <si>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</si>
  <si>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</si>
  <si>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</si>
  <si>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</si>
  <si>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</si>
  <si>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</si>
  <si>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</si>
  <si>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</si>
  <si>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</si>
  <si>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</si>
  <si>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</si>
  <si>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</si>
  <si>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</si>
  <si>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</si>
  <si>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</si>
  <si>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</si>
  <si>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</si>
  <si>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</si>
  <si>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</si>
  <si>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</si>
  <si>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</si>
  <si>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</si>
  <si>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</si>
  <si>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</si>
  <si>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</si>
  <si>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</si>
  <si>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</si>
  <si>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</si>
  <si>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</si>
  <si>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</si>
  <si>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</si>
  <si>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</si>
  <si>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</si>
  <si>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</si>
  <si>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</si>
  <si>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</si>
  <si>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</si>
  <si>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</si>
  <si>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</si>
  <si>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</si>
  <si>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</si>
  <si>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</si>
  <si>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</si>
  <si>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</si>
  <si>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</si>
  <si>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</si>
  <si>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</si>
  <si>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</si>
  <si>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</si>
  <si>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</si>
  <si>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</si>
  <si>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</si>
  <si>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</si>
  <si>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</si>
  <si>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</si>
  <si>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</si>
  <si>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</si>
  <si>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</si>
  <si>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</si>
  <si>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</si>
  <si>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</si>
  <si>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</si>
  <si>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</si>
  <si>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</si>
  <si>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</si>
  <si>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</si>
  <si>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</si>
  <si>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</si>
  <si>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</si>
  <si>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</si>
  <si>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</si>
  <si>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</si>
  <si>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</si>
  <si>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</si>
  <si>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</si>
  <si>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</si>
  <si>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</si>
  <si>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</si>
  <si>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</si>
  <si>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</si>
  <si>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</si>
  <si>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</si>
  <si>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</si>
  <si>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</si>
  <si>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</si>
  <si>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</si>
  <si>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</si>
  <si>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</si>
  <si>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</si>
  <si>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</si>
  <si>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</si>
  <si>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</si>
  <si>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</si>
  <si>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</si>
  <si>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</si>
  <si>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</si>
  <si>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</si>
  <si>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</si>
  <si>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</si>
  <si>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</si>
  <si>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</si>
  <si>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</si>
  <si>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</si>
  <si>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</si>
  <si>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</si>
  <si>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</si>
  <si>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</si>
  <si>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</si>
  <si>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</si>
  <si>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</si>
  <si>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</si>
  <si>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</si>
  <si>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</si>
  <si>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</si>
  <si>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</si>
  <si>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</si>
  <si>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</si>
  <si>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</si>
  <si>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</si>
  <si>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</si>
  <si>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</si>
  <si>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</si>
  <si>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</si>
  <si>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</si>
  <si>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</si>
  <si>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</si>
  <si>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</si>
  <si>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</si>
  <si>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</si>
  <si>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</si>
  <si>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</si>
  <si>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</si>
  <si>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</si>
  <si>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</si>
  <si>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</si>
  <si>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</si>
  <si>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</si>
  <si>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</si>
  <si>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</si>
  <si>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</si>
  <si>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</si>
  <si>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</si>
  <si>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</si>
  <si>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</si>
  <si>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</si>
  <si>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</si>
  <si>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</si>
  <si>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</si>
  <si>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</si>
  <si>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</si>
  <si>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</si>
  <si>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</si>
  <si>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</si>
  <si>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</si>
  <si>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</si>
  <si>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</si>
  <si>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</si>
  <si>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</si>
  <si>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</si>
  <si>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</si>
  <si>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</si>
  <si>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</si>
  <si>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</si>
  <si>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</si>
  <si>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</si>
  <si>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</si>
  <si>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</si>
  <si>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</si>
  <si>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</si>
  <si>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</si>
  <si>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</si>
  <si>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</si>
  <si>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</si>
  <si>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</si>
  <si>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</si>
  <si>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</si>
  <si>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</si>
  <si>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</si>
  <si>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</si>
  <si>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</si>
  <si>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</si>
  <si>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</si>
  <si>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</si>
  <si>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</si>
  <si>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</si>
  <si>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</si>
  <si>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</si>
  <si>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</si>
  <si>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31043</t>
  </si>
  <si>
    <t>KNOKKE-HEIST</t>
  </si>
  <si>
    <t>referentietaak LNE (2017); Jaarverslag De Lijn</t>
  </si>
  <si>
    <t>waterkracht</t>
  </si>
  <si>
    <t>Boven Immo Invest</t>
  </si>
  <si>
    <t>WKK-0924</t>
  </si>
  <si>
    <t>Interne verbrandingsmotor</t>
  </si>
  <si>
    <t>WKK interne verbrandinsgmotor (gas)</t>
  </si>
  <si>
    <t>'t Walletje 86</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</si>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</sst>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283696.43987955846</c:v>
                </c:pt>
                <c:pt idx="1">
                  <c:v>237413.21181987753</c:v>
                </c:pt>
                <c:pt idx="2">
                  <c:v>2988.0030000000002</c:v>
                </c:pt>
                <c:pt idx="3">
                  <c:v>8684.0937898015327</c:v>
                </c:pt>
                <c:pt idx="4">
                  <c:v>21164.568520704197</c:v>
                </c:pt>
                <c:pt idx="5">
                  <c:v>129718.58517863502</c:v>
                </c:pt>
                <c:pt idx="6">
                  <c:v>2169.4293868397717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283696.43987955846</c:v>
                </c:pt>
                <c:pt idx="1">
                  <c:v>237413.21181987753</c:v>
                </c:pt>
                <c:pt idx="2">
                  <c:v>2988.0030000000002</c:v>
                </c:pt>
                <c:pt idx="3">
                  <c:v>8684.0937898015327</c:v>
                </c:pt>
                <c:pt idx="4">
                  <c:v>21164.568520704197</c:v>
                </c:pt>
                <c:pt idx="5">
                  <c:v>129718.58517863502</c:v>
                </c:pt>
                <c:pt idx="6">
                  <c:v>2169.4293868397717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53425.948303613324</c:v>
                </c:pt>
                <c:pt idx="1">
                  <c:v>48560.180543645016</c:v>
                </c:pt>
                <c:pt idx="2">
                  <c:v>615.98067002157404</c:v>
                </c:pt>
                <c:pt idx="3">
                  <c:v>2192.0545638650447</c:v>
                </c:pt>
                <c:pt idx="4">
                  <c:v>4424.7283239338394</c:v>
                </c:pt>
                <c:pt idx="5">
                  <c:v>32161.480134214748</c:v>
                </c:pt>
                <c:pt idx="6">
                  <c:v>517.28987503941812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53425.948303613324</c:v>
                </c:pt>
                <c:pt idx="1">
                  <c:v>48560.180543645016</c:v>
                </c:pt>
                <c:pt idx="2">
                  <c:v>615.98067002157404</c:v>
                </c:pt>
                <c:pt idx="3">
                  <c:v>2192.0545638650447</c:v>
                </c:pt>
                <c:pt idx="4">
                  <c:v>4424.7283239338394</c:v>
                </c:pt>
                <c:pt idx="5">
                  <c:v>32161.480134214748</c:v>
                </c:pt>
                <c:pt idx="6">
                  <c:v>517.28987503941812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31043</v>
      </c>
      <c r="B6" s="386"/>
      <c r="C6" s="387"/>
    </row>
    <row r="7" spans="1:7" s="384" customFormat="1" ht="15.75" customHeight="1">
      <c r="A7" s="388" t="str">
        <f>txtMunicipality</f>
        <v>KNOKKE-HEIST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96821.524834328317</v>
      </c>
      <c r="D10" s="683">
        <f ca="1">tertiair!C16</f>
        <v>60.878571428571433</v>
      </c>
      <c r="E10" s="683">
        <f ca="1">tertiair!D16</f>
        <v>121089.05535779211</v>
      </c>
      <c r="F10" s="683">
        <f>tertiair!E16</f>
        <v>358.53267942581033</v>
      </c>
      <c r="G10" s="683">
        <f ca="1">tertiair!F16</f>
        <v>17454.667898595748</v>
      </c>
      <c r="H10" s="683">
        <f>tertiair!G16</f>
        <v>0</v>
      </c>
      <c r="I10" s="683">
        <f>tertiair!H16</f>
        <v>0</v>
      </c>
      <c r="J10" s="683">
        <f>tertiair!I16</f>
        <v>0</v>
      </c>
      <c r="K10" s="683">
        <f>tertiair!J16</f>
        <v>0.11023190156334932</v>
      </c>
      <c r="L10" s="683">
        <f>tertiair!K16</f>
        <v>0</v>
      </c>
      <c r="M10" s="683">
        <f ca="1">tertiair!L16</f>
        <v>0</v>
      </c>
      <c r="N10" s="683">
        <f>tertiair!M16</f>
        <v>0</v>
      </c>
      <c r="O10" s="683">
        <f ca="1">tertiair!N16</f>
        <v>4291.4158950347319</v>
      </c>
      <c r="P10" s="683">
        <f>tertiair!O16</f>
        <v>9.7945215316823084</v>
      </c>
      <c r="Q10" s="684">
        <f>tertiair!P16</f>
        <v>315.23482983897009</v>
      </c>
      <c r="R10" s="686">
        <f ca="1">SUM(C10:Q10)</f>
        <v>240401.2148198775</v>
      </c>
      <c r="S10" s="67"/>
    </row>
    <row r="11" spans="1:19" s="445" customFormat="1">
      <c r="A11" s="804" t="s">
        <v>220</v>
      </c>
      <c r="B11" s="809"/>
      <c r="C11" s="683">
        <f>huishoudens!B8</f>
        <v>65270.256623131376</v>
      </c>
      <c r="D11" s="683">
        <f>huishoudens!C8</f>
        <v>0</v>
      </c>
      <c r="E11" s="683">
        <f>huishoudens!D8</f>
        <v>197873.27112185155</v>
      </c>
      <c r="F11" s="683">
        <f>huishoudens!E8</f>
        <v>0</v>
      </c>
      <c r="G11" s="683">
        <f>huishoudens!F8</f>
        <v>0</v>
      </c>
      <c r="H11" s="683">
        <f>huishoudens!G8</f>
        <v>0</v>
      </c>
      <c r="I11" s="683">
        <f>huishoudens!H8</f>
        <v>0</v>
      </c>
      <c r="J11" s="683">
        <f>huishoudens!I8</f>
        <v>0</v>
      </c>
      <c r="K11" s="683">
        <f>huishoudens!J8</f>
        <v>0</v>
      </c>
      <c r="L11" s="683">
        <f>huishoudens!K8</f>
        <v>0</v>
      </c>
      <c r="M11" s="683">
        <f>huishoudens!L8</f>
        <v>0</v>
      </c>
      <c r="N11" s="683">
        <f>huishoudens!M8</f>
        <v>0</v>
      </c>
      <c r="O11" s="683">
        <f>huishoudens!N8</f>
        <v>19359.648953339936</v>
      </c>
      <c r="P11" s="683">
        <f>huishoudens!O8</f>
        <v>361.08039592843977</v>
      </c>
      <c r="Q11" s="684">
        <f>huishoudens!P8</f>
        <v>832.18278530711677</v>
      </c>
      <c r="R11" s="686">
        <f>SUM(C11:Q11)</f>
        <v>283696.43987955846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7725.0942922614786</v>
      </c>
      <c r="D13" s="683">
        <f>industrie!C18</f>
        <v>0</v>
      </c>
      <c r="E13" s="683">
        <f>industrie!D18</f>
        <v>10126.141277207978</v>
      </c>
      <c r="F13" s="683">
        <f>industrie!E18</f>
        <v>25.613464774993538</v>
      </c>
      <c r="G13" s="683">
        <f>industrie!F18</f>
        <v>2918.2484767955061</v>
      </c>
      <c r="H13" s="683">
        <f>industrie!G18</f>
        <v>0</v>
      </c>
      <c r="I13" s="683">
        <f>industrie!H18</f>
        <v>0</v>
      </c>
      <c r="J13" s="683">
        <f>industrie!I18</f>
        <v>0</v>
      </c>
      <c r="K13" s="683">
        <f>industrie!J18</f>
        <v>4.8673447484227852</v>
      </c>
      <c r="L13" s="683">
        <f>industrie!K18</f>
        <v>0</v>
      </c>
      <c r="M13" s="683">
        <f>industrie!L18</f>
        <v>0</v>
      </c>
      <c r="N13" s="683">
        <f>industrie!M18</f>
        <v>0</v>
      </c>
      <c r="O13" s="683">
        <f>industrie!N18</f>
        <v>364.60366491581794</v>
      </c>
      <c r="P13" s="683">
        <f>industrie!O18</f>
        <v>0</v>
      </c>
      <c r="Q13" s="684">
        <f>industrie!P18</f>
        <v>0</v>
      </c>
      <c r="R13" s="686">
        <f>SUM(C13:Q13)</f>
        <v>21164.568520704197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169816.87574972119</v>
      </c>
      <c r="D16" s="719">
        <f t="shared" ref="D16:R16" ca="1" si="0">SUM(D9:D15)</f>
        <v>60.878571428571433</v>
      </c>
      <c r="E16" s="719">
        <f t="shared" ca="1" si="0"/>
        <v>329088.46775685163</v>
      </c>
      <c r="F16" s="719">
        <f t="shared" si="0"/>
        <v>384.14614420080386</v>
      </c>
      <c r="G16" s="719">
        <f t="shared" ca="1" si="0"/>
        <v>20372.916375391254</v>
      </c>
      <c r="H16" s="719">
        <f t="shared" si="0"/>
        <v>0</v>
      </c>
      <c r="I16" s="719">
        <f t="shared" si="0"/>
        <v>0</v>
      </c>
      <c r="J16" s="719">
        <f t="shared" si="0"/>
        <v>0</v>
      </c>
      <c r="K16" s="719">
        <f t="shared" si="0"/>
        <v>4.9775766499861342</v>
      </c>
      <c r="L16" s="719">
        <f t="shared" si="0"/>
        <v>0</v>
      </c>
      <c r="M16" s="719">
        <f t="shared" ca="1" si="0"/>
        <v>0</v>
      </c>
      <c r="N16" s="719">
        <f t="shared" si="0"/>
        <v>0</v>
      </c>
      <c r="O16" s="719">
        <f t="shared" ca="1" si="0"/>
        <v>24015.668513290489</v>
      </c>
      <c r="P16" s="719">
        <f t="shared" si="0"/>
        <v>370.87491746012211</v>
      </c>
      <c r="Q16" s="719">
        <f t="shared" si="0"/>
        <v>1147.417615146087</v>
      </c>
      <c r="R16" s="719">
        <f t="shared" ca="1" si="0"/>
        <v>545262.22322014009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657.92373397885638</v>
      </c>
      <c r="D19" s="683">
        <f>transport!C54</f>
        <v>0</v>
      </c>
      <c r="E19" s="683">
        <f>transport!D54</f>
        <v>0</v>
      </c>
      <c r="F19" s="683">
        <f>transport!E54</f>
        <v>0</v>
      </c>
      <c r="G19" s="683">
        <f>transport!F54</f>
        <v>0</v>
      </c>
      <c r="H19" s="683">
        <f>transport!G54</f>
        <v>1429.4308959105676</v>
      </c>
      <c r="I19" s="683">
        <f>transport!H54</f>
        <v>0</v>
      </c>
      <c r="J19" s="683">
        <f>transport!I54</f>
        <v>0</v>
      </c>
      <c r="K19" s="683">
        <f>transport!J54</f>
        <v>0</v>
      </c>
      <c r="L19" s="683">
        <f>transport!K54</f>
        <v>0</v>
      </c>
      <c r="M19" s="683">
        <f>transport!L54</f>
        <v>0</v>
      </c>
      <c r="N19" s="683">
        <f>transport!M54</f>
        <v>82.074756950347691</v>
      </c>
      <c r="O19" s="683">
        <f>transport!N54</f>
        <v>0</v>
      </c>
      <c r="P19" s="683">
        <f>transport!O54</f>
        <v>0</v>
      </c>
      <c r="Q19" s="684">
        <f>transport!P54</f>
        <v>0</v>
      </c>
      <c r="R19" s="686">
        <f>SUM(C19:Q19)</f>
        <v>2169.4293868397717</v>
      </c>
      <c r="S19" s="67"/>
    </row>
    <row r="20" spans="1:19" s="445" customFormat="1">
      <c r="A20" s="804" t="s">
        <v>302</v>
      </c>
      <c r="B20" s="809"/>
      <c r="C20" s="683">
        <f>transport!B14</f>
        <v>288.23460546972819</v>
      </c>
      <c r="D20" s="683">
        <f>transport!C14</f>
        <v>0</v>
      </c>
      <c r="E20" s="683">
        <f>transport!D14</f>
        <v>523.33314210207004</v>
      </c>
      <c r="F20" s="683">
        <f>transport!E14</f>
        <v>204.71755803813485</v>
      </c>
      <c r="G20" s="683">
        <f>transport!F14</f>
        <v>0</v>
      </c>
      <c r="H20" s="683">
        <f>transport!G14</f>
        <v>95797.276424283365</v>
      </c>
      <c r="I20" s="683">
        <f>transport!H14</f>
        <v>25590.374349784641</v>
      </c>
      <c r="J20" s="683">
        <f>transport!I14</f>
        <v>0</v>
      </c>
      <c r="K20" s="683">
        <f>transport!J14</f>
        <v>0</v>
      </c>
      <c r="L20" s="683">
        <f>transport!K14</f>
        <v>0</v>
      </c>
      <c r="M20" s="683">
        <f>transport!L14</f>
        <v>0</v>
      </c>
      <c r="N20" s="683">
        <f>transport!M14</f>
        <v>7314.6490989570921</v>
      </c>
      <c r="O20" s="683">
        <f>transport!N14</f>
        <v>0</v>
      </c>
      <c r="P20" s="683">
        <f>transport!O14</f>
        <v>0</v>
      </c>
      <c r="Q20" s="684">
        <f>transport!P14</f>
        <v>0</v>
      </c>
      <c r="R20" s="686">
        <f>SUM(C20:Q20)</f>
        <v>129718.58517863502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946.15833944858457</v>
      </c>
      <c r="D22" s="807">
        <f t="shared" ref="D22:R22" si="1">SUM(D18:D21)</f>
        <v>0</v>
      </c>
      <c r="E22" s="807">
        <f t="shared" si="1"/>
        <v>523.33314210207004</v>
      </c>
      <c r="F22" s="807">
        <f t="shared" si="1"/>
        <v>204.71755803813485</v>
      </c>
      <c r="G22" s="807">
        <f t="shared" si="1"/>
        <v>0</v>
      </c>
      <c r="H22" s="807">
        <f t="shared" si="1"/>
        <v>97226.707320193935</v>
      </c>
      <c r="I22" s="807">
        <f t="shared" si="1"/>
        <v>25590.374349784641</v>
      </c>
      <c r="J22" s="807">
        <f t="shared" si="1"/>
        <v>0</v>
      </c>
      <c r="K22" s="807">
        <f t="shared" si="1"/>
        <v>0</v>
      </c>
      <c r="L22" s="807">
        <f t="shared" si="1"/>
        <v>0</v>
      </c>
      <c r="M22" s="807">
        <f t="shared" si="1"/>
        <v>0</v>
      </c>
      <c r="N22" s="807">
        <f t="shared" si="1"/>
        <v>7396.7238559074394</v>
      </c>
      <c r="O22" s="807">
        <f t="shared" si="1"/>
        <v>0</v>
      </c>
      <c r="P22" s="807">
        <f t="shared" si="1"/>
        <v>0</v>
      </c>
      <c r="Q22" s="807">
        <f t="shared" si="1"/>
        <v>0</v>
      </c>
      <c r="R22" s="807">
        <f t="shared" si="1"/>
        <v>131888.01456547479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1756.58155245897</v>
      </c>
      <c r="D24" s="683">
        <f>+landbouw!C8</f>
        <v>0</v>
      </c>
      <c r="E24" s="683">
        <f>+landbouw!D8</f>
        <v>870.12743069944281</v>
      </c>
      <c r="F24" s="683">
        <f>+landbouw!E8</f>
        <v>50.311468342648347</v>
      </c>
      <c r="G24" s="683">
        <f>+landbouw!F8</f>
        <v>5560.4298103726396</v>
      </c>
      <c r="H24" s="683">
        <f>+landbouw!G8</f>
        <v>0</v>
      </c>
      <c r="I24" s="683">
        <f>+landbouw!H8</f>
        <v>0</v>
      </c>
      <c r="J24" s="683">
        <f>+landbouw!I8</f>
        <v>0</v>
      </c>
      <c r="K24" s="683">
        <f>+landbouw!J8</f>
        <v>446.64352792783131</v>
      </c>
      <c r="L24" s="683">
        <f>+landbouw!K8</f>
        <v>0</v>
      </c>
      <c r="M24" s="683">
        <f>+landbouw!L8</f>
        <v>0</v>
      </c>
      <c r="N24" s="683">
        <f>+landbouw!M8</f>
        <v>0</v>
      </c>
      <c r="O24" s="683">
        <f>+landbouw!N8</f>
        <v>0</v>
      </c>
      <c r="P24" s="683">
        <f>+landbouw!O8</f>
        <v>0</v>
      </c>
      <c r="Q24" s="684">
        <f>+landbouw!P8</f>
        <v>0</v>
      </c>
      <c r="R24" s="686">
        <f>SUM(C24:Q24)</f>
        <v>8684.0937898015327</v>
      </c>
      <c r="S24" s="67"/>
    </row>
    <row r="25" spans="1:19" s="445" customFormat="1" ht="15" thickBot="1">
      <c r="A25" s="826" t="s">
        <v>696</v>
      </c>
      <c r="B25" s="939"/>
      <c r="C25" s="940">
        <f>IF(Onbekend_ele_kWh="---",0,Onbekend_ele_kWh)/1000+IF(REST_rest_ele_kWh="---",0,REST_rest_ele_kWh)/1000</f>
        <v>19300.110329116003</v>
      </c>
      <c r="D25" s="940"/>
      <c r="E25" s="940">
        <f>IF(onbekend_gas_kWh="---",0,onbekend_gas_kWh)/1000+IF(REST_rest_gas_kWh="---",0,REST_rest_gas_kWh)/1000</f>
        <v>52324.395143370501</v>
      </c>
      <c r="F25" s="940"/>
      <c r="G25" s="940"/>
      <c r="H25" s="940"/>
      <c r="I25" s="940"/>
      <c r="J25" s="940"/>
      <c r="K25" s="940"/>
      <c r="L25" s="940"/>
      <c r="M25" s="940"/>
      <c r="N25" s="940"/>
      <c r="O25" s="940"/>
      <c r="P25" s="940"/>
      <c r="Q25" s="941"/>
      <c r="R25" s="686">
        <f>SUM(C25:Q25)</f>
        <v>71624.505472486504</v>
      </c>
      <c r="S25" s="67"/>
    </row>
    <row r="26" spans="1:19" s="445" customFormat="1" ht="15.75" thickBot="1">
      <c r="A26" s="691" t="s">
        <v>697</v>
      </c>
      <c r="B26" s="812"/>
      <c r="C26" s="807">
        <f>SUM(C24:C25)</f>
        <v>21056.691881574974</v>
      </c>
      <c r="D26" s="807">
        <f t="shared" ref="D26:R26" si="2">SUM(D24:D25)</f>
        <v>0</v>
      </c>
      <c r="E26" s="807">
        <f t="shared" si="2"/>
        <v>53194.522574069946</v>
      </c>
      <c r="F26" s="807">
        <f t="shared" si="2"/>
        <v>50.311468342648347</v>
      </c>
      <c r="G26" s="807">
        <f t="shared" si="2"/>
        <v>5560.4298103726396</v>
      </c>
      <c r="H26" s="807">
        <f t="shared" si="2"/>
        <v>0</v>
      </c>
      <c r="I26" s="807">
        <f t="shared" si="2"/>
        <v>0</v>
      </c>
      <c r="J26" s="807">
        <f t="shared" si="2"/>
        <v>0</v>
      </c>
      <c r="K26" s="807">
        <f t="shared" si="2"/>
        <v>446.64352792783131</v>
      </c>
      <c r="L26" s="807">
        <f t="shared" si="2"/>
        <v>0</v>
      </c>
      <c r="M26" s="807">
        <f t="shared" si="2"/>
        <v>0</v>
      </c>
      <c r="N26" s="807">
        <f t="shared" si="2"/>
        <v>0</v>
      </c>
      <c r="O26" s="807">
        <f t="shared" si="2"/>
        <v>0</v>
      </c>
      <c r="P26" s="807">
        <f t="shared" si="2"/>
        <v>0</v>
      </c>
      <c r="Q26" s="807">
        <f t="shared" si="2"/>
        <v>0</v>
      </c>
      <c r="R26" s="807">
        <f t="shared" si="2"/>
        <v>80308.599262288044</v>
      </c>
      <c r="S26" s="67"/>
    </row>
    <row r="27" spans="1:19" s="445" customFormat="1" ht="17.25" thickTop="1" thickBot="1">
      <c r="A27" s="692" t="s">
        <v>115</v>
      </c>
      <c r="B27" s="799"/>
      <c r="C27" s="693">
        <f ca="1">C22+C16+C26</f>
        <v>191819.72597074477</v>
      </c>
      <c r="D27" s="693">
        <f t="shared" ref="D27:R27" ca="1" si="3">D22+D16+D26</f>
        <v>60.878571428571433</v>
      </c>
      <c r="E27" s="693">
        <f t="shared" ca="1" si="3"/>
        <v>382806.32347302366</v>
      </c>
      <c r="F27" s="693">
        <f t="shared" si="3"/>
        <v>639.17517058158705</v>
      </c>
      <c r="G27" s="693">
        <f t="shared" ca="1" si="3"/>
        <v>25933.346185763894</v>
      </c>
      <c r="H27" s="693">
        <f t="shared" si="3"/>
        <v>97226.707320193935</v>
      </c>
      <c r="I27" s="693">
        <f t="shared" si="3"/>
        <v>25590.374349784641</v>
      </c>
      <c r="J27" s="693">
        <f t="shared" si="3"/>
        <v>0</v>
      </c>
      <c r="K27" s="693">
        <f t="shared" si="3"/>
        <v>451.62110457781745</v>
      </c>
      <c r="L27" s="693">
        <f t="shared" si="3"/>
        <v>0</v>
      </c>
      <c r="M27" s="693">
        <f t="shared" ca="1" si="3"/>
        <v>0</v>
      </c>
      <c r="N27" s="693">
        <f t="shared" si="3"/>
        <v>7396.7238559074394</v>
      </c>
      <c r="O27" s="693">
        <f t="shared" ca="1" si="3"/>
        <v>24015.668513290489</v>
      </c>
      <c r="P27" s="693">
        <f t="shared" si="3"/>
        <v>370.87491746012211</v>
      </c>
      <c r="Q27" s="693">
        <f t="shared" si="3"/>
        <v>1147.417615146087</v>
      </c>
      <c r="R27" s="693">
        <f t="shared" ca="1" si="3"/>
        <v>757458.83704790298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19959.882148699322</v>
      </c>
      <c r="D40" s="683">
        <f ca="1">tertiair!C20</f>
        <v>14.467613445378154</v>
      </c>
      <c r="E40" s="683">
        <f ca="1">tertiair!D20</f>
        <v>24459.989182274006</v>
      </c>
      <c r="F40" s="683">
        <f>tertiair!E20</f>
        <v>81.386918229658946</v>
      </c>
      <c r="G40" s="683">
        <f ca="1">tertiair!F20</f>
        <v>4660.3963289250651</v>
      </c>
      <c r="H40" s="683">
        <f>tertiair!G20</f>
        <v>0</v>
      </c>
      <c r="I40" s="683">
        <f>tertiair!H20</f>
        <v>0</v>
      </c>
      <c r="J40" s="683">
        <f>tertiair!I20</f>
        <v>0</v>
      </c>
      <c r="K40" s="683">
        <f>tertiair!J20</f>
        <v>3.9022093153425655E-2</v>
      </c>
      <c r="L40" s="683">
        <f>tertiair!K20</f>
        <v>0</v>
      </c>
      <c r="M40" s="683">
        <f ca="1">tertiair!L20</f>
        <v>0</v>
      </c>
      <c r="N40" s="683">
        <f>tertiair!M20</f>
        <v>0</v>
      </c>
      <c r="O40" s="683">
        <f ca="1">tertiair!N20</f>
        <v>0</v>
      </c>
      <c r="P40" s="683">
        <f>tertiair!O20</f>
        <v>0</v>
      </c>
      <c r="Q40" s="766">
        <f>tertiair!P20</f>
        <v>0</v>
      </c>
      <c r="R40" s="845">
        <f t="shared" ca="1" si="4"/>
        <v>49176.161213666586</v>
      </c>
    </row>
    <row r="41" spans="1:18">
      <c r="A41" s="817" t="s">
        <v>220</v>
      </c>
      <c r="B41" s="824"/>
      <c r="C41" s="683">
        <f ca="1">huishoudens!B12</f>
        <v>13455.547536999307</v>
      </c>
      <c r="D41" s="683">
        <f ca="1">huishoudens!C12</f>
        <v>0</v>
      </c>
      <c r="E41" s="683">
        <f>huishoudens!D12</f>
        <v>39970.400766614017</v>
      </c>
      <c r="F41" s="683">
        <f>huishoudens!E12</f>
        <v>0</v>
      </c>
      <c r="G41" s="683">
        <f>huishoudens!F12</f>
        <v>0</v>
      </c>
      <c r="H41" s="683">
        <f>huishoudens!G12</f>
        <v>0</v>
      </c>
      <c r="I41" s="683">
        <f>huishoudens!H12</f>
        <v>0</v>
      </c>
      <c r="J41" s="683">
        <f>huishoudens!I12</f>
        <v>0</v>
      </c>
      <c r="K41" s="683">
        <f>huishoudens!J12</f>
        <v>0</v>
      </c>
      <c r="L41" s="683">
        <f>huishoudens!K12</f>
        <v>0</v>
      </c>
      <c r="M41" s="683">
        <f>huishoudens!L12</f>
        <v>0</v>
      </c>
      <c r="N41" s="683">
        <f>huishoudens!M12</f>
        <v>0</v>
      </c>
      <c r="O41" s="683">
        <f>huishoudens!N12</f>
        <v>0</v>
      </c>
      <c r="P41" s="683">
        <f>huishoudens!O12</f>
        <v>0</v>
      </c>
      <c r="Q41" s="766">
        <f>huishoudens!P12</f>
        <v>0</v>
      </c>
      <c r="R41" s="845">
        <f t="shared" ca="1" si="4"/>
        <v>53425.948303613324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1592.5381460885624</v>
      </c>
      <c r="D43" s="683">
        <f ca="1">industrie!C22</f>
        <v>0</v>
      </c>
      <c r="E43" s="683">
        <f>industrie!D22</f>
        <v>2045.4805379960117</v>
      </c>
      <c r="F43" s="683">
        <f>industrie!E22</f>
        <v>5.8142565039235334</v>
      </c>
      <c r="G43" s="683">
        <f>industrie!F22</f>
        <v>779.17234330440021</v>
      </c>
      <c r="H43" s="683">
        <f>industrie!G22</f>
        <v>0</v>
      </c>
      <c r="I43" s="683">
        <f>industrie!H22</f>
        <v>0</v>
      </c>
      <c r="J43" s="683">
        <f>industrie!I22</f>
        <v>0</v>
      </c>
      <c r="K43" s="683">
        <f>industrie!J22</f>
        <v>1.723040040941666</v>
      </c>
      <c r="L43" s="683">
        <f>industrie!K22</f>
        <v>0</v>
      </c>
      <c r="M43" s="683">
        <f>industrie!L22</f>
        <v>0</v>
      </c>
      <c r="N43" s="683">
        <f>industrie!M22</f>
        <v>0</v>
      </c>
      <c r="O43" s="683">
        <f>industrie!N22</f>
        <v>0</v>
      </c>
      <c r="P43" s="683">
        <f>industrie!O22</f>
        <v>0</v>
      </c>
      <c r="Q43" s="766">
        <f>industrie!P22</f>
        <v>0</v>
      </c>
      <c r="R43" s="844">
        <f t="shared" ca="1" si="4"/>
        <v>4424.7283239338394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35007.967831787195</v>
      </c>
      <c r="D46" s="719">
        <f t="shared" ref="D46:Q46" ca="1" si="5">SUM(D39:D45)</f>
        <v>14.467613445378154</v>
      </c>
      <c r="E46" s="719">
        <f t="shared" ca="1" si="5"/>
        <v>66475.870486884043</v>
      </c>
      <c r="F46" s="719">
        <f t="shared" si="5"/>
        <v>87.201174733582477</v>
      </c>
      <c r="G46" s="719">
        <f t="shared" ca="1" si="5"/>
        <v>5439.5686722294649</v>
      </c>
      <c r="H46" s="719">
        <f t="shared" si="5"/>
        <v>0</v>
      </c>
      <c r="I46" s="719">
        <f t="shared" si="5"/>
        <v>0</v>
      </c>
      <c r="J46" s="719">
        <f t="shared" si="5"/>
        <v>0</v>
      </c>
      <c r="K46" s="719">
        <f t="shared" si="5"/>
        <v>1.7620621340950917</v>
      </c>
      <c r="L46" s="719">
        <f t="shared" si="5"/>
        <v>0</v>
      </c>
      <c r="M46" s="719">
        <f t="shared" ca="1" si="5"/>
        <v>0</v>
      </c>
      <c r="N46" s="719">
        <f t="shared" si="5"/>
        <v>0</v>
      </c>
      <c r="O46" s="719">
        <f t="shared" ca="1" si="5"/>
        <v>0</v>
      </c>
      <c r="P46" s="719">
        <f t="shared" si="5"/>
        <v>0</v>
      </c>
      <c r="Q46" s="719">
        <f t="shared" si="5"/>
        <v>0</v>
      </c>
      <c r="R46" s="719">
        <f ca="1">SUM(R39:R45)</f>
        <v>107026.83784121375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135.63182583129662</v>
      </c>
      <c r="D49" s="683">
        <f ca="1">transport!C58</f>
        <v>0</v>
      </c>
      <c r="E49" s="683">
        <f>transport!D58</f>
        <v>0</v>
      </c>
      <c r="F49" s="683">
        <f>transport!E58</f>
        <v>0</v>
      </c>
      <c r="G49" s="683">
        <f>transport!F58</f>
        <v>0</v>
      </c>
      <c r="H49" s="683">
        <f>transport!G58</f>
        <v>381.65804920812155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517.28987503941812</v>
      </c>
    </row>
    <row r="50" spans="1:18">
      <c r="A50" s="820" t="s">
        <v>302</v>
      </c>
      <c r="B50" s="830"/>
      <c r="C50" s="689">
        <f ca="1">transport!B18</f>
        <v>59.419935455435358</v>
      </c>
      <c r="D50" s="689">
        <f>transport!C18</f>
        <v>0</v>
      </c>
      <c r="E50" s="689">
        <f>transport!D18</f>
        <v>105.71329470461815</v>
      </c>
      <c r="F50" s="689">
        <f>transport!E18</f>
        <v>46.470885674656614</v>
      </c>
      <c r="G50" s="689">
        <f>transport!F18</f>
        <v>0</v>
      </c>
      <c r="H50" s="689">
        <f>transport!G18</f>
        <v>25577.87280528366</v>
      </c>
      <c r="I50" s="689">
        <f>transport!H18</f>
        <v>6372.0032130963755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32161.480134214748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195.05176128673199</v>
      </c>
      <c r="D52" s="719">
        <f t="shared" ref="D52:Q52" ca="1" si="6">SUM(D48:D51)</f>
        <v>0</v>
      </c>
      <c r="E52" s="719">
        <f t="shared" si="6"/>
        <v>105.71329470461815</v>
      </c>
      <c r="F52" s="719">
        <f t="shared" si="6"/>
        <v>46.470885674656614</v>
      </c>
      <c r="G52" s="719">
        <f t="shared" si="6"/>
        <v>0</v>
      </c>
      <c r="H52" s="719">
        <f t="shared" si="6"/>
        <v>25959.530854491783</v>
      </c>
      <c r="I52" s="719">
        <f t="shared" si="6"/>
        <v>6372.0032130963755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32678.770009254167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362.12155129402913</v>
      </c>
      <c r="D54" s="689">
        <f ca="1">+landbouw!C12</f>
        <v>0</v>
      </c>
      <c r="E54" s="689">
        <f>+landbouw!D12</f>
        <v>175.76574100128747</v>
      </c>
      <c r="F54" s="689">
        <f>+landbouw!E12</f>
        <v>11.420703313781175</v>
      </c>
      <c r="G54" s="689">
        <f>+landbouw!F12</f>
        <v>1484.6347593694948</v>
      </c>
      <c r="H54" s="689">
        <f>+landbouw!G12</f>
        <v>0</v>
      </c>
      <c r="I54" s="689">
        <f>+landbouw!H12</f>
        <v>0</v>
      </c>
      <c r="J54" s="689">
        <f>+landbouw!I12</f>
        <v>0</v>
      </c>
      <c r="K54" s="689">
        <f>+landbouw!J12</f>
        <v>158.11180888645228</v>
      </c>
      <c r="L54" s="689">
        <f>+landbouw!K12</f>
        <v>0</v>
      </c>
      <c r="M54" s="689">
        <f>+landbouw!L12</f>
        <v>0</v>
      </c>
      <c r="N54" s="689">
        <f>+landbouw!M12</f>
        <v>0</v>
      </c>
      <c r="O54" s="689">
        <f>+landbouw!N12</f>
        <v>0</v>
      </c>
      <c r="P54" s="689">
        <f>+landbouw!O12</f>
        <v>0</v>
      </c>
      <c r="Q54" s="690">
        <f>+landbouw!P12</f>
        <v>0</v>
      </c>
      <c r="R54" s="718">
        <f ca="1">SUM(C54:Q54)</f>
        <v>2192.0545638650447</v>
      </c>
    </row>
    <row r="55" spans="1:18" ht="15" thickBot="1">
      <c r="A55" s="820" t="s">
        <v>696</v>
      </c>
      <c r="B55" s="830"/>
      <c r="C55" s="689">
        <f ca="1">C25*'EF ele_warmte'!B12</f>
        <v>3978.7426224201172</v>
      </c>
      <c r="D55" s="689"/>
      <c r="E55" s="689">
        <f>E25*EF_CO2_aardgas</f>
        <v>10569.527818960842</v>
      </c>
      <c r="F55" s="689"/>
      <c r="G55" s="689"/>
      <c r="H55" s="689"/>
      <c r="I55" s="689"/>
      <c r="J55" s="689"/>
      <c r="K55" s="689"/>
      <c r="L55" s="689"/>
      <c r="M55" s="689"/>
      <c r="N55" s="689"/>
      <c r="O55" s="689"/>
      <c r="P55" s="689"/>
      <c r="Q55" s="690"/>
      <c r="R55" s="718">
        <f ca="1">SUM(C55:Q55)</f>
        <v>14548.270441380959</v>
      </c>
    </row>
    <row r="56" spans="1:18" ht="15.75" thickBot="1">
      <c r="A56" s="818" t="s">
        <v>697</v>
      </c>
      <c r="B56" s="831"/>
      <c r="C56" s="719">
        <f ca="1">SUM(C54:C55)</f>
        <v>4340.8641737141461</v>
      </c>
      <c r="D56" s="719">
        <f t="shared" ref="D56:Q56" ca="1" si="7">SUM(D54:D55)</f>
        <v>0</v>
      </c>
      <c r="E56" s="719">
        <f t="shared" si="7"/>
        <v>10745.293559962129</v>
      </c>
      <c r="F56" s="719">
        <f t="shared" si="7"/>
        <v>11.420703313781175</v>
      </c>
      <c r="G56" s="719">
        <f t="shared" si="7"/>
        <v>1484.6347593694948</v>
      </c>
      <c r="H56" s="719">
        <f t="shared" si="7"/>
        <v>0</v>
      </c>
      <c r="I56" s="719">
        <f t="shared" si="7"/>
        <v>0</v>
      </c>
      <c r="J56" s="719">
        <f t="shared" si="7"/>
        <v>0</v>
      </c>
      <c r="K56" s="719">
        <f t="shared" si="7"/>
        <v>158.11180888645228</v>
      </c>
      <c r="L56" s="719">
        <f t="shared" si="7"/>
        <v>0</v>
      </c>
      <c r="M56" s="719">
        <f t="shared" si="7"/>
        <v>0</v>
      </c>
      <c r="N56" s="719">
        <f t="shared" si="7"/>
        <v>0</v>
      </c>
      <c r="O56" s="719">
        <f t="shared" si="7"/>
        <v>0</v>
      </c>
      <c r="P56" s="719">
        <f t="shared" si="7"/>
        <v>0</v>
      </c>
      <c r="Q56" s="720">
        <f t="shared" si="7"/>
        <v>0</v>
      </c>
      <c r="R56" s="721">
        <f ca="1">SUM(R54:R55)</f>
        <v>16740.325005246003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39543.883766788073</v>
      </c>
      <c r="D61" s="727">
        <f t="shared" ref="D61:Q61" ca="1" si="8">D46+D52+D56</f>
        <v>14.467613445378154</v>
      </c>
      <c r="E61" s="727">
        <f t="shared" ca="1" si="8"/>
        <v>77326.877341550789</v>
      </c>
      <c r="F61" s="727">
        <f t="shared" si="8"/>
        <v>145.09276372202027</v>
      </c>
      <c r="G61" s="727">
        <f t="shared" ca="1" si="8"/>
        <v>6924.2034315989595</v>
      </c>
      <c r="H61" s="727">
        <f t="shared" si="8"/>
        <v>25959.530854491783</v>
      </c>
      <c r="I61" s="727">
        <f t="shared" si="8"/>
        <v>6372.0032130963755</v>
      </c>
      <c r="J61" s="727">
        <f t="shared" si="8"/>
        <v>0</v>
      </c>
      <c r="K61" s="727">
        <f t="shared" si="8"/>
        <v>159.87387102054737</v>
      </c>
      <c r="L61" s="727">
        <f t="shared" si="8"/>
        <v>0</v>
      </c>
      <c r="M61" s="727">
        <f t="shared" ca="1" si="8"/>
        <v>0</v>
      </c>
      <c r="N61" s="727">
        <f t="shared" si="8"/>
        <v>0</v>
      </c>
      <c r="O61" s="727">
        <f t="shared" ca="1" si="8"/>
        <v>0</v>
      </c>
      <c r="P61" s="727">
        <f t="shared" si="8"/>
        <v>0</v>
      </c>
      <c r="Q61" s="727">
        <f t="shared" si="8"/>
        <v>0</v>
      </c>
      <c r="R61" s="727">
        <f ca="1">R46+R52+R56</f>
        <v>156445.93285571394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0.2061512890119501</v>
      </c>
      <c r="D63" s="773">
        <f t="shared" ca="1" si="9"/>
        <v>0.23764705882352943</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7771.4802399133259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5119.8549960969885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42.615000000000002</v>
      </c>
      <c r="D76" s="948">
        <f>'lokale energieproductie'!C8</f>
        <v>50.135294117647064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10.127329411764707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12891.335236010314</v>
      </c>
      <c r="C78" s="745">
        <f>SUM(C72:C77)</f>
        <v>42.615000000000002</v>
      </c>
      <c r="D78" s="746">
        <f t="shared" ref="D78:H78" si="10">SUM(D76:D77)</f>
        <v>50.135294117647064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10.127329411764707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60.878571428571433</v>
      </c>
      <c r="D87" s="769">
        <f>'lokale energieproductie'!C17</f>
        <v>71.621848739495803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14.467613445378154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60.878571428571433</v>
      </c>
      <c r="D90" s="745">
        <f t="shared" ref="D90:H90" si="12">SUM(D87:D89)</f>
        <v>71.621848739495803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14.467613445378154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65270.256623131376</v>
      </c>
      <c r="C4" s="449">
        <f>huishoudens!C8</f>
        <v>0</v>
      </c>
      <c r="D4" s="449">
        <f>huishoudens!D8</f>
        <v>197873.27112185155</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19359.648953339936</v>
      </c>
      <c r="O4" s="449">
        <f>huishoudens!O8</f>
        <v>361.08039592843977</v>
      </c>
      <c r="P4" s="450">
        <f>huishoudens!P8</f>
        <v>832.18278530711677</v>
      </c>
      <c r="Q4" s="451">
        <f>SUM(B4:P4)</f>
        <v>283696.43987955846</v>
      </c>
    </row>
    <row r="5" spans="1:17">
      <c r="A5" s="448" t="s">
        <v>155</v>
      </c>
      <c r="B5" s="449">
        <f ca="1">tertiair!B16</f>
        <v>93833.52183432832</v>
      </c>
      <c r="C5" s="449">
        <f ca="1">tertiair!C16</f>
        <v>60.878571428571433</v>
      </c>
      <c r="D5" s="449">
        <f ca="1">tertiair!D16</f>
        <v>121089.05535779211</v>
      </c>
      <c r="E5" s="449">
        <f>tertiair!E16</f>
        <v>358.53267942581033</v>
      </c>
      <c r="F5" s="449">
        <f ca="1">tertiair!F16</f>
        <v>17454.667898595748</v>
      </c>
      <c r="G5" s="449">
        <f>tertiair!G16</f>
        <v>0</v>
      </c>
      <c r="H5" s="449">
        <f>tertiair!H16</f>
        <v>0</v>
      </c>
      <c r="I5" s="449">
        <f>tertiair!I16</f>
        <v>0</v>
      </c>
      <c r="J5" s="449">
        <f>tertiair!J16</f>
        <v>0.11023190156334932</v>
      </c>
      <c r="K5" s="449">
        <f>tertiair!K16</f>
        <v>0</v>
      </c>
      <c r="L5" s="449">
        <f ca="1">tertiair!L16</f>
        <v>0</v>
      </c>
      <c r="M5" s="449">
        <f>tertiair!M16</f>
        <v>0</v>
      </c>
      <c r="N5" s="449">
        <f ca="1">tertiair!N16</f>
        <v>4291.4158950347319</v>
      </c>
      <c r="O5" s="449">
        <f>tertiair!O16</f>
        <v>9.7945215316823084</v>
      </c>
      <c r="P5" s="450">
        <f>tertiair!P16</f>
        <v>315.23482983897009</v>
      </c>
      <c r="Q5" s="448">
        <f t="shared" ref="Q5:Q14" ca="1" si="0">SUM(B5:P5)</f>
        <v>237413.21181987753</v>
      </c>
    </row>
    <row r="6" spans="1:17">
      <c r="A6" s="448" t="s">
        <v>193</v>
      </c>
      <c r="B6" s="449">
        <f>'openbare verlichting'!B8</f>
        <v>2988.0030000000002</v>
      </c>
      <c r="C6" s="449"/>
      <c r="D6" s="449"/>
      <c r="E6" s="449"/>
      <c r="F6" s="449"/>
      <c r="G6" s="449"/>
      <c r="H6" s="449"/>
      <c r="I6" s="449"/>
      <c r="J6" s="449"/>
      <c r="K6" s="449"/>
      <c r="L6" s="449"/>
      <c r="M6" s="449"/>
      <c r="N6" s="449"/>
      <c r="O6" s="449"/>
      <c r="P6" s="450"/>
      <c r="Q6" s="448">
        <f t="shared" si="0"/>
        <v>2988.0030000000002</v>
      </c>
    </row>
    <row r="7" spans="1:17">
      <c r="A7" s="448" t="s">
        <v>111</v>
      </c>
      <c r="B7" s="449">
        <f>landbouw!B8</f>
        <v>1756.58155245897</v>
      </c>
      <c r="C7" s="449">
        <f>landbouw!C8</f>
        <v>0</v>
      </c>
      <c r="D7" s="449">
        <f>landbouw!D8</f>
        <v>870.12743069944281</v>
      </c>
      <c r="E7" s="449">
        <f>landbouw!E8</f>
        <v>50.311468342648347</v>
      </c>
      <c r="F7" s="449">
        <f>landbouw!F8</f>
        <v>5560.4298103726396</v>
      </c>
      <c r="G7" s="449">
        <f>landbouw!G8</f>
        <v>0</v>
      </c>
      <c r="H7" s="449">
        <f>landbouw!H8</f>
        <v>0</v>
      </c>
      <c r="I7" s="449">
        <f>landbouw!I8</f>
        <v>0</v>
      </c>
      <c r="J7" s="449">
        <f>landbouw!J8</f>
        <v>446.64352792783131</v>
      </c>
      <c r="K7" s="449">
        <f>landbouw!K8</f>
        <v>0</v>
      </c>
      <c r="L7" s="449">
        <f>landbouw!L8</f>
        <v>0</v>
      </c>
      <c r="M7" s="449">
        <f>landbouw!M8</f>
        <v>0</v>
      </c>
      <c r="N7" s="449">
        <f>landbouw!N8</f>
        <v>0</v>
      </c>
      <c r="O7" s="449">
        <f>landbouw!O8</f>
        <v>0</v>
      </c>
      <c r="P7" s="450">
        <f>landbouw!P8</f>
        <v>0</v>
      </c>
      <c r="Q7" s="448">
        <f t="shared" si="0"/>
        <v>8684.0937898015327</v>
      </c>
    </row>
    <row r="8" spans="1:17">
      <c r="A8" s="448" t="s">
        <v>617</v>
      </c>
      <c r="B8" s="449">
        <f>industrie!B18</f>
        <v>7725.0942922614786</v>
      </c>
      <c r="C8" s="449">
        <f>industrie!C18</f>
        <v>0</v>
      </c>
      <c r="D8" s="449">
        <f>industrie!D18</f>
        <v>10126.141277207978</v>
      </c>
      <c r="E8" s="449">
        <f>industrie!E18</f>
        <v>25.613464774993538</v>
      </c>
      <c r="F8" s="449">
        <f>industrie!F18</f>
        <v>2918.2484767955061</v>
      </c>
      <c r="G8" s="449">
        <f>industrie!G18</f>
        <v>0</v>
      </c>
      <c r="H8" s="449">
        <f>industrie!H18</f>
        <v>0</v>
      </c>
      <c r="I8" s="449">
        <f>industrie!I18</f>
        <v>0</v>
      </c>
      <c r="J8" s="449">
        <f>industrie!J18</f>
        <v>4.8673447484227852</v>
      </c>
      <c r="K8" s="449">
        <f>industrie!K18</f>
        <v>0</v>
      </c>
      <c r="L8" s="449">
        <f>industrie!L18</f>
        <v>0</v>
      </c>
      <c r="M8" s="449">
        <f>industrie!M18</f>
        <v>0</v>
      </c>
      <c r="N8" s="449">
        <f>industrie!N18</f>
        <v>364.60366491581794</v>
      </c>
      <c r="O8" s="449">
        <f>industrie!O18</f>
        <v>0</v>
      </c>
      <c r="P8" s="450">
        <f>industrie!P18</f>
        <v>0</v>
      </c>
      <c r="Q8" s="448">
        <f t="shared" si="0"/>
        <v>21164.568520704197</v>
      </c>
    </row>
    <row r="9" spans="1:17" s="454" customFormat="1">
      <c r="A9" s="452" t="s">
        <v>543</v>
      </c>
      <c r="B9" s="453">
        <f>transport!B14</f>
        <v>288.23460546972819</v>
      </c>
      <c r="C9" s="453">
        <f>transport!C14</f>
        <v>0</v>
      </c>
      <c r="D9" s="453">
        <f>transport!D14</f>
        <v>523.33314210207004</v>
      </c>
      <c r="E9" s="453">
        <f>transport!E14</f>
        <v>204.71755803813485</v>
      </c>
      <c r="F9" s="453">
        <f>transport!F14</f>
        <v>0</v>
      </c>
      <c r="G9" s="453">
        <f>transport!G14</f>
        <v>95797.276424283365</v>
      </c>
      <c r="H9" s="453">
        <f>transport!H14</f>
        <v>25590.374349784641</v>
      </c>
      <c r="I9" s="453">
        <f>transport!I14</f>
        <v>0</v>
      </c>
      <c r="J9" s="453">
        <f>transport!J14</f>
        <v>0</v>
      </c>
      <c r="K9" s="453">
        <f>transport!K14</f>
        <v>0</v>
      </c>
      <c r="L9" s="453">
        <f>transport!L14</f>
        <v>0</v>
      </c>
      <c r="M9" s="453">
        <f>transport!M14</f>
        <v>7314.6490989570921</v>
      </c>
      <c r="N9" s="453">
        <f>transport!N14</f>
        <v>0</v>
      </c>
      <c r="O9" s="453">
        <f>transport!O14</f>
        <v>0</v>
      </c>
      <c r="P9" s="453">
        <f>transport!P14</f>
        <v>0</v>
      </c>
      <c r="Q9" s="452">
        <f>SUM(B9:P9)</f>
        <v>129718.58517863502</v>
      </c>
    </row>
    <row r="10" spans="1:17">
      <c r="A10" s="448" t="s">
        <v>533</v>
      </c>
      <c r="B10" s="449">
        <f>transport!B54</f>
        <v>657.92373397885638</v>
      </c>
      <c r="C10" s="449">
        <f>transport!C54</f>
        <v>0</v>
      </c>
      <c r="D10" s="449">
        <f>transport!D54</f>
        <v>0</v>
      </c>
      <c r="E10" s="449">
        <f>transport!E54</f>
        <v>0</v>
      </c>
      <c r="F10" s="449">
        <f>transport!F54</f>
        <v>0</v>
      </c>
      <c r="G10" s="449">
        <f>transport!G54</f>
        <v>1429.4308959105676</v>
      </c>
      <c r="H10" s="449">
        <f>transport!H54</f>
        <v>0</v>
      </c>
      <c r="I10" s="449">
        <f>transport!I54</f>
        <v>0</v>
      </c>
      <c r="J10" s="449">
        <f>transport!J54</f>
        <v>0</v>
      </c>
      <c r="K10" s="449">
        <f>transport!K54</f>
        <v>0</v>
      </c>
      <c r="L10" s="449">
        <f>transport!L54</f>
        <v>0</v>
      </c>
      <c r="M10" s="449">
        <f>transport!M54</f>
        <v>82.074756950347691</v>
      </c>
      <c r="N10" s="449">
        <f>transport!N54</f>
        <v>0</v>
      </c>
      <c r="O10" s="449">
        <f>transport!O54</f>
        <v>0</v>
      </c>
      <c r="P10" s="450">
        <f>transport!P54</f>
        <v>0</v>
      </c>
      <c r="Q10" s="448">
        <f t="shared" si="0"/>
        <v>2169.4293868397717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19300.110329116003</v>
      </c>
      <c r="C14" s="456"/>
      <c r="D14" s="456">
        <f>'SEAP template'!E25</f>
        <v>52324.395143370501</v>
      </c>
      <c r="E14" s="456"/>
      <c r="F14" s="456"/>
      <c r="G14" s="456"/>
      <c r="H14" s="456"/>
      <c r="I14" s="456"/>
      <c r="J14" s="456"/>
      <c r="K14" s="456"/>
      <c r="L14" s="456"/>
      <c r="M14" s="456"/>
      <c r="N14" s="456"/>
      <c r="O14" s="456"/>
      <c r="P14" s="457"/>
      <c r="Q14" s="448">
        <f t="shared" si="0"/>
        <v>71624.505472486504</v>
      </c>
    </row>
    <row r="15" spans="1:17" s="460" customFormat="1">
      <c r="A15" s="458" t="s">
        <v>537</v>
      </c>
      <c r="B15" s="459">
        <f ca="1">SUM(B4:B14)</f>
        <v>191819.72597074474</v>
      </c>
      <c r="C15" s="459">
        <f t="shared" ref="C15:Q15" ca="1" si="1">SUM(C4:C14)</f>
        <v>60.878571428571433</v>
      </c>
      <c r="D15" s="459">
        <f t="shared" ca="1" si="1"/>
        <v>382806.3234730236</v>
      </c>
      <c r="E15" s="459">
        <f t="shared" si="1"/>
        <v>639.17517058158705</v>
      </c>
      <c r="F15" s="459">
        <f t="shared" ca="1" si="1"/>
        <v>25933.346185763894</v>
      </c>
      <c r="G15" s="459">
        <f t="shared" si="1"/>
        <v>97226.707320193935</v>
      </c>
      <c r="H15" s="459">
        <f t="shared" si="1"/>
        <v>25590.374349784641</v>
      </c>
      <c r="I15" s="459">
        <f t="shared" si="1"/>
        <v>0</v>
      </c>
      <c r="J15" s="459">
        <f t="shared" si="1"/>
        <v>451.62110457781745</v>
      </c>
      <c r="K15" s="459">
        <f t="shared" si="1"/>
        <v>0</v>
      </c>
      <c r="L15" s="459">
        <f t="shared" ca="1" si="1"/>
        <v>0</v>
      </c>
      <c r="M15" s="459">
        <f t="shared" si="1"/>
        <v>7396.7238559074394</v>
      </c>
      <c r="N15" s="459">
        <f t="shared" ca="1" si="1"/>
        <v>24015.668513290489</v>
      </c>
      <c r="O15" s="459">
        <f t="shared" si="1"/>
        <v>370.87491746012211</v>
      </c>
      <c r="P15" s="459">
        <f t="shared" si="1"/>
        <v>1147.417615146087</v>
      </c>
      <c r="Q15" s="459">
        <f t="shared" ca="1" si="1"/>
        <v>757458.83704790298</v>
      </c>
    </row>
    <row r="17" spans="1:17">
      <c r="A17" s="461" t="s">
        <v>538</v>
      </c>
      <c r="B17" s="778">
        <f ca="1">huishoudens!B10</f>
        <v>0.20615128901195012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13455.547536999307</v>
      </c>
      <c r="C22" s="449">
        <f t="shared" ref="C22:C32" ca="1" si="3">C4*$C$17</f>
        <v>0</v>
      </c>
      <c r="D22" s="449">
        <f t="shared" ref="D22:D32" si="4">D4*$D$17</f>
        <v>39970.400766614017</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53425.948303613324</v>
      </c>
    </row>
    <row r="23" spans="1:17">
      <c r="A23" s="448" t="s">
        <v>155</v>
      </c>
      <c r="B23" s="449">
        <f t="shared" ca="1" si="2"/>
        <v>19343.901478677748</v>
      </c>
      <c r="C23" s="449">
        <f t="shared" ca="1" si="3"/>
        <v>14.467613445378154</v>
      </c>
      <c r="D23" s="449">
        <f t="shared" ca="1" si="4"/>
        <v>24459.989182274006</v>
      </c>
      <c r="E23" s="449">
        <f t="shared" si="5"/>
        <v>81.386918229658946</v>
      </c>
      <c r="F23" s="449">
        <f t="shared" ca="1" si="6"/>
        <v>4660.3963289250651</v>
      </c>
      <c r="G23" s="449">
        <f t="shared" si="7"/>
        <v>0</v>
      </c>
      <c r="H23" s="449">
        <f t="shared" si="8"/>
        <v>0</v>
      </c>
      <c r="I23" s="449">
        <f t="shared" si="9"/>
        <v>0</v>
      </c>
      <c r="J23" s="449">
        <f t="shared" si="10"/>
        <v>3.9022093153425655E-2</v>
      </c>
      <c r="K23" s="449">
        <f t="shared" si="11"/>
        <v>0</v>
      </c>
      <c r="L23" s="449">
        <f t="shared" ca="1" si="12"/>
        <v>0</v>
      </c>
      <c r="M23" s="449">
        <f t="shared" si="13"/>
        <v>0</v>
      </c>
      <c r="N23" s="449">
        <f t="shared" ca="1" si="14"/>
        <v>0</v>
      </c>
      <c r="O23" s="449">
        <f t="shared" si="15"/>
        <v>0</v>
      </c>
      <c r="P23" s="450">
        <f t="shared" si="16"/>
        <v>0</v>
      </c>
      <c r="Q23" s="448">
        <f t="shared" ref="Q23:Q31" ca="1" si="17">SUM(B23:P23)</f>
        <v>48560.180543645016</v>
      </c>
    </row>
    <row r="24" spans="1:17">
      <c r="A24" s="448" t="s">
        <v>193</v>
      </c>
      <c r="B24" s="449">
        <f t="shared" ca="1" si="2"/>
        <v>615.98067002157404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615.98067002157404</v>
      </c>
    </row>
    <row r="25" spans="1:17">
      <c r="A25" s="448" t="s">
        <v>111</v>
      </c>
      <c r="B25" s="449">
        <f t="shared" ca="1" si="2"/>
        <v>362.12155129402913</v>
      </c>
      <c r="C25" s="449">
        <f t="shared" ca="1" si="3"/>
        <v>0</v>
      </c>
      <c r="D25" s="449">
        <f t="shared" si="4"/>
        <v>175.76574100128747</v>
      </c>
      <c r="E25" s="449">
        <f t="shared" si="5"/>
        <v>11.420703313781175</v>
      </c>
      <c r="F25" s="449">
        <f t="shared" si="6"/>
        <v>1484.6347593694948</v>
      </c>
      <c r="G25" s="449">
        <f t="shared" si="7"/>
        <v>0</v>
      </c>
      <c r="H25" s="449">
        <f t="shared" si="8"/>
        <v>0</v>
      </c>
      <c r="I25" s="449">
        <f t="shared" si="9"/>
        <v>0</v>
      </c>
      <c r="J25" s="449">
        <f t="shared" si="10"/>
        <v>158.11180888645228</v>
      </c>
      <c r="K25" s="449">
        <f t="shared" si="11"/>
        <v>0</v>
      </c>
      <c r="L25" s="449">
        <f t="shared" si="12"/>
        <v>0</v>
      </c>
      <c r="M25" s="449">
        <f t="shared" si="13"/>
        <v>0</v>
      </c>
      <c r="N25" s="449">
        <f t="shared" si="14"/>
        <v>0</v>
      </c>
      <c r="O25" s="449">
        <f t="shared" si="15"/>
        <v>0</v>
      </c>
      <c r="P25" s="450">
        <f t="shared" si="16"/>
        <v>0</v>
      </c>
      <c r="Q25" s="448">
        <f t="shared" ca="1" si="17"/>
        <v>2192.0545638650447</v>
      </c>
    </row>
    <row r="26" spans="1:17">
      <c r="A26" s="448" t="s">
        <v>617</v>
      </c>
      <c r="B26" s="449">
        <f t="shared" ca="1" si="2"/>
        <v>1592.5381460885624</v>
      </c>
      <c r="C26" s="449">
        <f t="shared" ca="1" si="3"/>
        <v>0</v>
      </c>
      <c r="D26" s="449">
        <f t="shared" si="4"/>
        <v>2045.4805379960117</v>
      </c>
      <c r="E26" s="449">
        <f t="shared" si="5"/>
        <v>5.8142565039235334</v>
      </c>
      <c r="F26" s="449">
        <f t="shared" si="6"/>
        <v>779.17234330440021</v>
      </c>
      <c r="G26" s="449">
        <f t="shared" si="7"/>
        <v>0</v>
      </c>
      <c r="H26" s="449">
        <f t="shared" si="8"/>
        <v>0</v>
      </c>
      <c r="I26" s="449">
        <f t="shared" si="9"/>
        <v>0</v>
      </c>
      <c r="J26" s="449">
        <f t="shared" si="10"/>
        <v>1.723040040941666</v>
      </c>
      <c r="K26" s="449">
        <f t="shared" si="11"/>
        <v>0</v>
      </c>
      <c r="L26" s="449">
        <f t="shared" si="12"/>
        <v>0</v>
      </c>
      <c r="M26" s="449">
        <f t="shared" si="13"/>
        <v>0</v>
      </c>
      <c r="N26" s="449">
        <f t="shared" si="14"/>
        <v>0</v>
      </c>
      <c r="O26" s="449">
        <f t="shared" si="15"/>
        <v>0</v>
      </c>
      <c r="P26" s="450">
        <f t="shared" si="16"/>
        <v>0</v>
      </c>
      <c r="Q26" s="448">
        <f t="shared" ca="1" si="17"/>
        <v>4424.7283239338394</v>
      </c>
    </row>
    <row r="27" spans="1:17" s="454" customFormat="1">
      <c r="A27" s="452" t="s">
        <v>543</v>
      </c>
      <c r="B27" s="772">
        <f t="shared" ca="1" si="2"/>
        <v>59.419935455435358</v>
      </c>
      <c r="C27" s="453">
        <f t="shared" ca="1" si="3"/>
        <v>0</v>
      </c>
      <c r="D27" s="453">
        <f t="shared" si="4"/>
        <v>105.71329470461815</v>
      </c>
      <c r="E27" s="453">
        <f t="shared" si="5"/>
        <v>46.470885674656614</v>
      </c>
      <c r="F27" s="453">
        <f t="shared" si="6"/>
        <v>0</v>
      </c>
      <c r="G27" s="453">
        <f t="shared" si="7"/>
        <v>25577.87280528366</v>
      </c>
      <c r="H27" s="453">
        <f t="shared" si="8"/>
        <v>6372.0032130963755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32161.480134214748</v>
      </c>
    </row>
    <row r="28" spans="1:17" ht="16.5" customHeight="1">
      <c r="A28" s="448" t="s">
        <v>533</v>
      </c>
      <c r="B28" s="449">
        <f t="shared" ca="1" si="2"/>
        <v>135.63182583129662</v>
      </c>
      <c r="C28" s="449">
        <f t="shared" ca="1" si="3"/>
        <v>0</v>
      </c>
      <c r="D28" s="449">
        <f t="shared" si="4"/>
        <v>0</v>
      </c>
      <c r="E28" s="449">
        <f t="shared" si="5"/>
        <v>0</v>
      </c>
      <c r="F28" s="449">
        <f t="shared" si="6"/>
        <v>0</v>
      </c>
      <c r="G28" s="449">
        <f t="shared" si="7"/>
        <v>381.65804920812155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517.28987503941812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3978.7426224201172</v>
      </c>
      <c r="C32" s="449">
        <f t="shared" ca="1" si="3"/>
        <v>0</v>
      </c>
      <c r="D32" s="449">
        <f t="shared" si="4"/>
        <v>10569.527818960842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14548.270441380959</v>
      </c>
    </row>
    <row r="33" spans="1:17" s="460" customFormat="1">
      <c r="A33" s="458" t="s">
        <v>537</v>
      </c>
      <c r="B33" s="459">
        <f ca="1">SUM(B22:B32)</f>
        <v>39543.88376678808</v>
      </c>
      <c r="C33" s="459">
        <f t="shared" ref="C33:Q33" ca="1" si="19">SUM(C22:C32)</f>
        <v>14.467613445378154</v>
      </c>
      <c r="D33" s="459">
        <f t="shared" ca="1" si="19"/>
        <v>77326.877341550789</v>
      </c>
      <c r="E33" s="459">
        <f t="shared" si="19"/>
        <v>145.09276372202027</v>
      </c>
      <c r="F33" s="459">
        <f t="shared" ca="1" si="19"/>
        <v>6924.2034315989595</v>
      </c>
      <c r="G33" s="459">
        <f t="shared" si="19"/>
        <v>25959.530854491783</v>
      </c>
      <c r="H33" s="459">
        <f t="shared" si="19"/>
        <v>6372.0032130963755</v>
      </c>
      <c r="I33" s="459">
        <f t="shared" si="19"/>
        <v>0</v>
      </c>
      <c r="J33" s="459">
        <f t="shared" si="19"/>
        <v>159.87387102054737</v>
      </c>
      <c r="K33" s="459">
        <f t="shared" si="19"/>
        <v>0</v>
      </c>
      <c r="L33" s="459">
        <f t="shared" ca="1" si="19"/>
        <v>0</v>
      </c>
      <c r="M33" s="459">
        <f t="shared" si="19"/>
        <v>0</v>
      </c>
      <c r="N33" s="459">
        <f t="shared" ca="1" si="19"/>
        <v>0</v>
      </c>
      <c r="O33" s="459">
        <f t="shared" si="19"/>
        <v>0</v>
      </c>
      <c r="P33" s="459">
        <f t="shared" si="19"/>
        <v>0</v>
      </c>
      <c r="Q33" s="459">
        <f t="shared" ca="1" si="19"/>
        <v>156445.93285571394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7771.4802399133259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5119.8549960969885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42.615000000000002</v>
      </c>
      <c r="D8" s="1016">
        <f>'SEAP template'!D76</f>
        <v>50.135294117647064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10.127329411764707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12891.335236010314</v>
      </c>
      <c r="C10" s="1018">
        <f>SUM(C4:C9)</f>
        <v>42.615000000000002</v>
      </c>
      <c r="D10" s="1018">
        <f t="shared" ref="D10:H10" si="0">SUM(D8:D9)</f>
        <v>50.135294117647064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10.127329411764707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0.20615128901195012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60.878571428571433</v>
      </c>
      <c r="D17" s="1017">
        <f>'SEAP template'!D87</f>
        <v>71.621848739495803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14.467613445378154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60.878571428571433</v>
      </c>
      <c r="D20" s="1018">
        <f t="shared" ref="D20:H20" si="2">SUM(D17:D19)</f>
        <v>71.621848739495803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14.467613445378154</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0.20615128901195012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0.20615128901195012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0.20615128901195012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16867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3346.16</v>
      </c>
      <c r="C14" s="326"/>
      <c r="D14" s="326"/>
      <c r="E14" s="326"/>
      <c r="F14" s="326"/>
    </row>
    <row r="15" spans="1:6">
      <c r="A15" s="1312" t="s">
        <v>183</v>
      </c>
      <c r="B15" s="1313">
        <v>28</v>
      </c>
      <c r="C15" s="326"/>
      <c r="D15" s="326"/>
      <c r="E15" s="326"/>
      <c r="F15" s="326"/>
    </row>
    <row r="16" spans="1:6">
      <c r="A16" s="1312" t="s">
        <v>6</v>
      </c>
      <c r="B16" s="1313">
        <v>668</v>
      </c>
      <c r="C16" s="326"/>
      <c r="D16" s="326"/>
      <c r="E16" s="326"/>
      <c r="F16" s="326"/>
    </row>
    <row r="17" spans="1:6">
      <c r="A17" s="1312" t="s">
        <v>7</v>
      </c>
      <c r="B17" s="1313">
        <v>1044</v>
      </c>
      <c r="C17" s="326"/>
      <c r="D17" s="326"/>
      <c r="E17" s="326"/>
      <c r="F17" s="326"/>
    </row>
    <row r="18" spans="1:6">
      <c r="A18" s="1312" t="s">
        <v>8</v>
      </c>
      <c r="B18" s="1313">
        <v>1322</v>
      </c>
      <c r="C18" s="326"/>
      <c r="D18" s="326"/>
      <c r="E18" s="326"/>
      <c r="F18" s="326"/>
    </row>
    <row r="19" spans="1:6">
      <c r="A19" s="1312" t="s">
        <v>9</v>
      </c>
      <c r="B19" s="1313">
        <v>1187</v>
      </c>
      <c r="C19" s="326"/>
      <c r="D19" s="326"/>
      <c r="E19" s="326"/>
      <c r="F19" s="326"/>
    </row>
    <row r="20" spans="1:6">
      <c r="A20" s="1312" t="s">
        <v>10</v>
      </c>
      <c r="B20" s="1313">
        <v>750</v>
      </c>
      <c r="C20" s="326"/>
      <c r="D20" s="326"/>
      <c r="E20" s="326"/>
      <c r="F20" s="326"/>
    </row>
    <row r="21" spans="1:6">
      <c r="A21" s="1312" t="s">
        <v>11</v>
      </c>
      <c r="B21" s="1313">
        <v>898</v>
      </c>
      <c r="C21" s="326"/>
      <c r="D21" s="326"/>
      <c r="E21" s="326"/>
      <c r="F21" s="326"/>
    </row>
    <row r="22" spans="1:6">
      <c r="A22" s="1312" t="s">
        <v>12</v>
      </c>
      <c r="B22" s="1313">
        <v>4513</v>
      </c>
      <c r="C22" s="326"/>
      <c r="D22" s="326"/>
      <c r="E22" s="326"/>
      <c r="F22" s="326"/>
    </row>
    <row r="23" spans="1:6">
      <c r="A23" s="1312" t="s">
        <v>13</v>
      </c>
      <c r="B23" s="1313">
        <v>32</v>
      </c>
      <c r="C23" s="326"/>
      <c r="D23" s="326"/>
      <c r="E23" s="326"/>
      <c r="F23" s="326"/>
    </row>
    <row r="24" spans="1:6">
      <c r="A24" s="1312" t="s">
        <v>14</v>
      </c>
      <c r="B24" s="1313">
        <v>3</v>
      </c>
      <c r="C24" s="326"/>
      <c r="D24" s="326"/>
      <c r="E24" s="326"/>
      <c r="F24" s="326"/>
    </row>
    <row r="25" spans="1:6">
      <c r="A25" s="1312" t="s">
        <v>15</v>
      </c>
      <c r="B25" s="1313">
        <v>257</v>
      </c>
      <c r="C25" s="326"/>
      <c r="D25" s="326"/>
      <c r="E25" s="326"/>
      <c r="F25" s="326"/>
    </row>
    <row r="26" spans="1:6">
      <c r="A26" s="1312" t="s">
        <v>16</v>
      </c>
      <c r="B26" s="1313">
        <v>313</v>
      </c>
      <c r="C26" s="326"/>
      <c r="D26" s="326"/>
      <c r="E26" s="326"/>
      <c r="F26" s="326"/>
    </row>
    <row r="27" spans="1:6">
      <c r="A27" s="1312" t="s">
        <v>17</v>
      </c>
      <c r="B27" s="1313">
        <v>3</v>
      </c>
      <c r="C27" s="326"/>
      <c r="D27" s="326"/>
      <c r="E27" s="326"/>
      <c r="F27" s="326"/>
    </row>
    <row r="28" spans="1:6" s="43" customFormat="1">
      <c r="A28" s="1314" t="s">
        <v>18</v>
      </c>
      <c r="B28" s="1315">
        <v>41245</v>
      </c>
      <c r="C28" s="332"/>
      <c r="D28" s="332"/>
      <c r="E28" s="332"/>
      <c r="F28" s="332"/>
    </row>
    <row r="29" spans="1:6">
      <c r="A29" s="1314" t="s">
        <v>684</v>
      </c>
      <c r="B29" s="1315">
        <v>464</v>
      </c>
      <c r="C29" s="332"/>
      <c r="D29" s="332"/>
      <c r="E29" s="332"/>
      <c r="F29" s="332"/>
    </row>
    <row r="30" spans="1:6">
      <c r="A30" s="1307" t="s">
        <v>685</v>
      </c>
      <c r="B30" s="1316">
        <v>64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8</v>
      </c>
      <c r="D36" s="1313">
        <v>1152820.3504752701</v>
      </c>
      <c r="E36" s="1313">
        <v>7</v>
      </c>
      <c r="F36" s="1313">
        <v>13380.7595286664</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283.9527528433</v>
      </c>
    </row>
    <row r="39" spans="1:6">
      <c r="A39" s="1312" t="s">
        <v>29</v>
      </c>
      <c r="B39" s="1312" t="s">
        <v>30</v>
      </c>
      <c r="C39" s="1313">
        <v>19357</v>
      </c>
      <c r="D39" s="1313">
        <v>219123788.15018001</v>
      </c>
      <c r="E39" s="1313">
        <v>25683</v>
      </c>
      <c r="F39" s="1313">
        <v>61460329.9252728</v>
      </c>
    </row>
    <row r="40" spans="1:6">
      <c r="A40" s="1312" t="s">
        <v>29</v>
      </c>
      <c r="B40" s="1312" t="s">
        <v>28</v>
      </c>
      <c r="C40" s="1313">
        <v>1</v>
      </c>
      <c r="D40" s="1313">
        <v>4972.7821029627003</v>
      </c>
      <c r="E40" s="1313">
        <v>1</v>
      </c>
      <c r="F40" s="1313">
        <v>1340.3264910712001</v>
      </c>
    </row>
    <row r="41" spans="1:6">
      <c r="A41" s="1312" t="s">
        <v>31</v>
      </c>
      <c r="B41" s="1312" t="s">
        <v>32</v>
      </c>
      <c r="C41" s="1313">
        <v>679</v>
      </c>
      <c r="D41" s="1313">
        <v>7488423.6882132599</v>
      </c>
      <c r="E41" s="1313">
        <v>991</v>
      </c>
      <c r="F41" s="1313">
        <v>4376182.0083793504</v>
      </c>
    </row>
    <row r="42" spans="1:6">
      <c r="A42" s="1312" t="s">
        <v>31</v>
      </c>
      <c r="B42" s="1312" t="s">
        <v>33</v>
      </c>
      <c r="C42" s="1313">
        <v>0</v>
      </c>
      <c r="D42" s="1313">
        <v>0</v>
      </c>
      <c r="E42" s="1313">
        <v>4</v>
      </c>
      <c r="F42" s="1313">
        <v>10150.0288597284</v>
      </c>
    </row>
    <row r="43" spans="1:6">
      <c r="A43" s="1312" t="s">
        <v>31</v>
      </c>
      <c r="B43" s="1312" t="s">
        <v>34</v>
      </c>
      <c r="C43" s="1313">
        <v>0</v>
      </c>
      <c r="D43" s="1313">
        <v>0</v>
      </c>
      <c r="E43" s="1313">
        <v>0</v>
      </c>
      <c r="F43" s="1313">
        <v>0</v>
      </c>
    </row>
    <row r="44" spans="1:6">
      <c r="A44" s="1312" t="s">
        <v>31</v>
      </c>
      <c r="B44" s="1312" t="s">
        <v>35</v>
      </c>
      <c r="C44" s="1313">
        <v>24</v>
      </c>
      <c r="D44" s="1313">
        <v>258554.722102214</v>
      </c>
      <c r="E44" s="1313">
        <v>38</v>
      </c>
      <c r="F44" s="1313">
        <v>139621.000360162</v>
      </c>
    </row>
    <row r="45" spans="1:6">
      <c r="A45" s="1312" t="s">
        <v>31</v>
      </c>
      <c r="B45" s="1312" t="s">
        <v>36</v>
      </c>
      <c r="C45" s="1313">
        <v>10</v>
      </c>
      <c r="D45" s="1313">
        <v>150161.655280006</v>
      </c>
      <c r="E45" s="1313">
        <v>13</v>
      </c>
      <c r="F45" s="1313">
        <v>131405.20975403499</v>
      </c>
    </row>
    <row r="46" spans="1:6">
      <c r="A46" s="1312" t="s">
        <v>31</v>
      </c>
      <c r="B46" s="1312" t="s">
        <v>37</v>
      </c>
      <c r="C46" s="1313">
        <v>0</v>
      </c>
      <c r="D46" s="1313">
        <v>0</v>
      </c>
      <c r="E46" s="1313">
        <v>0</v>
      </c>
      <c r="F46" s="1313">
        <v>0</v>
      </c>
    </row>
    <row r="47" spans="1:6">
      <c r="A47" s="1312" t="s">
        <v>31</v>
      </c>
      <c r="B47" s="1312" t="s">
        <v>38</v>
      </c>
      <c r="C47" s="1313">
        <v>9</v>
      </c>
      <c r="D47" s="1313">
        <v>177187.60131735099</v>
      </c>
      <c r="E47" s="1313">
        <v>15</v>
      </c>
      <c r="F47" s="1313">
        <v>73663.942167542395</v>
      </c>
    </row>
    <row r="48" spans="1:6">
      <c r="A48" s="1312" t="s">
        <v>31</v>
      </c>
      <c r="B48" s="1312" t="s">
        <v>28</v>
      </c>
      <c r="C48" s="1313">
        <v>2</v>
      </c>
      <c r="D48" s="1313">
        <v>29145.086436461399</v>
      </c>
      <c r="E48" s="1313">
        <v>2</v>
      </c>
      <c r="F48" s="1313">
        <v>6605.6991954774003</v>
      </c>
    </row>
    <row r="49" spans="1:6">
      <c r="A49" s="1312" t="s">
        <v>31</v>
      </c>
      <c r="B49" s="1312" t="s">
        <v>39</v>
      </c>
      <c r="C49" s="1313">
        <v>11</v>
      </c>
      <c r="D49" s="1313">
        <v>151909.408986008</v>
      </c>
      <c r="E49" s="1313">
        <v>21</v>
      </c>
      <c r="F49" s="1313">
        <v>158568.879602353</v>
      </c>
    </row>
    <row r="50" spans="1:6">
      <c r="A50" s="1312" t="s">
        <v>31</v>
      </c>
      <c r="B50" s="1312" t="s">
        <v>40</v>
      </c>
      <c r="C50" s="1313">
        <v>40</v>
      </c>
      <c r="D50" s="1313">
        <v>2958506.2952593602</v>
      </c>
      <c r="E50" s="1313">
        <v>68</v>
      </c>
      <c r="F50" s="1313">
        <v>2828897.52394283</v>
      </c>
    </row>
    <row r="51" spans="1:6">
      <c r="A51" s="1312" t="s">
        <v>41</v>
      </c>
      <c r="B51" s="1312" t="s">
        <v>42</v>
      </c>
      <c r="C51" s="1313">
        <v>46</v>
      </c>
      <c r="D51" s="1313">
        <v>963596.268770147</v>
      </c>
      <c r="E51" s="1313">
        <v>148</v>
      </c>
      <c r="F51" s="1313">
        <v>1756581.5524589701</v>
      </c>
    </row>
    <row r="52" spans="1:6">
      <c r="A52" s="1312" t="s">
        <v>41</v>
      </c>
      <c r="B52" s="1312" t="s">
        <v>28</v>
      </c>
      <c r="C52" s="1313">
        <v>0</v>
      </c>
      <c r="D52" s="1313">
        <v>0</v>
      </c>
      <c r="E52" s="1313">
        <v>0</v>
      </c>
      <c r="F52" s="1313">
        <v>0</v>
      </c>
    </row>
    <row r="53" spans="1:6">
      <c r="A53" s="1312" t="s">
        <v>43</v>
      </c>
      <c r="B53" s="1312" t="s">
        <v>44</v>
      </c>
      <c r="C53" s="1313">
        <v>6075</v>
      </c>
      <c r="D53" s="1313">
        <v>52324395.143370502</v>
      </c>
      <c r="E53" s="1313">
        <v>10148</v>
      </c>
      <c r="F53" s="1313">
        <v>19300110.329116002</v>
      </c>
    </row>
    <row r="54" spans="1:6">
      <c r="A54" s="1312" t="s">
        <v>45</v>
      </c>
      <c r="B54" s="1312" t="s">
        <v>46</v>
      </c>
      <c r="C54" s="1313">
        <v>0</v>
      </c>
      <c r="D54" s="1313">
        <v>0</v>
      </c>
      <c r="E54" s="1313">
        <v>1</v>
      </c>
      <c r="F54" s="1313">
        <v>2988003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243</v>
      </c>
      <c r="D57" s="1313">
        <v>9208919.2130962908</v>
      </c>
      <c r="E57" s="1313">
        <v>442</v>
      </c>
      <c r="F57" s="1313">
        <v>10898756.7426435</v>
      </c>
    </row>
    <row r="58" spans="1:6">
      <c r="A58" s="1312" t="s">
        <v>48</v>
      </c>
      <c r="B58" s="1312" t="s">
        <v>50</v>
      </c>
      <c r="C58" s="1313">
        <v>209</v>
      </c>
      <c r="D58" s="1313">
        <v>17425209.3298379</v>
      </c>
      <c r="E58" s="1313">
        <v>307</v>
      </c>
      <c r="F58" s="1313">
        <v>9345766.8980697207</v>
      </c>
    </row>
    <row r="59" spans="1:6">
      <c r="A59" s="1312" t="s">
        <v>48</v>
      </c>
      <c r="B59" s="1312" t="s">
        <v>51</v>
      </c>
      <c r="C59" s="1313">
        <v>819</v>
      </c>
      <c r="D59" s="1313">
        <v>15773420.6791991</v>
      </c>
      <c r="E59" s="1313">
        <v>1438</v>
      </c>
      <c r="F59" s="1313">
        <v>26300942.773954</v>
      </c>
    </row>
    <row r="60" spans="1:6">
      <c r="A60" s="1312" t="s">
        <v>48</v>
      </c>
      <c r="B60" s="1312" t="s">
        <v>52</v>
      </c>
      <c r="C60" s="1313">
        <v>437</v>
      </c>
      <c r="D60" s="1313">
        <v>22093333.102930401</v>
      </c>
      <c r="E60" s="1313">
        <v>569</v>
      </c>
      <c r="F60" s="1313">
        <v>17565964.606698502</v>
      </c>
    </row>
    <row r="61" spans="1:6">
      <c r="A61" s="1312" t="s">
        <v>48</v>
      </c>
      <c r="B61" s="1312" t="s">
        <v>53</v>
      </c>
      <c r="C61" s="1313">
        <v>2347</v>
      </c>
      <c r="D61" s="1313">
        <v>67608613.178372905</v>
      </c>
      <c r="E61" s="1313">
        <v>5563</v>
      </c>
      <c r="F61" s="1313">
        <v>29361969.237174898</v>
      </c>
    </row>
    <row r="62" spans="1:6">
      <c r="A62" s="1312" t="s">
        <v>48</v>
      </c>
      <c r="B62" s="1312" t="s">
        <v>54</v>
      </c>
      <c r="C62" s="1313">
        <v>33</v>
      </c>
      <c r="D62" s="1313">
        <v>2121747.5759091899</v>
      </c>
      <c r="E62" s="1313">
        <v>33</v>
      </c>
      <c r="F62" s="1313">
        <v>317506.575787701</v>
      </c>
    </row>
    <row r="63" spans="1:6">
      <c r="A63" s="1312" t="s">
        <v>48</v>
      </c>
      <c r="B63" s="1312" t="s">
        <v>28</v>
      </c>
      <c r="C63" s="1313">
        <v>0</v>
      </c>
      <c r="D63" s="1313">
        <v>0</v>
      </c>
      <c r="E63" s="1313">
        <v>0</v>
      </c>
      <c r="F63" s="1313">
        <v>0</v>
      </c>
    </row>
    <row r="64" spans="1:6">
      <c r="A64" s="1312" t="s">
        <v>55</v>
      </c>
      <c r="B64" s="1312" t="s">
        <v>56</v>
      </c>
      <c r="C64" s="1313">
        <v>3</v>
      </c>
      <c r="D64" s="1313">
        <v>134853.10029117399</v>
      </c>
      <c r="E64" s="1313">
        <v>3</v>
      </c>
      <c r="F64" s="1313">
        <v>18760.275962692998</v>
      </c>
    </row>
    <row r="65" spans="1:6">
      <c r="A65" s="1312" t="s">
        <v>55</v>
      </c>
      <c r="B65" s="1312" t="s">
        <v>28</v>
      </c>
      <c r="C65" s="1313">
        <v>2</v>
      </c>
      <c r="D65" s="1313">
        <v>48969.114434431802</v>
      </c>
      <c r="E65" s="1313">
        <v>0</v>
      </c>
      <c r="F65" s="1313">
        <v>0</v>
      </c>
    </row>
    <row r="66" spans="1:6">
      <c r="A66" s="1312" t="s">
        <v>55</v>
      </c>
      <c r="B66" s="1312" t="s">
        <v>57</v>
      </c>
      <c r="C66" s="1313">
        <v>0</v>
      </c>
      <c r="D66" s="1313">
        <v>0</v>
      </c>
      <c r="E66" s="1313">
        <v>35</v>
      </c>
      <c r="F66" s="1313">
        <v>1746023.8315052199</v>
      </c>
    </row>
    <row r="67" spans="1:6">
      <c r="A67" s="1314" t="s">
        <v>55</v>
      </c>
      <c r="B67" s="1314" t="s">
        <v>58</v>
      </c>
      <c r="C67" s="1313">
        <v>0</v>
      </c>
      <c r="D67" s="1313">
        <v>0</v>
      </c>
      <c r="E67" s="1313">
        <v>0</v>
      </c>
      <c r="F67" s="1313">
        <v>0</v>
      </c>
    </row>
    <row r="68" spans="1:6">
      <c r="A68" s="1307" t="s">
        <v>55</v>
      </c>
      <c r="B68" s="1307" t="s">
        <v>59</v>
      </c>
      <c r="C68" s="1316">
        <v>23</v>
      </c>
      <c r="D68" s="1316">
        <v>369483.63586930902</v>
      </c>
      <c r="E68" s="1316">
        <v>42</v>
      </c>
      <c r="F68" s="1316">
        <v>761475.36445849901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110670250</v>
      </c>
      <c r="E73" s="447"/>
      <c r="F73" s="326"/>
    </row>
    <row r="74" spans="1:6">
      <c r="A74" s="1312" t="s">
        <v>63</v>
      </c>
      <c r="B74" s="1312" t="s">
        <v>638</v>
      </c>
      <c r="C74" s="1326" t="s">
        <v>640</v>
      </c>
      <c r="D74" s="1327">
        <v>11836582.01553111</v>
      </c>
      <c r="E74" s="447"/>
      <c r="F74" s="326"/>
    </row>
    <row r="75" spans="1:6">
      <c r="A75" s="1312" t="s">
        <v>64</v>
      </c>
      <c r="B75" s="1312" t="s">
        <v>637</v>
      </c>
      <c r="C75" s="1326" t="s">
        <v>641</v>
      </c>
      <c r="D75" s="1327">
        <v>29535151</v>
      </c>
      <c r="E75" s="447"/>
      <c r="F75" s="326"/>
    </row>
    <row r="76" spans="1:6">
      <c r="A76" s="1312" t="s">
        <v>64</v>
      </c>
      <c r="B76" s="1312" t="s">
        <v>638</v>
      </c>
      <c r="C76" s="1326" t="s">
        <v>642</v>
      </c>
      <c r="D76" s="1327">
        <v>1198525.0155311089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425889.96893778199</v>
      </c>
      <c r="C83" s="447"/>
      <c r="D83" s="326"/>
      <c r="E83" s="326"/>
      <c r="F83" s="326"/>
    </row>
    <row r="84" spans="1:6">
      <c r="A84" s="1307" t="s">
        <v>330</v>
      </c>
      <c r="B84" s="1328">
        <v>180167.51129964099</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7771.4802399133259</v>
      </c>
      <c r="C90" s="326"/>
      <c r="D90" s="326"/>
      <c r="E90" s="326"/>
      <c r="F90" s="326"/>
    </row>
    <row r="91" spans="1:6">
      <c r="A91" s="1312" t="s">
        <v>67</v>
      </c>
      <c r="B91" s="1313">
        <v>3808.586371367503</v>
      </c>
      <c r="C91" s="326"/>
      <c r="D91" s="326"/>
      <c r="E91" s="326"/>
      <c r="F91" s="326"/>
    </row>
    <row r="92" spans="1:6">
      <c r="A92" s="1307" t="s">
        <v>68</v>
      </c>
      <c r="B92" s="1308">
        <v>1311.2686247294853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9792</v>
      </c>
      <c r="C97" s="326"/>
      <c r="D97" s="326"/>
      <c r="E97" s="326"/>
      <c r="F97" s="326"/>
    </row>
    <row r="98" spans="1:6">
      <c r="A98" s="1312" t="s">
        <v>71</v>
      </c>
      <c r="B98" s="1313">
        <v>3</v>
      </c>
      <c r="C98" s="326"/>
      <c r="D98" s="326"/>
      <c r="E98" s="326"/>
      <c r="F98" s="326"/>
    </row>
    <row r="99" spans="1:6">
      <c r="A99" s="1312" t="s">
        <v>72</v>
      </c>
      <c r="B99" s="1313">
        <v>58</v>
      </c>
      <c r="C99" s="326"/>
      <c r="D99" s="326"/>
      <c r="E99" s="326"/>
      <c r="F99" s="326"/>
    </row>
    <row r="100" spans="1:6">
      <c r="A100" s="1312" t="s">
        <v>73</v>
      </c>
      <c r="B100" s="1313">
        <v>1420</v>
      </c>
      <c r="C100" s="326"/>
      <c r="D100" s="326"/>
      <c r="E100" s="326"/>
      <c r="F100" s="326"/>
    </row>
    <row r="101" spans="1:6">
      <c r="A101" s="1312" t="s">
        <v>74</v>
      </c>
      <c r="B101" s="1313">
        <v>56</v>
      </c>
      <c r="C101" s="326"/>
      <c r="D101" s="326"/>
      <c r="E101" s="326"/>
      <c r="F101" s="326"/>
    </row>
    <row r="102" spans="1:6">
      <c r="A102" s="1312" t="s">
        <v>75</v>
      </c>
      <c r="B102" s="1313">
        <v>435</v>
      </c>
      <c r="C102" s="326"/>
      <c r="D102" s="326"/>
      <c r="E102" s="326"/>
      <c r="F102" s="326"/>
    </row>
    <row r="103" spans="1:6">
      <c r="A103" s="1312" t="s">
        <v>76</v>
      </c>
      <c r="B103" s="1313">
        <v>92</v>
      </c>
      <c r="C103" s="326"/>
      <c r="D103" s="326"/>
      <c r="E103" s="326"/>
      <c r="F103" s="326"/>
    </row>
    <row r="104" spans="1:6">
      <c r="A104" s="1312" t="s">
        <v>77</v>
      </c>
      <c r="B104" s="1313">
        <v>3205</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55</v>
      </c>
      <c r="C123" s="1313">
        <v>53</v>
      </c>
      <c r="D123" s="326"/>
      <c r="E123" s="326"/>
      <c r="F123" s="326"/>
    </row>
    <row r="124" spans="1:6" s="43" customFormat="1">
      <c r="A124" s="1314" t="s">
        <v>88</v>
      </c>
      <c r="B124" s="1335">
        <v>1</v>
      </c>
      <c r="C124" s="1335">
        <v>0</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129</v>
      </c>
      <c r="C129" s="326"/>
      <c r="D129" s="326"/>
      <c r="E129" s="326"/>
      <c r="F129" s="326"/>
    </row>
    <row r="130" spans="1:6">
      <c r="A130" s="1312" t="s">
        <v>290</v>
      </c>
      <c r="B130" s="1313">
        <v>2</v>
      </c>
      <c r="C130" s="326"/>
      <c r="D130" s="326"/>
      <c r="E130" s="326"/>
      <c r="F130" s="326"/>
    </row>
    <row r="131" spans="1:6">
      <c r="A131" s="1312" t="s">
        <v>291</v>
      </c>
      <c r="B131" s="1313">
        <v>4</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191819.72597074477</v>
      </c>
      <c r="C3" s="43" t="s">
        <v>169</v>
      </c>
      <c r="D3" s="43"/>
      <c r="E3" s="154"/>
      <c r="F3" s="43"/>
      <c r="G3" s="43"/>
      <c r="H3" s="43"/>
      <c r="I3" s="43"/>
      <c r="J3" s="43"/>
      <c r="K3" s="96"/>
    </row>
    <row r="4" spans="1:11">
      <c r="A4" s="354" t="s">
        <v>170</v>
      </c>
      <c r="B4" s="49">
        <f>IF(ISERROR('SEAP template'!B78+'SEAP template'!C78),0,'SEAP template'!B78+'SEAP template'!C78)</f>
        <v>12933.950236010314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10.127329411764707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0.20615128901195012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14.467613445378154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60.878571428571433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2988.0030000000002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2988.0030000000002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0.20615128901195012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615.98067002157404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61461.67025176387</v>
      </c>
      <c r="C5" s="17">
        <f>IF(ISERROR('Eigen informatie GS &amp; warmtenet'!B59),0,'Eigen informatie GS &amp; warmtenet'!B59)</f>
        <v>0</v>
      </c>
      <c r="D5" s="30">
        <f>(SUM(HH_hh_gas_kWh,HH_rest_gas_kWh)/1000)*0.903</f>
        <v>197873.27112185155</v>
      </c>
      <c r="E5" s="17">
        <f>B32*B41</f>
        <v>0</v>
      </c>
      <c r="F5" s="17">
        <f>B36*B45</f>
        <v>0</v>
      </c>
      <c r="G5" s="18"/>
      <c r="H5" s="17"/>
      <c r="I5" s="17"/>
      <c r="J5" s="17">
        <f>B35*B44+C35*C44</f>
        <v>0</v>
      </c>
      <c r="K5" s="17"/>
      <c r="L5" s="17"/>
      <c r="M5" s="17"/>
      <c r="N5" s="17">
        <f>B34*B43+C34*C43</f>
        <v>19359.648953339936</v>
      </c>
      <c r="O5" s="17">
        <f>B52*B53*B54</f>
        <v>361.08039592843977</v>
      </c>
      <c r="P5" s="17">
        <f>B60*B61*B62/1000-B60*B61*B62/1000/B63</f>
        <v>832.18278530711677</v>
      </c>
    </row>
    <row r="6" spans="1:16">
      <c r="A6" s="16" t="s">
        <v>603</v>
      </c>
      <c r="B6" s="780">
        <f>kWh_PV_kleiner_dan_10kW</f>
        <v>3808.586371367503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65270.256623131376</v>
      </c>
      <c r="C8" s="21">
        <f>C5</f>
        <v>0</v>
      </c>
      <c r="D8" s="21">
        <f>D5</f>
        <v>197873.27112185155</v>
      </c>
      <c r="E8" s="21">
        <f>E5</f>
        <v>0</v>
      </c>
      <c r="F8" s="21">
        <f>F5</f>
        <v>0</v>
      </c>
      <c r="G8" s="21"/>
      <c r="H8" s="21"/>
      <c r="I8" s="21"/>
      <c r="J8" s="21">
        <f>J5</f>
        <v>0</v>
      </c>
      <c r="K8" s="21"/>
      <c r="L8" s="21">
        <f>L5</f>
        <v>0</v>
      </c>
      <c r="M8" s="21">
        <f>M5</f>
        <v>0</v>
      </c>
      <c r="N8" s="21">
        <f>N5</f>
        <v>19359.648953339936</v>
      </c>
      <c r="O8" s="21">
        <f>O5</f>
        <v>361.08039592843977</v>
      </c>
      <c r="P8" s="21">
        <f>P5</f>
        <v>832.18278530711677</v>
      </c>
    </row>
    <row r="9" spans="1:16">
      <c r="B9" s="19"/>
      <c r="C9" s="19"/>
      <c r="D9" s="254"/>
      <c r="E9" s="19"/>
      <c r="F9" s="19"/>
      <c r="G9" s="19"/>
      <c r="H9" s="19"/>
      <c r="I9" s="19"/>
      <c r="J9" s="19"/>
      <c r="K9" s="19"/>
      <c r="L9" s="19"/>
      <c r="M9" s="19"/>
      <c r="N9" s="19"/>
      <c r="O9" s="19"/>
      <c r="P9" s="19"/>
    </row>
    <row r="10" spans="1:16">
      <c r="A10" s="24" t="s">
        <v>213</v>
      </c>
      <c r="B10" s="25">
        <f ca="1">'EF ele_warmte'!B12</f>
        <v>0.20615128901195012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13455.547536999307</v>
      </c>
      <c r="C12" s="23">
        <f ca="1">C10*C8</f>
        <v>0</v>
      </c>
      <c r="D12" s="23">
        <f>D8*D10</f>
        <v>39970.400766614017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16867</v>
      </c>
      <c r="C26" s="36"/>
      <c r="D26" s="225"/>
    </row>
    <row r="27" spans="1:5" s="15" customFormat="1">
      <c r="A27" s="227" t="s">
        <v>866</v>
      </c>
      <c r="B27" s="37">
        <f>SUM(HH_hh_gas_aantal,HH_rest_gas_aantal)</f>
        <v>19358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18390.099999999999</v>
      </c>
      <c r="C31" s="34" t="s">
        <v>110</v>
      </c>
      <c r="D31" s="171"/>
    </row>
    <row r="32" spans="1:5">
      <c r="A32" s="168" t="s">
        <v>72</v>
      </c>
      <c r="B32" s="33">
        <f>IF((B21*($B$26-($B$27-0.05*$B$27)-$B$60))&lt;0,0,(B21*($B$26-($B$27-0.05*$B$27)-$B$60)))</f>
        <v>0</v>
      </c>
      <c r="C32" s="34" t="s">
        <v>110</v>
      </c>
      <c r="D32" s="171"/>
    </row>
    <row r="33" spans="1:6">
      <c r="A33" s="168" t="s">
        <v>73</v>
      </c>
      <c r="B33" s="33">
        <f>IF((B22*($B$26-($B$27-0.05*$B$27)-$B$60))&lt;0,0,B22*($B$26-($B$27-0.05*$B$27)-$B$60))</f>
        <v>0</v>
      </c>
      <c r="C33" s="34" t="s">
        <v>110</v>
      </c>
      <c r="D33" s="171"/>
    </row>
    <row r="34" spans="1:6">
      <c r="A34" s="168" t="s">
        <v>74</v>
      </c>
      <c r="B34" s="33">
        <f>IF((B24*($B$26-($B$27-0.05*$B$27)-$B$60))&lt;0,0,B24*($B$26-($B$27-0.05*$B$27)-$B$60))</f>
        <v>0</v>
      </c>
      <c r="C34" s="33">
        <f>B26*C24</f>
        <v>3456.1484867169806</v>
      </c>
      <c r="D34" s="230"/>
    </row>
    <row r="35" spans="1:6">
      <c r="A35" s="168" t="s">
        <v>76</v>
      </c>
      <c r="B35" s="33">
        <f>IF((B19*($B$26-($B$27-0.05*$B$27)-$B$60))&lt;0,0,B19*($B$26-($B$27-0.05*$B$27)-$B$60))</f>
        <v>0</v>
      </c>
      <c r="C35" s="33">
        <f>B35/2</f>
        <v>0</v>
      </c>
      <c r="D35" s="230"/>
    </row>
    <row r="36" spans="1:6">
      <c r="A36" s="168" t="s">
        <v>77</v>
      </c>
      <c r="B36" s="33">
        <f>IF((B18*($B$26-($B$27-0.05*$B$27)-$B$60))&lt;0,0,B18*($B$26-($B$27-0.05*$B$27)-$B$60))</f>
        <v>0</v>
      </c>
      <c r="C36" s="34" t="s">
        <v>110</v>
      </c>
      <c r="D36" s="171"/>
    </row>
    <row r="37" spans="1:6">
      <c r="A37" s="168" t="s">
        <v>78</v>
      </c>
      <c r="B37" s="33">
        <f>B60</f>
        <v>79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93790.906834328314</v>
      </c>
      <c r="C5" s="17">
        <f>IF(ISERROR('Eigen informatie GS &amp; warmtenet'!B60),0,'Eigen informatie GS &amp; warmtenet'!B60)</f>
        <v>0</v>
      </c>
      <c r="D5" s="30">
        <f>SUM(D6:D12)</f>
        <v>121210.81250064925</v>
      </c>
      <c r="E5" s="17">
        <f>SUM(E6:E12)</f>
        <v>358.53267942581033</v>
      </c>
      <c r="F5" s="17">
        <f>SUM(F6:F12)</f>
        <v>17454.667898595748</v>
      </c>
      <c r="G5" s="18"/>
      <c r="H5" s="17"/>
      <c r="I5" s="17"/>
      <c r="J5" s="17">
        <f>SUM(J6:J12)</f>
        <v>0.11023190156334932</v>
      </c>
      <c r="K5" s="17"/>
      <c r="L5" s="17"/>
      <c r="M5" s="17"/>
      <c r="N5" s="17">
        <f>SUM(N6:N12)</f>
        <v>4291.4158950347319</v>
      </c>
      <c r="O5" s="17">
        <f>B38*B39*B40</f>
        <v>9.7945215316823084</v>
      </c>
      <c r="P5" s="17">
        <f>B46*B47*B48/1000-B46*B47*B48/1000/B49</f>
        <v>315.23482983897009</v>
      </c>
      <c r="R5" s="32"/>
    </row>
    <row r="6" spans="1:18">
      <c r="A6" s="32" t="s">
        <v>53</v>
      </c>
      <c r="B6" s="37">
        <f>B26</f>
        <v>29361.969237174897</v>
      </c>
      <c r="C6" s="33"/>
      <c r="D6" s="37">
        <f>IF(ISERROR(TER_kantoor_gas_kWh/1000),0,TER_kantoor_gas_kWh/1000)*0.903</f>
        <v>61050.577700070739</v>
      </c>
      <c r="E6" s="33">
        <f>$C$26*'E Balans VL '!I12/100/3.6*1000000</f>
        <v>6.9960918346384071</v>
      </c>
      <c r="F6" s="33">
        <f>$C$26*('E Balans VL '!L12+'E Balans VL '!N12)/100/3.6*1000000</f>
        <v>2550.3746624727396</v>
      </c>
      <c r="G6" s="34"/>
      <c r="H6" s="33"/>
      <c r="I6" s="33"/>
      <c r="J6" s="33">
        <f>$C$26*('E Balans VL '!D12+'E Balans VL '!E12)/100/3.6*1000000</f>
        <v>0</v>
      </c>
      <c r="K6" s="33"/>
      <c r="L6" s="33"/>
      <c r="M6" s="33"/>
      <c r="N6" s="33">
        <f>$C$26*'E Balans VL '!Y12/100/3.6*1000000</f>
        <v>39.246379630825061</v>
      </c>
      <c r="O6" s="33"/>
      <c r="P6" s="33"/>
      <c r="R6" s="32"/>
    </row>
    <row r="7" spans="1:18">
      <c r="A7" s="32" t="s">
        <v>52</v>
      </c>
      <c r="B7" s="37">
        <f t="shared" ref="B7:B12" si="0">B27</f>
        <v>17565.964606698501</v>
      </c>
      <c r="C7" s="33"/>
      <c r="D7" s="37">
        <f>IF(ISERROR(TER_horeca_gas_kWh/1000),0,TER_horeca_gas_kWh/1000)*0.903</f>
        <v>19950.279791946152</v>
      </c>
      <c r="E7" s="33">
        <f>$C$27*'E Balans VL '!I9/100/3.6*1000000</f>
        <v>0</v>
      </c>
      <c r="F7" s="33">
        <f>$C$27*('E Balans VL '!L9+'E Balans VL '!N9)/100/3.6*1000000</f>
        <v>1431.3082168973233</v>
      </c>
      <c r="G7" s="34"/>
      <c r="H7" s="33"/>
      <c r="I7" s="33"/>
      <c r="J7" s="33">
        <f>$C$27*('E Balans VL '!D9+'E Balans VL '!E9)/100/3.6*1000000</f>
        <v>0</v>
      </c>
      <c r="K7" s="33"/>
      <c r="L7" s="33"/>
      <c r="M7" s="33"/>
      <c r="N7" s="33">
        <f>$C$27*'E Balans VL '!Y9/100/3.6*1000000</f>
        <v>4.8654451643307413</v>
      </c>
      <c r="O7" s="33"/>
      <c r="P7" s="33"/>
      <c r="R7" s="32"/>
    </row>
    <row r="8" spans="1:18">
      <c r="A8" s="6" t="s">
        <v>51</v>
      </c>
      <c r="B8" s="37">
        <f t="shared" si="0"/>
        <v>26300.942773954001</v>
      </c>
      <c r="C8" s="33"/>
      <c r="D8" s="37">
        <f>IF(ISERROR(TER_handel_gas_kWh/1000),0,TER_handel_gas_kWh/1000)*0.903</f>
        <v>14243.398873316788</v>
      </c>
      <c r="E8" s="33">
        <f>$C$28*'E Balans VL '!I13/100/3.6*1000000</f>
        <v>210.23960011533515</v>
      </c>
      <c r="F8" s="33">
        <f>$C$28*('E Balans VL '!L13+'E Balans VL '!N13)/100/3.6*1000000</f>
        <v>2612.8351683928913</v>
      </c>
      <c r="G8" s="34"/>
      <c r="H8" s="33"/>
      <c r="I8" s="33"/>
      <c r="J8" s="33">
        <f>$C$28*('E Balans VL '!D13+'E Balans VL '!E13)/100/3.6*1000000</f>
        <v>0</v>
      </c>
      <c r="K8" s="33"/>
      <c r="L8" s="33"/>
      <c r="M8" s="33"/>
      <c r="N8" s="33">
        <f>$C$28*'E Balans VL '!Y13/100/3.6*1000000</f>
        <v>9.8249676623932967</v>
      </c>
      <c r="O8" s="33"/>
      <c r="P8" s="33"/>
      <c r="R8" s="32"/>
    </row>
    <row r="9" spans="1:18">
      <c r="A9" s="32" t="s">
        <v>50</v>
      </c>
      <c r="B9" s="37">
        <f t="shared" si="0"/>
        <v>9345.7668980697199</v>
      </c>
      <c r="C9" s="33"/>
      <c r="D9" s="37">
        <f>IF(ISERROR(TER_gezond_gas_kWh/1000),0,TER_gezond_gas_kWh/1000)*0.903</f>
        <v>15734.964024843624</v>
      </c>
      <c r="E9" s="33">
        <f>$C$29*'E Balans VL '!I10/100/3.6*1000000</f>
        <v>0</v>
      </c>
      <c r="F9" s="33">
        <f>$C$29*('E Balans VL '!L10+'E Balans VL '!N10)/100/3.6*1000000</f>
        <v>852.01894854142154</v>
      </c>
      <c r="G9" s="34"/>
      <c r="H9" s="33"/>
      <c r="I9" s="33"/>
      <c r="J9" s="33">
        <f>$C$29*('E Balans VL '!D10+'E Balans VL '!E10)/100/3.6*1000000</f>
        <v>0</v>
      </c>
      <c r="K9" s="33"/>
      <c r="L9" s="33"/>
      <c r="M9" s="33"/>
      <c r="N9" s="33">
        <f>$C$29*'E Balans VL '!Y10/100/3.6*1000000</f>
        <v>68.309180722017487</v>
      </c>
      <c r="O9" s="33"/>
      <c r="P9" s="33"/>
      <c r="R9" s="32"/>
    </row>
    <row r="10" spans="1:18">
      <c r="A10" s="32" t="s">
        <v>49</v>
      </c>
      <c r="B10" s="37">
        <f t="shared" si="0"/>
        <v>10898.7567426435</v>
      </c>
      <c r="C10" s="33"/>
      <c r="D10" s="37">
        <f>IF(ISERROR(TER_ander_gas_kWh/1000),0,TER_ander_gas_kWh/1000)*0.903</f>
        <v>8315.6540494259516</v>
      </c>
      <c r="E10" s="33">
        <f>$C$30*'E Balans VL '!I14/100/3.6*1000000</f>
        <v>141.29698747583674</v>
      </c>
      <c r="F10" s="33">
        <f>$C$30*('E Balans VL '!L14+'E Balans VL '!N14)/100/3.6*1000000</f>
        <v>9995.69014750526</v>
      </c>
      <c r="G10" s="34"/>
      <c r="H10" s="33"/>
      <c r="I10" s="33"/>
      <c r="J10" s="33">
        <f>$C$30*('E Balans VL '!D14+'E Balans VL '!E14)/100/3.6*1000000</f>
        <v>0.11023190156334932</v>
      </c>
      <c r="K10" s="33"/>
      <c r="L10" s="33"/>
      <c r="M10" s="33"/>
      <c r="N10" s="33">
        <f>$C$30*'E Balans VL '!Y14/100/3.6*1000000</f>
        <v>4168.1700152007625</v>
      </c>
      <c r="O10" s="33"/>
      <c r="P10" s="33"/>
      <c r="R10" s="32"/>
    </row>
    <row r="11" spans="1:18">
      <c r="A11" s="32" t="s">
        <v>54</v>
      </c>
      <c r="B11" s="37">
        <f t="shared" si="0"/>
        <v>317.50657578770102</v>
      </c>
      <c r="C11" s="33"/>
      <c r="D11" s="37">
        <f>IF(ISERROR(TER_onderwijs_gas_kWh/1000),0,TER_onderwijs_gas_kWh/1000)*0.903</f>
        <v>1915.9380610459984</v>
      </c>
      <c r="E11" s="33">
        <f>$C$31*'E Balans VL '!I11/100/3.6*1000000</f>
        <v>0</v>
      </c>
      <c r="F11" s="33">
        <f>$C$31*('E Balans VL '!L11+'E Balans VL '!N11)/100/3.6*1000000</f>
        <v>12.44075478611094</v>
      </c>
      <c r="G11" s="34"/>
      <c r="H11" s="33"/>
      <c r="I11" s="33"/>
      <c r="J11" s="33">
        <f>$C$31*('E Balans VL '!D11+'E Balans VL '!E11)/100/3.6*1000000</f>
        <v>0</v>
      </c>
      <c r="K11" s="33"/>
      <c r="L11" s="33"/>
      <c r="M11" s="33"/>
      <c r="N11" s="33">
        <f>$C$31*'E Balans VL '!Y11/100/3.6*1000000</f>
        <v>0.99990665440254956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42.615000000000002</v>
      </c>
      <c r="C13" s="243">
        <f ca="1">'lokale energieproductie'!O38+'lokale energieproductie'!O31</f>
        <v>60.878571428571433</v>
      </c>
      <c r="D13" s="304">
        <f ca="1">('lokale energieproductie'!P31+'lokale energieproductie'!P38)*(-1)</f>
        <v>-121.75714285714287</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93833.52183432832</v>
      </c>
      <c r="C16" s="21">
        <f t="shared" ca="1" si="1"/>
        <v>60.878571428571433</v>
      </c>
      <c r="D16" s="21">
        <f t="shared" ca="1" si="1"/>
        <v>121089.05535779211</v>
      </c>
      <c r="E16" s="21">
        <f t="shared" si="1"/>
        <v>358.53267942581033</v>
      </c>
      <c r="F16" s="21">
        <f t="shared" ca="1" si="1"/>
        <v>17454.667898595748</v>
      </c>
      <c r="G16" s="21">
        <f t="shared" si="1"/>
        <v>0</v>
      </c>
      <c r="H16" s="21">
        <f t="shared" si="1"/>
        <v>0</v>
      </c>
      <c r="I16" s="21">
        <f t="shared" si="1"/>
        <v>0</v>
      </c>
      <c r="J16" s="21">
        <f t="shared" si="1"/>
        <v>0.11023190156334932</v>
      </c>
      <c r="K16" s="21">
        <f t="shared" si="1"/>
        <v>0</v>
      </c>
      <c r="L16" s="21">
        <f t="shared" ca="1" si="1"/>
        <v>0</v>
      </c>
      <c r="M16" s="21">
        <f t="shared" si="1"/>
        <v>0</v>
      </c>
      <c r="N16" s="21">
        <f t="shared" ca="1" si="1"/>
        <v>4291.4158950347319</v>
      </c>
      <c r="O16" s="21">
        <f>O5</f>
        <v>9.7945215316823084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0.20615128901195012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19343.901478677748</v>
      </c>
      <c r="C20" s="23">
        <f t="shared" ref="C20:P20" ca="1" si="2">C16*C18</f>
        <v>14.467613445378154</v>
      </c>
      <c r="D20" s="23">
        <f t="shared" ca="1" si="2"/>
        <v>24459.989182274006</v>
      </c>
      <c r="E20" s="23">
        <f t="shared" si="2"/>
        <v>81.386918229658946</v>
      </c>
      <c r="F20" s="23">
        <f t="shared" ca="1" si="2"/>
        <v>4660.3963289250651</v>
      </c>
      <c r="G20" s="23">
        <f t="shared" si="2"/>
        <v>0</v>
      </c>
      <c r="H20" s="23">
        <f t="shared" si="2"/>
        <v>0</v>
      </c>
      <c r="I20" s="23">
        <f t="shared" si="2"/>
        <v>0</v>
      </c>
      <c r="J20" s="23">
        <f t="shared" si="2"/>
        <v>3.9022093153425655E-2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29361.969237174897</v>
      </c>
      <c r="C26" s="39">
        <f>IF(ISERROR(B26*3.6/1000000/'E Balans VL '!Z12*100),0,B26*3.6/1000000/'E Balans VL '!Z12*100)</f>
        <v>0.84239213430331028</v>
      </c>
      <c r="D26" s="233" t="s">
        <v>841</v>
      </c>
      <c r="F26" s="6"/>
    </row>
    <row r="27" spans="1:18" ht="30">
      <c r="A27" s="228" t="s">
        <v>52</v>
      </c>
      <c r="B27" s="33">
        <f>IF(ISERROR(TER_horeca_ele_kWh/1000),0,TER_horeca_ele_kWh/1000)</f>
        <v>17565.964606698501</v>
      </c>
      <c r="C27" s="39">
        <f>IF(ISERROR(B27*3.6/1000000/'E Balans VL '!Z9*100),0,B27*3.6/1000000/'E Balans VL '!Z9*100)</f>
        <v>1.2868887860628493</v>
      </c>
      <c r="D27" s="233" t="s">
        <v>841</v>
      </c>
      <c r="F27" s="6"/>
    </row>
    <row r="28" spans="1:18" ht="30">
      <c r="A28" s="168" t="s">
        <v>51</v>
      </c>
      <c r="B28" s="33">
        <f>IF(ISERROR(TER_handel_ele_kWh/1000),0,TER_handel_ele_kWh/1000)</f>
        <v>26300.942773954001</v>
      </c>
      <c r="C28" s="39">
        <f>IF(ISERROR(B28*3.6/1000000/'E Balans VL '!Z13*100),0,B28*3.6/1000000/'E Balans VL '!Z13*100)</f>
        <v>0.81272131528051772</v>
      </c>
      <c r="D28" s="233" t="s">
        <v>841</v>
      </c>
      <c r="F28" s="6"/>
    </row>
    <row r="29" spans="1:18" ht="30">
      <c r="A29" s="228" t="s">
        <v>50</v>
      </c>
      <c r="B29" s="33">
        <f>IF(ISERROR(TER_gezond_ele_kWh/1000),0,TER_gezond_ele_kWh/1000)</f>
        <v>9345.7668980697199</v>
      </c>
      <c r="C29" s="39">
        <f>IF(ISERROR(B29*3.6/1000000/'E Balans VL '!Z10*100),0,B29*3.6/1000000/'E Balans VL '!Z10*100)</f>
        <v>0.91594262271091753</v>
      </c>
      <c r="D29" s="233" t="s">
        <v>841</v>
      </c>
      <c r="F29" s="6"/>
    </row>
    <row r="30" spans="1:18" ht="30">
      <c r="A30" s="228" t="s">
        <v>49</v>
      </c>
      <c r="B30" s="33">
        <f>IF(ISERROR(TER_ander_ele_kWh/1000),0,TER_ander_ele_kWh/1000)</f>
        <v>10898.7567426435</v>
      </c>
      <c r="C30" s="39">
        <f>IF(ISERROR(B30*3.6/1000000/'E Balans VL '!Z14*100),0,B30*3.6/1000000/'E Balans VL '!Z14*100)</f>
        <v>0.45146171288743742</v>
      </c>
      <c r="D30" s="233" t="s">
        <v>841</v>
      </c>
      <c r="F30" s="6"/>
    </row>
    <row r="31" spans="1:18" ht="30">
      <c r="A31" s="228" t="s">
        <v>54</v>
      </c>
      <c r="B31" s="33">
        <f>IF(ISERROR(TER_onderwijs_ele_kWh/1000),0,TER_onderwijs_ele_kWh/1000)</f>
        <v>317.50657578770102</v>
      </c>
      <c r="C31" s="39">
        <f>IF(ISERROR(B31*3.6/1000000/'E Balans VL '!Z11*100),0,B31*3.6/1000000/'E Balans VL '!Z11*100)</f>
        <v>9.7560117707762239E-2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7725.0942922614786</v>
      </c>
      <c r="C5" s="17">
        <f>IF(ISERROR('Eigen informatie GS &amp; warmtenet'!B61),0,'Eigen informatie GS &amp; warmtenet'!B61)</f>
        <v>0</v>
      </c>
      <c r="D5" s="30">
        <f>SUM(D6:D15)</f>
        <v>10126.141277207978</v>
      </c>
      <c r="E5" s="17">
        <f>SUM(E6:E15)</f>
        <v>25.613464774993538</v>
      </c>
      <c r="F5" s="17">
        <f>SUM(F6:F15)</f>
        <v>2918.2484767955061</v>
      </c>
      <c r="G5" s="18"/>
      <c r="H5" s="17"/>
      <c r="I5" s="17"/>
      <c r="J5" s="17">
        <f>SUM(J6:J15)</f>
        <v>4.8673447484227852</v>
      </c>
      <c r="K5" s="17"/>
      <c r="L5" s="17"/>
      <c r="M5" s="17"/>
      <c r="N5" s="17">
        <f>SUM(N6:N15)</f>
        <v>364.60366491581794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139.62100036016199</v>
      </c>
      <c r="C8" s="33"/>
      <c r="D8" s="37">
        <f>IF( ISERROR(IND_metaal_Gas_kWH/1000),0,IND_metaal_Gas_kWH/1000)*0.903</f>
        <v>233.47491405829925</v>
      </c>
      <c r="E8" s="33">
        <f>C30*'E Balans VL '!I18/100/3.6*1000000</f>
        <v>0.7610958479015002</v>
      </c>
      <c r="F8" s="33">
        <f>C30*'E Balans VL '!L18/100/3.6*1000000+C30*'E Balans VL '!N18/100/3.6*1000000</f>
        <v>8.9916030878236288</v>
      </c>
      <c r="G8" s="34"/>
      <c r="H8" s="33"/>
      <c r="I8" s="33"/>
      <c r="J8" s="40">
        <f>C30*'E Balans VL '!D18/100/3.6*1000000+C30*'E Balans VL '!E18/100/3.6*1000000</f>
        <v>0.11436663004232167</v>
      </c>
      <c r="K8" s="33"/>
      <c r="L8" s="33"/>
      <c r="M8" s="33"/>
      <c r="N8" s="33">
        <f>C30*'E Balans VL '!Y18/100/3.6*1000000</f>
        <v>3.016419451657439</v>
      </c>
      <c r="O8" s="33"/>
      <c r="P8" s="33"/>
      <c r="R8" s="32"/>
    </row>
    <row r="9" spans="1:18">
      <c r="A9" s="6" t="s">
        <v>32</v>
      </c>
      <c r="B9" s="37">
        <f t="shared" si="0"/>
        <v>4376.18200837935</v>
      </c>
      <c r="C9" s="33"/>
      <c r="D9" s="37">
        <f>IF( ISERROR(IND_andere_gas_kWh/1000),0,IND_andere_gas_kWh/1000)*0.903</f>
        <v>6762.0465904565735</v>
      </c>
      <c r="E9" s="33">
        <f>C31*'E Balans VL '!I19/100/3.6*1000000</f>
        <v>14.127060789276136</v>
      </c>
      <c r="F9" s="33">
        <f>C31*'E Balans VL '!L19/100/3.6*1000000+C31*'E Balans VL '!N19/100/3.6*1000000</f>
        <v>2829.6736399156325</v>
      </c>
      <c r="G9" s="34"/>
      <c r="H9" s="33"/>
      <c r="I9" s="33"/>
      <c r="J9" s="40">
        <f>C31*'E Balans VL '!D19/100/3.6*1000000+C31*'E Balans VL '!E19/100/3.6*1000000</f>
        <v>0</v>
      </c>
      <c r="K9" s="33"/>
      <c r="L9" s="33"/>
      <c r="M9" s="33"/>
      <c r="N9" s="33">
        <f>C31*'E Balans VL '!Y19/100/3.6*1000000</f>
        <v>176.8364600250726</v>
      </c>
      <c r="O9" s="33"/>
      <c r="P9" s="33"/>
      <c r="R9" s="32"/>
    </row>
    <row r="10" spans="1:18">
      <c r="A10" s="6" t="s">
        <v>40</v>
      </c>
      <c r="B10" s="37">
        <f t="shared" si="0"/>
        <v>2828.89752394283</v>
      </c>
      <c r="C10" s="33"/>
      <c r="D10" s="37">
        <f>IF( ISERROR(IND_voed_gas_kWh/1000),0,IND_voed_gas_kWh/1000)*0.903</f>
        <v>2671.5311846192026</v>
      </c>
      <c r="E10" s="33">
        <f>C32*'E Balans VL '!I20/100/3.6*1000000</f>
        <v>5.9300624981693888</v>
      </c>
      <c r="F10" s="33">
        <f>C32*'E Balans VL '!L20/100/3.6*1000000+C32*'E Balans VL '!N20/100/3.6*1000000</f>
        <v>55.116700088736813</v>
      </c>
      <c r="G10" s="34"/>
      <c r="H10" s="33"/>
      <c r="I10" s="33"/>
      <c r="J10" s="40">
        <f>C32*'E Balans VL '!D20/100/3.6*1000000+C32*'E Balans VL '!E20/100/3.6*1000000</f>
        <v>0</v>
      </c>
      <c r="K10" s="33"/>
      <c r="L10" s="33"/>
      <c r="M10" s="33"/>
      <c r="N10" s="33">
        <f>C32*'E Balans VL '!Y20/100/3.6*1000000</f>
        <v>112.52570064907692</v>
      </c>
      <c r="O10" s="33"/>
      <c r="P10" s="33"/>
      <c r="R10" s="32"/>
    </row>
    <row r="11" spans="1:18">
      <c r="A11" s="6" t="s">
        <v>39</v>
      </c>
      <c r="B11" s="37">
        <f t="shared" si="0"/>
        <v>158.56887960235301</v>
      </c>
      <c r="C11" s="33"/>
      <c r="D11" s="37">
        <f>IF( ISERROR(IND_textiel_gas_kWh/1000),0,IND_textiel_gas_kWh/1000)*0.903</f>
        <v>137.17419631436522</v>
      </c>
      <c r="E11" s="33">
        <f>C33*'E Balans VL '!I21/100/3.6*1000000</f>
        <v>0.13625347158650547</v>
      </c>
      <c r="F11" s="33">
        <f>C33*'E Balans VL '!L21/100/3.6*1000000+C33*'E Balans VL '!N21/100/3.6*1000000</f>
        <v>3.3245611366724184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131.40520975403498</v>
      </c>
      <c r="C12" s="33"/>
      <c r="D12" s="37">
        <f>IF( ISERROR(IND_min_gas_kWh/1000),0,IND_min_gas_kWh/1000)*0.903</f>
        <v>135.59597471784542</v>
      </c>
      <c r="E12" s="33">
        <f>C34*'E Balans VL '!I22/100/3.6*1000000</f>
        <v>2.1504539955780304</v>
      </c>
      <c r="F12" s="33">
        <f>C34*'E Balans VL '!L22/100/3.6*1000000+C34*'E Balans VL '!N22/100/3.6*1000000</f>
        <v>20.056945917145097</v>
      </c>
      <c r="G12" s="34"/>
      <c r="H12" s="33"/>
      <c r="I12" s="33"/>
      <c r="J12" s="40">
        <f>C34*'E Balans VL '!D22/100/3.6*1000000+C34*'E Balans VL '!E22/100/3.6*1000000</f>
        <v>4.7025411657148224</v>
      </c>
      <c r="K12" s="33"/>
      <c r="L12" s="33"/>
      <c r="M12" s="33"/>
      <c r="N12" s="33">
        <f>C34*'E Balans VL '!Y22/100/3.6*1000000</f>
        <v>72.012843871443891</v>
      </c>
      <c r="O12" s="33"/>
      <c r="P12" s="33"/>
      <c r="R12" s="32"/>
    </row>
    <row r="13" spans="1:18">
      <c r="A13" s="6" t="s">
        <v>38</v>
      </c>
      <c r="B13" s="37">
        <f t="shared" si="0"/>
        <v>73.663942167542388</v>
      </c>
      <c r="C13" s="33"/>
      <c r="D13" s="37">
        <f>IF( ISERROR(IND_papier_gas_kWh/1000),0,IND_papier_gas_kWh/1000)*0.903</f>
        <v>160.00040398956793</v>
      </c>
      <c r="E13" s="33">
        <f>C35*'E Balans VL '!I23/100/3.6*1000000</f>
        <v>0</v>
      </c>
      <c r="F13" s="33">
        <f>C35*'E Balans VL '!L23/100/3.6*1000000+C35*'E Balans VL '!N23/100/3.6*1000000</f>
        <v>9.867517291086295E-3</v>
      </c>
      <c r="G13" s="34"/>
      <c r="H13" s="33"/>
      <c r="I13" s="33"/>
      <c r="J13" s="40">
        <f>C35*'E Balans VL '!D23/100/3.6*1000000+C35*'E Balans VL '!E23/100/3.6*1000000</f>
        <v>1.4571191252099694E-2</v>
      </c>
      <c r="K13" s="33"/>
      <c r="L13" s="33"/>
      <c r="M13" s="33"/>
      <c r="N13" s="33">
        <f>C35*'E Balans VL '!Y23/100/3.6*1000000</f>
        <v>0</v>
      </c>
      <c r="O13" s="33"/>
      <c r="P13" s="33"/>
      <c r="R13" s="32"/>
    </row>
    <row r="14" spans="1:18">
      <c r="A14" s="6" t="s">
        <v>33</v>
      </c>
      <c r="B14" s="37">
        <f t="shared" si="0"/>
        <v>10.150028859728399</v>
      </c>
      <c r="C14" s="33"/>
      <c r="D14" s="37">
        <f>IF( ISERROR(IND_chemie_gas_kWh/1000),0,IND_chemie_gas_kWh/1000)*0.903</f>
        <v>0</v>
      </c>
      <c r="E14" s="33">
        <f>C36*'E Balans VL '!I24/100/3.6*1000000</f>
        <v>2.1196442219053857</v>
      </c>
      <c r="F14" s="33">
        <f>C36*'E Balans VL '!L24/100/3.6*1000000+C36*'E Balans VL '!N24/100/3.6*1000000</f>
        <v>6.7436400933347171E-2</v>
      </c>
      <c r="G14" s="34"/>
      <c r="H14" s="33"/>
      <c r="I14" s="33"/>
      <c r="J14" s="40">
        <f>C36*'E Balans VL '!D24/100/3.6*1000000+C36*'E Balans VL '!E24/100/3.6*1000000</f>
        <v>0</v>
      </c>
      <c r="K14" s="33"/>
      <c r="L14" s="33"/>
      <c r="M14" s="33"/>
      <c r="N14" s="33">
        <f>C36*'E Balans VL '!Y24/100/3.6*1000000</f>
        <v>3.5418859946964669E-3</v>
      </c>
      <c r="O14" s="33"/>
      <c r="P14" s="33"/>
      <c r="R14" s="32"/>
    </row>
    <row r="15" spans="1:18">
      <c r="A15" s="6" t="s">
        <v>265</v>
      </c>
      <c r="B15" s="37">
        <f t="shared" si="0"/>
        <v>6.6056991954774</v>
      </c>
      <c r="C15" s="33"/>
      <c r="D15" s="37">
        <f>IF( ISERROR(IND_rest_gas_kWh/1000),0,IND_rest_gas_kWh/1000)*0.903</f>
        <v>26.318013052124641</v>
      </c>
      <c r="E15" s="33">
        <f>C37*'E Balans VL '!I15/100/3.6*1000000</f>
        <v>0.38889395057659137</v>
      </c>
      <c r="F15" s="33">
        <f>C37*'E Balans VL '!L15/100/3.6*1000000+C37*'E Balans VL '!N15/100/3.6*1000000</f>
        <v>1.0077227312713546</v>
      </c>
      <c r="G15" s="34"/>
      <c r="H15" s="33"/>
      <c r="I15" s="33"/>
      <c r="J15" s="40">
        <f>C37*'E Balans VL '!D15/100/3.6*1000000+C37*'E Balans VL '!E15/100/3.6*1000000</f>
        <v>3.5865761413541079E-2</v>
      </c>
      <c r="K15" s="33"/>
      <c r="L15" s="33"/>
      <c r="M15" s="33"/>
      <c r="N15" s="33">
        <f>C37*'E Balans VL '!Y15/100/3.6*1000000</f>
        <v>0.20869903257240102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7725.0942922614786</v>
      </c>
      <c r="C18" s="21">
        <f>C5+C16</f>
        <v>0</v>
      </c>
      <c r="D18" s="21">
        <f>MAX((D5+D16),0)</f>
        <v>10126.141277207978</v>
      </c>
      <c r="E18" s="21">
        <f>MAX((E5+E16),0)</f>
        <v>25.613464774993538</v>
      </c>
      <c r="F18" s="21">
        <f>MAX((F5+F16),0)</f>
        <v>2918.2484767955061</v>
      </c>
      <c r="G18" s="21"/>
      <c r="H18" s="21"/>
      <c r="I18" s="21"/>
      <c r="J18" s="21">
        <f>MAX((J5+J16),0)</f>
        <v>4.8673447484227852</v>
      </c>
      <c r="K18" s="21"/>
      <c r="L18" s="21">
        <f>MAX((L5+L16),0)</f>
        <v>0</v>
      </c>
      <c r="M18" s="21"/>
      <c r="N18" s="21">
        <f>MAX((N5+N16),0)</f>
        <v>364.60366491581794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0.20615128901195012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1592.5381460885624</v>
      </c>
      <c r="C22" s="23">
        <f ca="1">C18*C20</f>
        <v>0</v>
      </c>
      <c r="D22" s="23">
        <f>D18*D20</f>
        <v>2045.4805379960117</v>
      </c>
      <c r="E22" s="23">
        <f>E18*E20</f>
        <v>5.8142565039235334</v>
      </c>
      <c r="F22" s="23">
        <f>F18*F20</f>
        <v>779.17234330440021</v>
      </c>
      <c r="G22" s="23"/>
      <c r="H22" s="23"/>
      <c r="I22" s="23"/>
      <c r="J22" s="23">
        <f>J18*J20</f>
        <v>1.723040040941666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139.62100036016199</v>
      </c>
      <c r="C30" s="39">
        <f>IF(ISERROR(B30*3.6/1000000/'E Balans VL '!Z18*100),0,B30*3.6/1000000/'E Balans VL '!Z18*100)</f>
        <v>8.4075937952289015E-3</v>
      </c>
      <c r="D30" s="233" t="s">
        <v>841</v>
      </c>
    </row>
    <row r="31" spans="1:18" ht="30">
      <c r="A31" s="6" t="s">
        <v>32</v>
      </c>
      <c r="B31" s="37">
        <f>IF( ISERROR(IND_ander_ele_kWh/1000),0,IND_ander_ele_kWh/1000)</f>
        <v>4376.18200837935</v>
      </c>
      <c r="C31" s="39">
        <f>IF(ISERROR(B31*3.6/1000000/'E Balans VL '!Z19*100),0,B31*3.6/1000000/'E Balans VL '!Z19*100)</f>
        <v>0.17829471476073841</v>
      </c>
      <c r="D31" s="233" t="s">
        <v>841</v>
      </c>
    </row>
    <row r="32" spans="1:18" ht="30">
      <c r="A32" s="168" t="s">
        <v>40</v>
      </c>
      <c r="B32" s="37">
        <f>IF( ISERROR(IND_voed_ele_kWh/1000),0,IND_voed_ele_kWh/1000)</f>
        <v>2828.89752394283</v>
      </c>
      <c r="C32" s="39">
        <f>IF(ISERROR(B32*3.6/1000000/'E Balans VL '!Z20*100),0,B32*3.6/1000000/'E Balans VL '!Z20*100)</f>
        <v>8.1794811751492599E-2</v>
      </c>
      <c r="D32" s="233" t="s">
        <v>841</v>
      </c>
    </row>
    <row r="33" spans="1:5" ht="30">
      <c r="A33" s="168" t="s">
        <v>39</v>
      </c>
      <c r="B33" s="37">
        <f>IF( ISERROR(IND_textiel_ele_kWh/1000),0,IND_textiel_ele_kWh/1000)</f>
        <v>158.56887960235301</v>
      </c>
      <c r="C33" s="39">
        <f>IF(ISERROR(B33*3.6/1000000/'E Balans VL '!Z21*100),0,B33*3.6/1000000/'E Balans VL '!Z21*100)</f>
        <v>2.6077219442393391E-2</v>
      </c>
      <c r="D33" s="233" t="s">
        <v>841</v>
      </c>
    </row>
    <row r="34" spans="1:5" ht="30">
      <c r="A34" s="168" t="s">
        <v>36</v>
      </c>
      <c r="B34" s="37">
        <f>IF( ISERROR(IND_min_ele_kWh/1000),0,IND_min_ele_kWh/1000)</f>
        <v>131.40520975403498</v>
      </c>
      <c r="C34" s="39">
        <f>IF(ISERROR(B34*3.6/1000000/'E Balans VL '!Z22*100),0,B34*3.6/1000000/'E Balans VL '!Z22*100)</f>
        <v>5.6108803515091281E-2</v>
      </c>
      <c r="D34" s="233" t="s">
        <v>841</v>
      </c>
    </row>
    <row r="35" spans="1:5" ht="30">
      <c r="A35" s="168" t="s">
        <v>38</v>
      </c>
      <c r="B35" s="37">
        <f>IF( ISERROR(IND_papier_ele_kWh/1000),0,IND_papier_ele_kWh/1000)</f>
        <v>73.663942167542388</v>
      </c>
      <c r="C35" s="39">
        <f>IF(ISERROR(B35*3.6/1000000/'E Balans VL '!Z22*100),0,B35*3.6/1000000/'E Balans VL '!Z22*100)</f>
        <v>3.1453818801874159E-2</v>
      </c>
      <c r="D35" s="233" t="s">
        <v>841</v>
      </c>
    </row>
    <row r="36" spans="1:5" ht="30">
      <c r="A36" s="168" t="s">
        <v>33</v>
      </c>
      <c r="B36" s="37">
        <f>IF( ISERROR(IND_chemie_ele_kWh/1000),0,IND_chemie_ele_kWh/1000)</f>
        <v>10.150028859728399</v>
      </c>
      <c r="C36" s="39">
        <f>IF(ISERROR(B36*3.6/1000000/'E Balans VL '!Z24*100),0,B36*3.6/1000000/'E Balans VL '!Z24*100)</f>
        <v>3.079900864953467E-4</v>
      </c>
      <c r="D36" s="233" t="s">
        <v>841</v>
      </c>
    </row>
    <row r="37" spans="1:5" ht="30">
      <c r="A37" s="168" t="s">
        <v>265</v>
      </c>
      <c r="B37" s="37">
        <f>IF( ISERROR(IND_rest_ele_kWh/1000),0,IND_rest_ele_kWh/1000)</f>
        <v>6.6056991954774</v>
      </c>
      <c r="C37" s="39">
        <f>IF(ISERROR(B37*3.6/1000000/'E Balans VL '!Z15*100),0,B37*3.6/1000000/'E Balans VL '!Z15*100)</f>
        <v>5.4237793693933082E-5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1756.58155245897</v>
      </c>
      <c r="C5" s="17">
        <f>'Eigen informatie GS &amp; warmtenet'!B62</f>
        <v>0</v>
      </c>
      <c r="D5" s="30">
        <f>IF(ISERROR(SUM(LB_lb_gas_kWh,LB_rest_gas_kWh)/1000),0,SUM(LB_lb_gas_kWh,LB_rest_gas_kWh)/1000)*0.903</f>
        <v>870.12743069944281</v>
      </c>
      <c r="E5" s="17">
        <f>B17*'E Balans VL '!I25/3.6*1000000/100</f>
        <v>50.311468342648347</v>
      </c>
      <c r="F5" s="17">
        <f>B17*('E Balans VL '!L25/3.6*1000000+'E Balans VL '!N25/3.6*1000000)/100</f>
        <v>5560.4298103726396</v>
      </c>
      <c r="G5" s="18"/>
      <c r="H5" s="17"/>
      <c r="I5" s="17"/>
      <c r="J5" s="17">
        <f>('E Balans VL '!D25+'E Balans VL '!E25)/3.6*1000000*landbouw!B17/100</f>
        <v>446.64352792783131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1756.58155245897</v>
      </c>
      <c r="C8" s="21">
        <f>C5+C6</f>
        <v>0</v>
      </c>
      <c r="D8" s="21">
        <f>MAX((D5+D6),0)</f>
        <v>870.12743069944281</v>
      </c>
      <c r="E8" s="21">
        <f>MAX((E5+E6),0)</f>
        <v>50.311468342648347</v>
      </c>
      <c r="F8" s="21">
        <f>MAX((F5+F6),0)</f>
        <v>5560.4298103726396</v>
      </c>
      <c r="G8" s="21"/>
      <c r="H8" s="21"/>
      <c r="I8" s="21"/>
      <c r="J8" s="21">
        <f>MAX((J5+J6),0)</f>
        <v>446.64352792783131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0.20615128901195012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362.12155129402913</v>
      </c>
      <c r="C12" s="23">
        <f ca="1">C8*C10</f>
        <v>0</v>
      </c>
      <c r="D12" s="23">
        <f>D8*D10</f>
        <v>175.76574100128747</v>
      </c>
      <c r="E12" s="23">
        <f>E8*E10</f>
        <v>11.420703313781175</v>
      </c>
      <c r="F12" s="23">
        <f>F8*F10</f>
        <v>1484.6347593694948</v>
      </c>
      <c r="G12" s="23"/>
      <c r="H12" s="23"/>
      <c r="I12" s="23"/>
      <c r="J12" s="23">
        <f>J8*J10</f>
        <v>158.11180888645228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0.2432466960851894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312.54121523643983</v>
      </c>
      <c r="C26" s="243">
        <f>B26*'GWP N2O_CH4'!B5</f>
        <v>6563.3655199652367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62.994299126825283</v>
      </c>
      <c r="C27" s="243">
        <f>B27*'GWP N2O_CH4'!B5</f>
        <v>1322.8802816633308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4.6847168011955791</v>
      </c>
      <c r="C28" s="243">
        <f>B28*'GWP N2O_CH4'!B4</f>
        <v>1452.2622083706294</v>
      </c>
      <c r="D28" s="50"/>
    </row>
    <row r="29" spans="1:4">
      <c r="A29" s="41" t="s">
        <v>272</v>
      </c>
      <c r="B29" s="243">
        <f>B34*'ha_N2O bodem landbouw'!B4</f>
        <v>21.822659936873119</v>
      </c>
      <c r="C29" s="243">
        <f>B29*'GWP N2O_CH4'!B4</f>
        <v>6765.0245804306669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4.9577177714527007E-3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1.0376445796910214E-3</v>
      </c>
      <c r="C5" s="434" t="s">
        <v>210</v>
      </c>
      <c r="D5" s="419">
        <f>SUM(D6:D11)</f>
        <v>1.8839993115674521E-3</v>
      </c>
      <c r="E5" s="419">
        <f>SUM(E6:E11)</f>
        <v>7.3698320893728542E-4</v>
      </c>
      <c r="F5" s="432" t="s">
        <v>210</v>
      </c>
      <c r="G5" s="419">
        <f>SUM(G6:G11)</f>
        <v>0.34487019512742012</v>
      </c>
      <c r="H5" s="419">
        <f>SUM(H6:H11)</f>
        <v>9.2125347659224699E-2</v>
      </c>
      <c r="I5" s="434" t="s">
        <v>210</v>
      </c>
      <c r="J5" s="434" t="s">
        <v>210</v>
      </c>
      <c r="K5" s="434" t="s">
        <v>210</v>
      </c>
      <c r="L5" s="434" t="s">
        <v>210</v>
      </c>
      <c r="M5" s="419">
        <f>SUM(M6:M11)</f>
        <v>2.633273675624553E-2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7.7604252596094473E-4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1.2938850467854241E-3</v>
      </c>
      <c r="E6" s="886">
        <f>vkm_GW_PW*SUMIFS(TableVerdeelsleutelVkm[LPG],TableVerdeelsleutelVkm[Voertuigtype],"Lichte voertuigen")*SUMIFS(TableECFTransport[EnergieConsumptieFactor (PJ per km)],TableECFTransport[Index],CONCATENATE($A6,"_LPG_LPG"))</f>
        <v>5.1297279592447118E-4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0.15416121127776838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6.3454387311666458E-2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1.3350075205742547E-2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2.8798200725077398E-6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0.11415788285570554</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8.4231993752220277E-7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6.5547525761335676E-3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2.5843063458001444E-4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5.9011426478202799E-4</v>
      </c>
      <c r="E8" s="422">
        <f>vkm_NGW_PW*SUMIFS(TableVerdeelsleutelVkm[LPG],TableVerdeelsleutelVkm[Voertuigtype],"Lichte voertuigen")*SUMIFS(TableECFTransport[EnergieConsumptieFactor (PJ per km)],TableECFTransport[Index],CONCATENATE($A8,"_LPG_LPG"))</f>
        <v>2.2401041301281423E-4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6.1665604755666251E-2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2.8670015080473097E-2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5.5732094420770477E-3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2.915990775546759E-7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1.4885496238279958E-2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1.0294714762830725E-7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8.5469953229236556E-4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288.23460546972819</v>
      </c>
      <c r="C14" s="21"/>
      <c r="D14" s="21">
        <f t="shared" ref="D14:M14" si="0">((D5)*10^9/3600)+D12</f>
        <v>523.33314210207004</v>
      </c>
      <c r="E14" s="21">
        <f t="shared" si="0"/>
        <v>204.71755803813485</v>
      </c>
      <c r="F14" s="21"/>
      <c r="G14" s="21">
        <f t="shared" si="0"/>
        <v>95797.276424283365</v>
      </c>
      <c r="H14" s="21">
        <f t="shared" si="0"/>
        <v>25590.374349784641</v>
      </c>
      <c r="I14" s="21"/>
      <c r="J14" s="21"/>
      <c r="K14" s="21"/>
      <c r="L14" s="21"/>
      <c r="M14" s="21">
        <f t="shared" si="0"/>
        <v>7314.6490989570921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0.20615128901195012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59.419935455435358</v>
      </c>
      <c r="C18" s="23"/>
      <c r="D18" s="23">
        <f t="shared" ref="D18:M18" si="1">D14*D16</f>
        <v>105.71329470461815</v>
      </c>
      <c r="E18" s="23">
        <f t="shared" si="1"/>
        <v>46.470885674656614</v>
      </c>
      <c r="F18" s="23"/>
      <c r="G18" s="23">
        <f t="shared" si="1"/>
        <v>25577.87280528366</v>
      </c>
      <c r="H18" s="23">
        <f t="shared" si="1"/>
        <v>6372.0032130963755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2.368525442323883E-3</v>
      </c>
      <c r="C50" s="315">
        <f t="shared" ref="C50:P50" si="2">SUM(C51:C52)</f>
        <v>0</v>
      </c>
      <c r="D50" s="315">
        <f t="shared" si="2"/>
        <v>0</v>
      </c>
      <c r="E50" s="315">
        <f t="shared" si="2"/>
        <v>0</v>
      </c>
      <c r="F50" s="315">
        <f t="shared" si="2"/>
        <v>0</v>
      </c>
      <c r="G50" s="315">
        <f t="shared" si="2"/>
        <v>5.1459512252780429E-3</v>
      </c>
      <c r="H50" s="315">
        <f t="shared" si="2"/>
        <v>0</v>
      </c>
      <c r="I50" s="315">
        <f t="shared" si="2"/>
        <v>0</v>
      </c>
      <c r="J50" s="315">
        <f t="shared" si="2"/>
        <v>0</v>
      </c>
      <c r="K50" s="315">
        <f t="shared" si="2"/>
        <v>0</v>
      </c>
      <c r="L50" s="315">
        <f t="shared" si="2"/>
        <v>0</v>
      </c>
      <c r="M50" s="315">
        <f t="shared" si="2"/>
        <v>2.9546912502125168E-4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8.2199723931438792E-5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5.1459512252780429E-3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2.9546912502125168E-4</v>
      </c>
      <c r="N51" s="317"/>
      <c r="O51" s="317"/>
      <c r="P51" s="320"/>
    </row>
    <row r="52" spans="1:18">
      <c r="A52" s="4" t="s">
        <v>324</v>
      </c>
      <c r="B52" s="887">
        <f>vkm_tram*SUMIFS(TableECFTransport[EnergieConsumptieFactor (PJ per km)],TableECFTransport[Index],"Tram_gemiddeld_Electric_Electric")</f>
        <v>2.2863257183924441E-3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657.92373397885638</v>
      </c>
      <c r="C54" s="21">
        <f t="shared" ref="C54:P54" si="3">(C50)*10^9/3600</f>
        <v>0</v>
      </c>
      <c r="D54" s="21">
        <f t="shared" si="3"/>
        <v>0</v>
      </c>
      <c r="E54" s="21">
        <f t="shared" si="3"/>
        <v>0</v>
      </c>
      <c r="F54" s="21">
        <f t="shared" si="3"/>
        <v>0</v>
      </c>
      <c r="G54" s="21">
        <f t="shared" si="3"/>
        <v>1429.4308959105676</v>
      </c>
      <c r="H54" s="21">
        <f t="shared" si="3"/>
        <v>0</v>
      </c>
      <c r="I54" s="21">
        <f t="shared" si="3"/>
        <v>0</v>
      </c>
      <c r="J54" s="21">
        <f t="shared" si="3"/>
        <v>0</v>
      </c>
      <c r="K54" s="21">
        <f t="shared" si="3"/>
        <v>0</v>
      </c>
      <c r="L54" s="21">
        <f t="shared" si="3"/>
        <v>0</v>
      </c>
      <c r="M54" s="21">
        <f t="shared" si="3"/>
        <v>82.074756950347691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0.20615128901195012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135.63182583129662</v>
      </c>
      <c r="C58" s="23">
        <f t="shared" ref="C58:P58" ca="1" si="4">C54*C56</f>
        <v>0</v>
      </c>
      <c r="D58" s="23">
        <f t="shared" si="4"/>
        <v>0</v>
      </c>
      <c r="E58" s="23">
        <f t="shared" si="4"/>
        <v>0</v>
      </c>
      <c r="F58" s="23">
        <f t="shared" si="4"/>
        <v>0</v>
      </c>
      <c r="G58" s="23">
        <f t="shared" si="4"/>
        <v>381.65804920812155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7771.4802399133259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5119.8549960969885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42.615000000000002</v>
      </c>
      <c r="C8" s="545">
        <f>B48</f>
        <v>50.135294117647064</v>
      </c>
      <c r="D8" s="546"/>
      <c r="E8" s="546">
        <f>E48</f>
        <v>0</v>
      </c>
      <c r="F8" s="547"/>
      <c r="G8" s="548"/>
      <c r="H8" s="546">
        <f>I48</f>
        <v>0</v>
      </c>
      <c r="I8" s="546">
        <f>G48+F48</f>
        <v>0</v>
      </c>
      <c r="J8" s="546">
        <f>H48+D48+C48</f>
        <v>0</v>
      </c>
      <c r="K8" s="546"/>
      <c r="L8" s="546"/>
      <c r="M8" s="546"/>
      <c r="N8" s="549"/>
      <c r="O8" s="550">
        <f>C8*$C$12+D8*$D$12+E8*$E$12+F8*$F$12+G8*$G$12+H8*$H$12+I8*$I$12+J8*$J$12</f>
        <v>10.127329411764707</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12933.950236010314</v>
      </c>
      <c r="C10" s="560">
        <f t="shared" ref="C10:L10" si="0">SUM(C8:C9)</f>
        <v>50.135294117647064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10.127329411764707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60.878571428571433</v>
      </c>
      <c r="C17" s="576">
        <f>B49</f>
        <v>71.621848739495803</v>
      </c>
      <c r="D17" s="577"/>
      <c r="E17" s="577">
        <f>E49</f>
        <v>0</v>
      </c>
      <c r="F17" s="578"/>
      <c r="G17" s="579"/>
      <c r="H17" s="576">
        <f>I49</f>
        <v>0</v>
      </c>
      <c r="I17" s="577">
        <f>G49+F49</f>
        <v>0</v>
      </c>
      <c r="J17" s="577">
        <f>H49+D49+C49</f>
        <v>0</v>
      </c>
      <c r="K17" s="577"/>
      <c r="L17" s="577"/>
      <c r="M17" s="577"/>
      <c r="N17" s="962"/>
      <c r="O17" s="580">
        <f>C17*$C$22+E17*$E$22+H17*$H$22+I17*$I$22+J17*$J$22+D17*$D$22+F17*$F$22+G17*$G$22+K17*$K$22+L17*$L$22</f>
        <v>14.467613445378154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60.878571428571433</v>
      </c>
      <c r="C20" s="559">
        <f>SUM(C17:C19)</f>
        <v>71.621848739495803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14.467613445378154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31043</v>
      </c>
      <c r="C28" s="787">
        <v>8300</v>
      </c>
      <c r="D28" s="637" t="s">
        <v>874</v>
      </c>
      <c r="E28" s="636"/>
      <c r="F28" s="636" t="s">
        <v>875</v>
      </c>
      <c r="G28" s="636" t="s">
        <v>876</v>
      </c>
      <c r="H28" s="636" t="s">
        <v>877</v>
      </c>
      <c r="I28" s="636" t="s">
        <v>878</v>
      </c>
      <c r="J28" s="786">
        <v>43091</v>
      </c>
      <c r="K28" s="786">
        <v>43091</v>
      </c>
      <c r="L28" s="636" t="s">
        <v>879</v>
      </c>
      <c r="M28" s="636">
        <v>9.4700000000000006</v>
      </c>
      <c r="N28" s="636">
        <v>42.615000000000002</v>
      </c>
      <c r="O28" s="636">
        <v>60.878571428571433</v>
      </c>
      <c r="P28" s="636">
        <v>121.75714285714287</v>
      </c>
      <c r="Q28" s="636">
        <v>0</v>
      </c>
      <c r="R28" s="636">
        <v>0</v>
      </c>
      <c r="S28" s="636">
        <v>0</v>
      </c>
      <c r="T28" s="636">
        <v>0</v>
      </c>
      <c r="U28" s="636">
        <v>0</v>
      </c>
      <c r="V28" s="636">
        <v>0</v>
      </c>
      <c r="W28" s="636">
        <v>0</v>
      </c>
      <c r="X28" s="636">
        <v>1100</v>
      </c>
      <c r="Y28" s="636" t="s">
        <v>160</v>
      </c>
      <c r="Z28" s="638" t="s">
        <v>155</v>
      </c>
    </row>
    <row r="29" spans="1:26" s="570" customFormat="1">
      <c r="A29" s="592" t="s">
        <v>275</v>
      </c>
      <c r="B29" s="593"/>
      <c r="C29" s="593"/>
      <c r="D29" s="593"/>
      <c r="E29" s="593"/>
      <c r="F29" s="593"/>
      <c r="G29" s="593"/>
      <c r="H29" s="593"/>
      <c r="I29" s="593"/>
      <c r="J29" s="593"/>
      <c r="K29" s="593"/>
      <c r="L29" s="594"/>
      <c r="M29" s="594">
        <f>SUM(M28:M28)</f>
        <v>9.4700000000000006</v>
      </c>
      <c r="N29" s="594">
        <f>SUM(N28:N28)</f>
        <v>42.615000000000002</v>
      </c>
      <c r="O29" s="594">
        <f>SUM(O28:O28)</f>
        <v>60.878571428571433</v>
      </c>
      <c r="P29" s="594">
        <f>SUM(P28:P28)</f>
        <v>121.75714285714287</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9.4700000000000006</v>
      </c>
      <c r="N31" s="594">
        <f ca="1">SUMIF($Z$28:AD28,"tertiair",N28:N28)</f>
        <v>42.615000000000002</v>
      </c>
      <c r="O31" s="594">
        <f ca="1">SUMIF($Z$28:AE28,"tertiair",O28:O28)</f>
        <v>60.878571428571433</v>
      </c>
      <c r="P31" s="594">
        <f ca="1">SUMIF($Z$28:AF28,"tertiair",P28:P28)</f>
        <v>121.75714285714287</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50.135294117647064</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71.621848739495803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2021-06-29T14:16:44Z</dcterms:modified>
</cp:coreProperties>
</file>