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4"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3" i="18" l="1"/>
  <c r="V43" i="18"/>
  <c r="U43" i="18"/>
  <c r="T43" i="18"/>
  <c r="S43" i="18"/>
  <c r="R43" i="18"/>
  <c r="Q43" i="18"/>
  <c r="P43" i="18"/>
  <c r="O43" i="18"/>
  <c r="N43" i="18"/>
  <c r="M43" i="18"/>
  <c r="W42" i="18"/>
  <c r="V42" i="18"/>
  <c r="U42" i="18"/>
  <c r="T42" i="18"/>
  <c r="S42" i="18"/>
  <c r="R42" i="18"/>
  <c r="Q42" i="18"/>
  <c r="P42" i="18"/>
  <c r="O42" i="18"/>
  <c r="N42" i="18"/>
  <c r="M42" i="18"/>
  <c r="W41" i="18"/>
  <c r="V41" i="18"/>
  <c r="U41" i="18"/>
  <c r="T41" i="18"/>
  <c r="S41" i="18"/>
  <c r="R41" i="18"/>
  <c r="Q41" i="18"/>
  <c r="P41" i="18"/>
  <c r="O41" i="18"/>
  <c r="N41" i="18"/>
  <c r="M41" i="18"/>
  <c r="W40" i="18"/>
  <c r="H9" i="18" s="1"/>
  <c r="M77" i="14" s="1"/>
  <c r="M9" i="59" s="1"/>
  <c r="V40" i="18"/>
  <c r="U40" i="18"/>
  <c r="T40" i="18"/>
  <c r="S40" i="18"/>
  <c r="E9" i="18" s="1"/>
  <c r="F77" i="14" s="1"/>
  <c r="F9" i="59" s="1"/>
  <c r="R40" i="18"/>
  <c r="Q40" i="18"/>
  <c r="P40" i="18"/>
  <c r="O40" i="18"/>
  <c r="N40" i="18"/>
  <c r="B9" i="18" s="1"/>
  <c r="M40" i="18"/>
  <c r="W36" i="18"/>
  <c r="V36" i="18"/>
  <c r="U36" i="18"/>
  <c r="T36" i="18"/>
  <c r="L6" i="17" s="1"/>
  <c r="L5" i="17" s="1"/>
  <c r="S36" i="18"/>
  <c r="R36" i="18"/>
  <c r="Q36" i="18"/>
  <c r="P36" i="18"/>
  <c r="D6" i="17" s="1"/>
  <c r="O36" i="18"/>
  <c r="N36" i="18"/>
  <c r="M36" i="18"/>
  <c r="W35" i="18"/>
  <c r="V35" i="18"/>
  <c r="U35" i="18"/>
  <c r="T35" i="18"/>
  <c r="S35" i="18"/>
  <c r="R35" i="18"/>
  <c r="Q35" i="18"/>
  <c r="P35" i="18"/>
  <c r="O35" i="18"/>
  <c r="C13" i="15" s="1"/>
  <c r="N35" i="18"/>
  <c r="M35" i="18"/>
  <c r="W34" i="18"/>
  <c r="V34" i="18"/>
  <c r="U34" i="18"/>
  <c r="T34" i="18"/>
  <c r="S34" i="18"/>
  <c r="F16" i="16" s="1"/>
  <c r="R34" i="18"/>
  <c r="Q34" i="18"/>
  <c r="P34" i="18"/>
  <c r="O34" i="18"/>
  <c r="N34" i="18"/>
  <c r="W33" i="18"/>
  <c r="V33" i="18"/>
  <c r="U33" i="18"/>
  <c r="T33" i="18"/>
  <c r="S33" i="18"/>
  <c r="R33" i="18"/>
  <c r="Q33" i="18"/>
  <c r="P33" i="18"/>
  <c r="O33" i="18"/>
  <c r="B17" i="18" s="1"/>
  <c r="N33" i="18"/>
  <c r="B8" i="18" s="1"/>
  <c r="M33"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D16" i="16"/>
  <c r="B13" i="15"/>
  <c r="F6" i="17"/>
  <c r="F8" i="17" s="1"/>
  <c r="G24" i="14" s="1"/>
  <c r="G26" i="14" s="1"/>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9" i="18"/>
  <c r="B53" i="18" s="1"/>
  <c r="B16" i="16"/>
  <c r="K9" i="14"/>
  <c r="H77" i="14"/>
  <c r="J11" i="48"/>
  <c r="J29" i="48" s="1"/>
  <c r="M9" i="14"/>
  <c r="L11" i="48"/>
  <c r="O19" i="14"/>
  <c r="O22" i="14" s="1"/>
  <c r="N10" i="48"/>
  <c r="N28" i="48" s="1"/>
  <c r="J19" i="14"/>
  <c r="J22" i="14" s="1"/>
  <c r="I10" i="48"/>
  <c r="I28" i="48" s="1"/>
  <c r="J19" i="19"/>
  <c r="K39" i="14" s="1"/>
  <c r="N19" i="19"/>
  <c r="O39" i="14" s="1"/>
  <c r="C49" i="18"/>
  <c r="I52"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52" i="18"/>
  <c r="E8" i="18" s="1"/>
  <c r="F76" i="14" s="1"/>
  <c r="F7" i="48"/>
  <c r="F25" i="48" s="1"/>
  <c r="D52" i="18"/>
  <c r="O9" i="18"/>
  <c r="M29" i="48"/>
  <c r="F12" i="17"/>
  <c r="G54" i="14" s="1"/>
  <c r="G56" i="14" s="1"/>
  <c r="C53" i="18"/>
  <c r="C52" i="18"/>
  <c r="B10" i="18"/>
  <c r="E53" i="18"/>
  <c r="E17" i="18" s="1"/>
  <c r="F87" i="14" s="1"/>
  <c r="G53" i="18"/>
  <c r="D7" i="48"/>
  <c r="D25" i="48" s="1"/>
  <c r="H52" i="18"/>
  <c r="G52" i="18"/>
  <c r="D53" i="18"/>
  <c r="L28" i="48"/>
  <c r="H53" i="18"/>
  <c r="I53" i="18"/>
  <c r="H17" i="18" s="1"/>
  <c r="F53" i="18"/>
  <c r="F52" i="18"/>
  <c r="H10" i="18"/>
  <c r="M78" i="14"/>
  <c r="B52"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7"/>
  <c r="C12" i="17" s="1"/>
  <c r="D54" i="14" s="1"/>
  <c r="D56" i="14" s="1"/>
  <c r="C18" i="15"/>
  <c r="C20" i="15" s="1"/>
  <c r="D40" i="14" s="1"/>
  <c r="C17" i="19"/>
  <c r="C19" i="19" s="1"/>
  <c r="D39" i="14" s="1"/>
  <c r="C20" i="16"/>
  <c r="C22" i="16" s="1"/>
  <c r="D43" i="14" s="1"/>
  <c r="C17" i="49"/>
  <c r="C10" i="13"/>
  <c r="C12" i="13" s="1"/>
  <c r="D41" i="14" s="1"/>
  <c r="D46" i="14" s="1"/>
  <c r="D61" i="14" s="1"/>
  <c r="D63" i="14" s="1"/>
  <c r="C22" i="59"/>
  <c r="C29" i="20"/>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<sst xmlns="http://schemas.openxmlformats.org/spreadsheetml/2006/main" count="2472" uniqueCount="895">
  <si>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</si>
  <si>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</si>
  <si>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</si>
  <si>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</si>
  <si>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</si>
  <si>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</si>
  <si>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</si>
  <si>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</si>
  <si>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</si>
  <si>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</si>
  <si>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</si>
  <si>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</si>
  <si>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</si>
  <si>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</si>
  <si>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</si>
  <si>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</si>
  <si>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</si>
  <si>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</si>
  <si>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</si>
  <si>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</si>
  <si>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</si>
  <si>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</si>
  <si>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</si>
  <si>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</si>
  <si>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</si>
  <si>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</si>
  <si>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</si>
  <si>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</si>
  <si>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</si>
  <si>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</si>
  <si>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</si>
  <si>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</si>
  <si>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</si>
  <si>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</si>
  <si>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</si>
  <si>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</si>
  <si>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</si>
  <si>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</si>
  <si>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</si>
  <si>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</si>
  <si>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</si>
  <si>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</si>
  <si>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</si>
  <si>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</si>
  <si>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</si>
  <si>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</si>
  <si>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</si>
  <si>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</si>
  <si>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</si>
  <si>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</si>
  <si>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</si>
  <si>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</si>
  <si>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</si>
  <si>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</si>
  <si>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</si>
  <si>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</si>
  <si>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</si>
  <si>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</si>
  <si>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</si>
  <si>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</si>
  <si>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</si>
  <si>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</si>
  <si>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</si>
  <si>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</si>
  <si>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</si>
  <si>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</si>
  <si>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</si>
  <si>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</si>
  <si>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</si>
  <si>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</si>
  <si>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</si>
  <si>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</si>
  <si>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</si>
  <si>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</si>
  <si>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</si>
  <si>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</si>
  <si>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</si>
  <si>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</si>
  <si>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</si>
  <si>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</si>
  <si>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</si>
  <si>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</si>
  <si>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</si>
  <si>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</si>
  <si>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</si>
  <si>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</si>
  <si>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</si>
  <si>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</si>
  <si>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</si>
  <si>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</si>
  <si>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</si>
  <si>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</si>
  <si>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</si>
  <si>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</si>
  <si>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</si>
  <si>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</si>
  <si>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</si>
  <si>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</si>
  <si>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</si>
  <si>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</si>
  <si>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</si>
  <si>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</si>
  <si>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</si>
  <si>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</si>
  <si>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</si>
  <si>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</si>
  <si>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</si>
  <si>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</si>
  <si>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</si>
  <si>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</si>
  <si>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</si>
  <si>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</si>
  <si>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</si>
  <si>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</si>
  <si>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</si>
  <si>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</si>
  <si>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</si>
  <si>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</si>
  <si>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</si>
  <si>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</si>
  <si>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</si>
  <si>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</si>
  <si>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</si>
  <si>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</si>
  <si>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</si>
  <si>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</si>
  <si>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</si>
  <si>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</si>
  <si>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</si>
  <si>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</si>
  <si>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</si>
  <si>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</si>
  <si>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</si>
  <si>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</si>
  <si>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</si>
  <si>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</si>
  <si>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</si>
  <si>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</si>
  <si>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</si>
  <si>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</si>
  <si>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</si>
  <si>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</si>
  <si>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</si>
  <si>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</si>
  <si>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</si>
  <si>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</si>
  <si>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</si>
  <si>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</si>
  <si>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</si>
  <si>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</si>
  <si>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</si>
  <si>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</si>
  <si>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</si>
  <si>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</si>
  <si>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</si>
  <si>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</si>
  <si>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</si>
  <si>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</si>
  <si>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</si>
  <si>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</si>
  <si>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</si>
  <si>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</si>
  <si>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</si>
  <si>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</si>
  <si>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</si>
  <si>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</si>
  <si>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</si>
  <si>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</si>
  <si>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</si>
  <si>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</si>
  <si>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</si>
  <si>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</si>
  <si>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</si>
  <si>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</si>
  <si>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</si>
  <si>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</si>
  <si>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</si>
  <si>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</si>
  <si>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</si>
  <si>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</si>
  <si>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</si>
  <si>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</si>
  <si>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</si>
  <si>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</si>
  <si>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</si>
  <si>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</si>
  <si>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</si>
  <si>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</si>
  <si>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</si>
  <si>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</si>
  <si>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</si>
  <si>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</si>
  <si>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</si>
  <si>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</si>
  <si>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</si>
  <si>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</si>
  <si>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</si>
  <si>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</si>
  <si>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</si>
  <si>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</si>
  <si>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</si>
  <si>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</si>
  <si>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</si>
  <si>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</si>
  <si>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</si>
  <si>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</si>
  <si>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</si>
  <si>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</si>
  <si>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</si>
  <si>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</si>
  <si>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</si>
  <si>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</si>
  <si>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</si>
  <si>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</si>
  <si>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</si>
  <si>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</si>
  <si>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</si>
  <si>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</si>
  <si>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</si>
  <si>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</si>
  <si>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</si>
  <si>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</si>
  <si>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</si>
  <si>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</si>
  <si>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</si>
  <si>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</si>
  <si>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</si>
  <si>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</si>
  <si>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</si>
  <si>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</si>
  <si>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</si>
  <si>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</si>
  <si>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</si>
  <si>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</si>
  <si>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</si>
  <si>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</si>
  <si>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</si>
  <si>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</si>
  <si>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</si>
  <si>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</si>
  <si>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</si>
  <si>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</si>
  <si>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</si>
  <si>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</si>
  <si>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</si>
  <si>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</si>
  <si>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</si>
  <si>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</si>
  <si>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</si>
  <si>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</si>
  <si>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</si>
  <si>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</si>
  <si>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</si>
  <si>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</si>
  <si>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</si>
  <si>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</si>
  <si>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</si>
  <si>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</si>
  <si>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</si>
  <si>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</si>
  <si>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</si>
  <si>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</si>
  <si>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</si>
  <si>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</si>
  <si>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</si>
  <si>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</si>
  <si>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</si>
  <si>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</si>
  <si>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</si>
  <si>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</si>
  <si>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</si>
  <si>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</si>
  <si>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</si>
  <si>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</si>
  <si>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</si>
  <si>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</si>
  <si>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</si>
  <si>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</si>
  <si>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</si>
  <si>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</si>
  <si>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</si>
  <si>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</si>
  <si>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</si>
  <si>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</si>
  <si>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</si>
  <si>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</si>
  <si>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</si>
  <si>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</si>
  <si>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</si>
  <si>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</si>
  <si>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</si>
  <si>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</si>
  <si>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</si>
  <si>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</si>
  <si>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</si>
  <si>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</si>
  <si>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</si>
  <si>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</si>
  <si>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</si>
  <si>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</si>
  <si>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</si>
  <si>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</si>
  <si>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</si>
  <si>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</si>
  <si>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</si>
  <si>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</si>
  <si>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</si>
  <si>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</si>
  <si>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</si>
  <si>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</si>
  <si>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</si>
  <si>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</si>
  <si>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</si>
  <si>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</si>
  <si>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</si>
  <si>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</si>
  <si>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</si>
  <si>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</si>
  <si>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</si>
  <si>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</si>
  <si>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</si>
  <si>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</si>
  <si>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</si>
  <si>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</si>
  <si>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</si>
  <si>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</si>
  <si>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</si>
  <si>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</si>
  <si>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</si>
  <si>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</si>
  <si>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</si>
  <si>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</si>
  <si>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</si>
  <si>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</si>
  <si>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</si>
  <si>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</si>
  <si>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</si>
  <si>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</si>
  <si>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</si>
  <si>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</si>
  <si>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</si>
  <si>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</si>
  <si>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</si>
  <si>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</si>
  <si>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</si>
  <si>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</si>
  <si>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</si>
  <si>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</si>
  <si>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</si>
  <si>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</si>
  <si>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</si>
  <si>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</si>
  <si>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</si>
  <si>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</si>
  <si>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</si>
  <si>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</si>
  <si>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</si>
  <si>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</si>
  <si>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</si>
  <si>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</si>
  <si>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</si>
  <si>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</si>
  <si>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</si>
  <si>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</si>
  <si>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</si>
  <si>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</si>
  <si>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</si>
  <si>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</si>
  <si>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</si>
  <si>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</si>
  <si>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</si>
  <si>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</si>
  <si>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</si>
  <si>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</si>
  <si>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</si>
  <si>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</si>
  <si>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</si>
  <si>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</si>
  <si>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</si>
  <si>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</si>
  <si>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</si>
  <si>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</si>
  <si>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</si>
  <si>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</si>
  <si>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</si>
  <si>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</si>
  <si>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</si>
  <si>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</si>
  <si>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</si>
  <si>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</si>
  <si>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</si>
  <si>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</si>
  <si>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</si>
  <si>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</si>
  <si>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</si>
  <si>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</si>
  <si>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</si>
  <si>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</si>
  <si>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</si>
  <si>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</si>
  <si>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</si>
  <si>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</si>
  <si>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</si>
  <si>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</si>
  <si>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</si>
  <si>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</si>
  <si>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</si>
  <si>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</si>
  <si>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</si>
  <si>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</si>
  <si>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</si>
  <si>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</si>
  <si>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</si>
  <si>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</si>
  <si>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</si>
  <si>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</si>
  <si>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</si>
  <si>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</si>
  <si>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</si>
  <si>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</si>
  <si>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</si>
  <si>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</si>
  <si>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</si>
  <si>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</si>
  <si>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</si>
  <si>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</si>
  <si>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</si>
  <si>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</si>
  <si>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</si>
  <si>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</si>
  <si>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</si>
  <si>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</si>
  <si>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</si>
  <si>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</si>
  <si>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</si>
  <si>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</si>
  <si>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</si>
  <si>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</si>
  <si>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</si>
  <si>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</si>
  <si>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</si>
  <si>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</si>
  <si>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</si>
  <si>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</si>
  <si>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</si>
  <si>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</si>
  <si>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</si>
  <si>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</si>
  <si>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</si>
  <si>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</si>
  <si>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</si>
  <si>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</si>
  <si>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</si>
  <si>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</si>
  <si>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</si>
  <si>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</si>
  <si>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</si>
  <si>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</si>
  <si>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</si>
  <si>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</si>
  <si>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</si>
  <si>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</si>
  <si>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</si>
  <si>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</si>
  <si>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</si>
  <si>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</si>
  <si>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</si>
  <si>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</si>
  <si>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</si>
  <si>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</si>
  <si>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</si>
  <si>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</si>
  <si>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</si>
  <si>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</si>
  <si>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</si>
  <si>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</si>
  <si>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</si>
  <si>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</si>
  <si>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</si>
  <si>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</si>
  <si>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</si>
  <si>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</si>
  <si>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</si>
  <si>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</si>
  <si>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</si>
  <si>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</si>
  <si>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</si>
  <si>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</si>
  <si>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</si>
  <si>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</si>
  <si>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</si>
  <si>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</si>
  <si>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</si>
  <si>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</si>
  <si>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</si>
  <si>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</si>
  <si>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</si>
  <si>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</si>
  <si>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</si>
  <si>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</si>
  <si>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</si>
  <si>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</si>
  <si>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</si>
  <si>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</si>
  <si>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</si>
  <si>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</si>
  <si>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</si>
  <si>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</si>
  <si>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</si>
  <si>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</si>
  <si>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</si>
  <si>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</si>
  <si>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</si>
  <si>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</si>
  <si>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</si>
  <si>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</si>
  <si>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</si>
  <si>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</si>
  <si>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</si>
  <si>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</si>
  <si>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</si>
  <si>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</si>
  <si>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</si>
  <si>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</si>
  <si>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</si>
  <si>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</si>
  <si>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</si>
  <si>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</si>
  <si>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</si>
  <si>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</si>
  <si>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</si>
  <si>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</si>
  <si>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</si>
  <si>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</si>
  <si>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</si>
  <si>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</si>
  <si>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</si>
  <si>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</si>
  <si>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</si>
  <si>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</si>
  <si>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</si>
  <si>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</si>
  <si>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</si>
  <si>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</si>
  <si>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</si>
  <si>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</si>
  <si>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</si>
  <si>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</si>
  <si>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</si>
  <si>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</si>
  <si>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</si>
  <si>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</si>
  <si>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</si>
  <si>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</si>
  <si>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</si>
  <si>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</si>
  <si>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</si>
  <si>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</si>
  <si>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</si>
  <si>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</si>
  <si>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</si>
  <si>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</si>
  <si>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</si>
  <si>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</si>
  <si>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</si>
  <si>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</si>
  <si>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</si>
  <si>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</si>
  <si>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</si>
  <si>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</si>
  <si>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</si>
  <si>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</si>
  <si>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</si>
  <si>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</si>
  <si>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</si>
  <si>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</si>
  <si>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</si>
  <si>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</si>
  <si>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</si>
  <si>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</si>
  <si>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</si>
  <si>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</si>
  <si>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</si>
  <si>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</si>
  <si>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</si>
  <si>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</si>
  <si>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</si>
  <si>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</si>
  <si>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</si>
  <si>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</si>
  <si>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</si>
  <si>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</si>
  <si>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</si>
  <si>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</si>
  <si>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</si>
  <si>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</si>
  <si>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</si>
  <si>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</si>
  <si>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</si>
  <si>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</si>
  <si>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</si>
  <si>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</si>
  <si>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</si>
  <si>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</si>
  <si>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</si>
  <si>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</si>
  <si>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</si>
  <si>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</si>
  <si>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</si>
  <si>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</si>
  <si>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</si>
  <si>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</si>
  <si>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</si>
  <si>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</si>
  <si>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</si>
  <si>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</si>
  <si>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</si>
  <si>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</si>
  <si>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</si>
  <si>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</si>
  <si>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</si>
  <si>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</si>
  <si>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</si>
  <si>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</si>
  <si>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</si>
  <si>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</si>
  <si>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</si>
  <si>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</si>
  <si>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</si>
  <si>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</si>
  <si>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</si>
  <si>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</si>
  <si>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</si>
  <si>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</si>
  <si>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</si>
  <si>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</si>
  <si>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</si>
  <si>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</si>
  <si>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</si>
  <si>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</si>
  <si>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</si>
  <si>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</si>
  <si>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</si>
  <si>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</si>
  <si>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</si>
  <si>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</si>
  <si>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</si>
  <si>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</si>
  <si>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</si>
  <si>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</si>
  <si>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</si>
  <si>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</si>
  <si>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</si>
  <si>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</si>
  <si>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</si>
  <si>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</si>
  <si>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</si>
  <si>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</si>
  <si>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</si>
  <si>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</si>
  <si>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</si>
  <si>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</si>
  <si>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</si>
  <si>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</si>
  <si>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</si>
  <si>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</si>
  <si>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</si>
  <si>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</si>
  <si>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</si>
  <si>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</si>
  <si>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</si>
  <si>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</si>
  <si>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</si>
  <si>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</si>
  <si>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</si>
  <si>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</si>
  <si>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</si>
  <si>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</si>
  <si>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</si>
  <si>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</si>
  <si>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</si>
  <si>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</si>
  <si>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</si>
  <si>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</si>
  <si>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</si>
  <si>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</si>
  <si>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</si>
  <si>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</si>
  <si>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</si>
  <si>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</si>
  <si>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</si>
  <si>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</si>
  <si>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</si>
  <si>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</si>
  <si>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</si>
  <si>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</si>
  <si>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</si>
  <si>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</si>
  <si>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</si>
  <si>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</si>
  <si>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</si>
  <si>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</si>
  <si>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</si>
  <si>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</si>
  <si>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</si>
  <si>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</si>
  <si>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</si>
  <si>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</si>
  <si>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</si>
  <si>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</si>
  <si>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</si>
  <si>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</si>
  <si>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</si>
  <si>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</si>
  <si>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</si>
  <si>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</si>
  <si>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</si>
  <si>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</si>
  <si>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</si>
  <si>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</si>
  <si>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</si>
  <si>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</si>
  <si>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</si>
  <si>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</si>
  <si>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</si>
  <si>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</si>
  <si>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</si>
  <si>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</si>
  <si>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</si>
  <si>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</si>
  <si>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</si>
  <si>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</si>
  <si>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</si>
  <si>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</si>
  <si>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</si>
  <si>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</si>
  <si>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</si>
  <si>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</si>
  <si>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</si>
  <si>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</si>
  <si>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</si>
  <si>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</si>
  <si>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</si>
  <si>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</si>
  <si>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</si>
  <si>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</si>
  <si>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</si>
  <si>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</si>
  <si>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</si>
  <si>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</si>
  <si>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</si>
  <si>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</si>
  <si>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</si>
  <si>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</si>
  <si>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</si>
  <si>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</si>
  <si>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</si>
  <si>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</si>
  <si>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</si>
  <si>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</si>
  <si>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</si>
  <si>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</si>
  <si>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</si>
  <si>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</si>
  <si>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</si>
  <si>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</si>
  <si>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</si>
  <si>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</si>
  <si>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</si>
  <si>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</si>
  <si>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</si>
  <si>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</si>
  <si>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</si>
  <si>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</si>
  <si>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</si>
  <si>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</si>
  <si>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</si>
  <si>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</si>
  <si>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</si>
  <si>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</si>
  <si>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</si>
  <si>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</si>
  <si>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</si>
  <si>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</si>
  <si>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</si>
  <si>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</si>
  <si>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</si>
  <si>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</si>
  <si>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</si>
  <si>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</si>
  <si>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</si>
  <si>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</si>
  <si>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</si>
  <si>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</si>
  <si>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</si>
  <si>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</si>
  <si>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</si>
  <si>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</si>
  <si>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</si>
  <si>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</si>
  <si>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</si>
  <si>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</si>
  <si>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</si>
  <si>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</si>
  <si>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</si>
  <si>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</si>
  <si>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</si>
  <si>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</si>
  <si>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</si>
  <si>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</si>
  <si>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</si>
  <si>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</si>
  <si>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</si>
  <si>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</si>
  <si>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</si>
  <si>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</si>
  <si>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</si>
  <si>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</si>
  <si>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</si>
  <si>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</si>
  <si>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</si>
  <si>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</si>
  <si>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</si>
  <si>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</si>
  <si>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</si>
  <si>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</si>
  <si>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</si>
  <si>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</si>
  <si>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</si>
  <si>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</si>
  <si>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</si>
  <si>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</si>
  <si>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</si>
  <si>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</si>
  <si>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</si>
  <si>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</si>
  <si>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</si>
  <si>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</si>
  <si>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</si>
  <si>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</si>
  <si>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</si>
  <si>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</si>
  <si>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</si>
  <si>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</si>
  <si>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</si>
  <si>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</si>
  <si>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</si>
  <si>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</si>
  <si>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</si>
  <si>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</si>
  <si>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</si>
  <si>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</si>
  <si>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</si>
  <si>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</si>
  <si>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</si>
  <si>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</si>
  <si>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</si>
  <si>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</si>
  <si>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</si>
  <si>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</si>
  <si>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</si>
  <si>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</si>
  <si>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</si>
  <si>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</si>
  <si>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</si>
  <si>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</si>
  <si>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</si>
  <si>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</si>
  <si>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</si>
  <si>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</si>
  <si>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31012</t>
  </si>
  <si>
    <t>JABBEKE</t>
  </si>
  <si>
    <t>referentietaak LNE (2017); Jaarverslag De Lijn</t>
  </si>
  <si>
    <t>waterkracht</t>
  </si>
  <si>
    <t>Topa BVBA</t>
  </si>
  <si>
    <t>Eernegemweg 154 , 8490 Jabbeke</t>
  </si>
  <si>
    <t>WKK-0188 Topa</t>
  </si>
  <si>
    <t>interne verbrandingsmotor</t>
  </si>
  <si>
    <t>WKK interne verbrandinsgmotor (gas)</t>
  </si>
  <si>
    <t>Infrax West</t>
  </si>
  <si>
    <t>Patrick Deketelaere</t>
  </si>
  <si>
    <t>Gistelsteenweg 83 , 8490 Varsenare</t>
  </si>
  <si>
    <t>WKK-0313 Patrick Deketelaere</t>
  </si>
  <si>
    <t>Biolectric nv</t>
  </si>
  <si>
    <t>Jan de Malschelaan 4 B, 9140 Temse</t>
  </si>
  <si>
    <t>WKK-0504 Luc Callemeyn</t>
  </si>
  <si>
    <t>Gistelsteenweg 577 , 8490 Jabbeke</t>
  </si>
  <si>
    <t>Avondrust</t>
  </si>
  <si>
    <t>WKK-0958</t>
  </si>
  <si>
    <t>Interne verbrandingsmotor</t>
  </si>
  <si>
    <t>de Manlaan 50 / C</t>
  </si>
  <si>
    <t>W.V.E.M. (via INFRAX)</t>
  </si>
  <si>
    <t>TOPA 2</t>
  </si>
  <si>
    <t>WKK-0936</t>
  </si>
  <si>
    <t>Eernegemweg 154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</si>
</sst>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118713.54335133401</c:v>
                </c:pt>
                <c:pt idx="1">
                  <c:v>34737.948323012351</c:v>
                </c:pt>
                <c:pt idx="2">
                  <c:v>1025.393397</c:v>
                </c:pt>
                <c:pt idx="3">
                  <c:v>34918.746749089667</c:v>
                </c:pt>
                <c:pt idx="4">
                  <c:v>42046.456072163601</c:v>
                </c:pt>
                <c:pt idx="5">
                  <c:v>264411.06972387084</c:v>
                </c:pt>
                <c:pt idx="6">
                  <c:v>1328.6917812367874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118713.54335133401</c:v>
                </c:pt>
                <c:pt idx="1">
                  <c:v>34737.948323012351</c:v>
                </c:pt>
                <c:pt idx="2">
                  <c:v>1025.393397</c:v>
                </c:pt>
                <c:pt idx="3">
                  <c:v>34918.746749089667</c:v>
                </c:pt>
                <c:pt idx="4">
                  <c:v>42046.456072163601</c:v>
                </c:pt>
                <c:pt idx="5">
                  <c:v>264411.06972387084</c:v>
                </c:pt>
                <c:pt idx="6">
                  <c:v>1328.6917812367874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24157.268230459373</c:v>
                </c:pt>
                <c:pt idx="1">
                  <c:v>7034.5044534853687</c:v>
                </c:pt>
                <c:pt idx="2">
                  <c:v>207.16632197308431</c:v>
                </c:pt>
                <c:pt idx="3">
                  <c:v>8463.9671756083026</c:v>
                </c:pt>
                <c:pt idx="4">
                  <c:v>8564.0661084537387</c:v>
                </c:pt>
                <c:pt idx="5">
                  <c:v>65654.823543245671</c:v>
                </c:pt>
                <c:pt idx="6">
                  <c:v>334.49933994953324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24157.268230459373</c:v>
                </c:pt>
                <c:pt idx="1">
                  <c:v>7034.5044534853687</c:v>
                </c:pt>
                <c:pt idx="2">
                  <c:v>207.16632197308431</c:v>
                </c:pt>
                <c:pt idx="3">
                  <c:v>8463.9671756083026</c:v>
                </c:pt>
                <c:pt idx="4">
                  <c:v>8564.0661084537387</c:v>
                </c:pt>
                <c:pt idx="5">
                  <c:v>65654.823543245671</c:v>
                </c:pt>
                <c:pt idx="6">
                  <c:v>334.49933994953324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31012</v>
      </c>
      <c r="B6" s="386"/>
      <c r="C6" s="387"/>
    </row>
    <row r="7" spans="1:7" s="384" customFormat="1" ht="15.75" customHeight="1">
      <c r="A7" s="388" t="str">
        <f>txtMunicipality</f>
        <v>JABBEKE</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16323.058727</v>
      </c>
      <c r="D10" s="683">
        <f ca="1">tertiair!C16</f>
        <v>356.78571428571433</v>
      </c>
      <c r="E10" s="683">
        <f ca="1">tertiair!D16</f>
        <v>14856.604349792977</v>
      </c>
      <c r="F10" s="683">
        <f>tertiair!E16</f>
        <v>72.39639685628471</v>
      </c>
      <c r="G10" s="683">
        <f ca="1">tertiair!F16</f>
        <v>3152.7791527759045</v>
      </c>
      <c r="H10" s="683">
        <f>tertiair!G16</f>
        <v>0</v>
      </c>
      <c r="I10" s="683">
        <f>tertiair!H16</f>
        <v>0</v>
      </c>
      <c r="J10" s="683">
        <f>tertiair!I16</f>
        <v>0</v>
      </c>
      <c r="K10" s="683">
        <f>tertiair!J16</f>
        <v>2.1839458262896492E-2</v>
      </c>
      <c r="L10" s="683">
        <f>tertiair!K16</f>
        <v>0</v>
      </c>
      <c r="M10" s="683">
        <f ca="1">tertiair!L16</f>
        <v>0</v>
      </c>
      <c r="N10" s="683">
        <f>tertiair!M16</f>
        <v>0</v>
      </c>
      <c r="O10" s="683">
        <f ca="1">tertiair!N16</f>
        <v>844.07812492372204</v>
      </c>
      <c r="P10" s="683">
        <f>tertiair!O16</f>
        <v>0</v>
      </c>
      <c r="Q10" s="684">
        <f>tertiair!P16</f>
        <v>157.61741491948504</v>
      </c>
      <c r="R10" s="686">
        <f ca="1">SUM(C10:Q10)</f>
        <v>35763.341720012351</v>
      </c>
      <c r="S10" s="67"/>
    </row>
    <row r="11" spans="1:19" s="445" customFormat="1">
      <c r="A11" s="804" t="s">
        <v>220</v>
      </c>
      <c r="B11" s="809"/>
      <c r="C11" s="683">
        <f>huishoudens!B8</f>
        <v>25076.471519338687</v>
      </c>
      <c r="D11" s="683">
        <f>huishoudens!C8</f>
        <v>0</v>
      </c>
      <c r="E11" s="683">
        <f>huishoudens!D8</f>
        <v>54557.893275893053</v>
      </c>
      <c r="F11" s="683">
        <f>huishoudens!E8</f>
        <v>1318.6082641120731</v>
      </c>
      <c r="G11" s="683">
        <f>huishoudens!F8</f>
        <v>28886.230754925902</v>
      </c>
      <c r="H11" s="683">
        <f>huishoudens!G8</f>
        <v>0</v>
      </c>
      <c r="I11" s="683">
        <f>huishoudens!H8</f>
        <v>0</v>
      </c>
      <c r="J11" s="683">
        <f>huishoudens!I8</f>
        <v>0</v>
      </c>
      <c r="K11" s="683">
        <f>huishoudens!J8</f>
        <v>164.62578846794199</v>
      </c>
      <c r="L11" s="683">
        <f>huishoudens!K8</f>
        <v>0</v>
      </c>
      <c r="M11" s="683">
        <f>huishoudens!L8</f>
        <v>0</v>
      </c>
      <c r="N11" s="683">
        <f>huishoudens!M8</f>
        <v>0</v>
      </c>
      <c r="O11" s="683">
        <f>huishoudens!N8</f>
        <v>7576.6318360153673</v>
      </c>
      <c r="P11" s="683">
        <f>huishoudens!O8</f>
        <v>448.37455758146922</v>
      </c>
      <c r="Q11" s="684">
        <f>huishoudens!P8</f>
        <v>684.70735499952639</v>
      </c>
      <c r="R11" s="686">
        <f>SUM(C11:Q11)</f>
        <v>118713.54335133401</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20386.113771999997</v>
      </c>
      <c r="D13" s="683">
        <f>industrie!C18</f>
        <v>0</v>
      </c>
      <c r="E13" s="683">
        <f>industrie!D18</f>
        <v>19988.895960991918</v>
      </c>
      <c r="F13" s="683">
        <f>industrie!E18</f>
        <v>11.402663965349994</v>
      </c>
      <c r="G13" s="683">
        <f>industrie!F18</f>
        <v>1510.5655444631404</v>
      </c>
      <c r="H13" s="683">
        <f>industrie!G18</f>
        <v>0</v>
      </c>
      <c r="I13" s="683">
        <f>industrie!H18</f>
        <v>0</v>
      </c>
      <c r="J13" s="683">
        <f>industrie!I18</f>
        <v>0</v>
      </c>
      <c r="K13" s="683">
        <f>industrie!J18</f>
        <v>4.7231580044634276</v>
      </c>
      <c r="L13" s="683">
        <f>industrie!K18</f>
        <v>0</v>
      </c>
      <c r="M13" s="683">
        <f>industrie!L18</f>
        <v>0</v>
      </c>
      <c r="N13" s="683">
        <f>industrie!M18</f>
        <v>0</v>
      </c>
      <c r="O13" s="683">
        <f>industrie!N18</f>
        <v>144.75497273873054</v>
      </c>
      <c r="P13" s="683">
        <f>industrie!O18</f>
        <v>0</v>
      </c>
      <c r="Q13" s="684">
        <f>industrie!P18</f>
        <v>0</v>
      </c>
      <c r="R13" s="686">
        <f>SUM(C13:Q13)</f>
        <v>42046.456072163601</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61785.644018338688</v>
      </c>
      <c r="D16" s="719">
        <f t="shared" ref="D16:R16" ca="1" si="0">SUM(D9:D15)</f>
        <v>356.78571428571433</v>
      </c>
      <c r="E16" s="719">
        <f t="shared" ca="1" si="0"/>
        <v>89403.393586677936</v>
      </c>
      <c r="F16" s="719">
        <f t="shared" si="0"/>
        <v>1402.407324933708</v>
      </c>
      <c r="G16" s="719">
        <f t="shared" ca="1" si="0"/>
        <v>33549.575452164943</v>
      </c>
      <c r="H16" s="719">
        <f t="shared" si="0"/>
        <v>0</v>
      </c>
      <c r="I16" s="719">
        <f t="shared" si="0"/>
        <v>0</v>
      </c>
      <c r="J16" s="719">
        <f t="shared" si="0"/>
        <v>0</v>
      </c>
      <c r="K16" s="719">
        <f t="shared" si="0"/>
        <v>169.37078593066829</v>
      </c>
      <c r="L16" s="719">
        <f t="shared" si="0"/>
        <v>0</v>
      </c>
      <c r="M16" s="719">
        <f t="shared" ca="1" si="0"/>
        <v>0</v>
      </c>
      <c r="N16" s="719">
        <f t="shared" si="0"/>
        <v>0</v>
      </c>
      <c r="O16" s="719">
        <f t="shared" ca="1" si="0"/>
        <v>8565.4649336778202</v>
      </c>
      <c r="P16" s="719">
        <f t="shared" si="0"/>
        <v>448.37455758146922</v>
      </c>
      <c r="Q16" s="719">
        <f t="shared" si="0"/>
        <v>842.32476991901149</v>
      </c>
      <c r="R16" s="719">
        <f t="shared" ca="1" si="0"/>
        <v>196523.34114350996</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19.772919958266002</v>
      </c>
      <c r="D19" s="683">
        <f>transport!C54</f>
        <v>0</v>
      </c>
      <c r="E19" s="683">
        <f>transport!D54</f>
        <v>0</v>
      </c>
      <c r="F19" s="683">
        <f>transport!E54</f>
        <v>0</v>
      </c>
      <c r="G19" s="683">
        <f>transport!F54</f>
        <v>0</v>
      </c>
      <c r="H19" s="683">
        <f>transport!G54</f>
        <v>1237.8445671110978</v>
      </c>
      <c r="I19" s="683">
        <f>transport!H54</f>
        <v>0</v>
      </c>
      <c r="J19" s="683">
        <f>transport!I54</f>
        <v>0</v>
      </c>
      <c r="K19" s="683">
        <f>transport!J54</f>
        <v>0</v>
      </c>
      <c r="L19" s="683">
        <f>transport!K54</f>
        <v>0</v>
      </c>
      <c r="M19" s="683">
        <f>transport!L54</f>
        <v>0</v>
      </c>
      <c r="N19" s="683">
        <f>transport!M54</f>
        <v>71.074294167423716</v>
      </c>
      <c r="O19" s="683">
        <f>transport!N54</f>
        <v>0</v>
      </c>
      <c r="P19" s="683">
        <f>transport!O54</f>
        <v>0</v>
      </c>
      <c r="Q19" s="684">
        <f>transport!P54</f>
        <v>0</v>
      </c>
      <c r="R19" s="686">
        <f>SUM(C19:Q19)</f>
        <v>1328.6917812367874</v>
      </c>
      <c r="S19" s="67"/>
    </row>
    <row r="20" spans="1:19" s="445" customFormat="1">
      <c r="A20" s="804" t="s">
        <v>302</v>
      </c>
      <c r="B20" s="809"/>
      <c r="C20" s="683">
        <f>transport!B14</f>
        <v>605.3198148155027</v>
      </c>
      <c r="D20" s="683">
        <f>transport!C14</f>
        <v>0</v>
      </c>
      <c r="E20" s="683">
        <f>transport!D14</f>
        <v>945.26067511670749</v>
      </c>
      <c r="F20" s="683">
        <f>transport!E14</f>
        <v>421.65140064793087</v>
      </c>
      <c r="G20" s="683">
        <f>transport!F14</f>
        <v>0</v>
      </c>
      <c r="H20" s="683">
        <f>transport!G14</f>
        <v>199902.59066512925</v>
      </c>
      <c r="I20" s="683">
        <f>transport!H14</f>
        <v>47678.224705601431</v>
      </c>
      <c r="J20" s="683">
        <f>transport!I14</f>
        <v>0</v>
      </c>
      <c r="K20" s="683">
        <f>transport!J14</f>
        <v>0</v>
      </c>
      <c r="L20" s="683">
        <f>transport!K14</f>
        <v>0</v>
      </c>
      <c r="M20" s="683">
        <f>transport!L14</f>
        <v>0</v>
      </c>
      <c r="N20" s="683">
        <f>transport!M14</f>
        <v>14858.02246256</v>
      </c>
      <c r="O20" s="683">
        <f>transport!N14</f>
        <v>0</v>
      </c>
      <c r="P20" s="683">
        <f>transport!O14</f>
        <v>0</v>
      </c>
      <c r="Q20" s="684">
        <f>transport!P14</f>
        <v>0</v>
      </c>
      <c r="R20" s="686">
        <f>SUM(C20:Q20)</f>
        <v>264411.06972387084</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625.09273477376871</v>
      </c>
      <c r="D22" s="807">
        <f t="shared" ref="D22:R22" si="1">SUM(D18:D21)</f>
        <v>0</v>
      </c>
      <c r="E22" s="807">
        <f t="shared" si="1"/>
        <v>945.26067511670749</v>
      </c>
      <c r="F22" s="807">
        <f t="shared" si="1"/>
        <v>421.65140064793087</v>
      </c>
      <c r="G22" s="807">
        <f t="shared" si="1"/>
        <v>0</v>
      </c>
      <c r="H22" s="807">
        <f t="shared" si="1"/>
        <v>201140.43523224036</v>
      </c>
      <c r="I22" s="807">
        <f t="shared" si="1"/>
        <v>47678.224705601431</v>
      </c>
      <c r="J22" s="807">
        <f t="shared" si="1"/>
        <v>0</v>
      </c>
      <c r="K22" s="807">
        <f t="shared" si="1"/>
        <v>0</v>
      </c>
      <c r="L22" s="807">
        <f t="shared" si="1"/>
        <v>0</v>
      </c>
      <c r="M22" s="807">
        <f t="shared" si="1"/>
        <v>0</v>
      </c>
      <c r="N22" s="807">
        <f t="shared" si="1"/>
        <v>14929.096756727424</v>
      </c>
      <c r="O22" s="807">
        <f t="shared" si="1"/>
        <v>0</v>
      </c>
      <c r="P22" s="807">
        <f t="shared" si="1"/>
        <v>0</v>
      </c>
      <c r="Q22" s="807">
        <f t="shared" si="1"/>
        <v>0</v>
      </c>
      <c r="R22" s="807">
        <f t="shared" si="1"/>
        <v>265739.76150510763</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2531.7913239999998</v>
      </c>
      <c r="D24" s="683">
        <f>+landbouw!C8</f>
        <v>22562.357142857145</v>
      </c>
      <c r="E24" s="683">
        <f>+landbouw!D8</f>
        <v>1093.984962218914</v>
      </c>
      <c r="F24" s="683">
        <f>+landbouw!E8</f>
        <v>72.51478809469792</v>
      </c>
      <c r="G24" s="683">
        <f>+landbouw!F8</f>
        <v>8014.3435025293202</v>
      </c>
      <c r="H24" s="683">
        <f>+landbouw!G8</f>
        <v>0</v>
      </c>
      <c r="I24" s="683">
        <f>+landbouw!H8</f>
        <v>0</v>
      </c>
      <c r="J24" s="683">
        <f>+landbouw!I8</f>
        <v>0</v>
      </c>
      <c r="K24" s="683">
        <f>+landbouw!J8</f>
        <v>643.75502938958937</v>
      </c>
      <c r="L24" s="683">
        <f>+landbouw!K8</f>
        <v>0</v>
      </c>
      <c r="M24" s="683">
        <f>+landbouw!L8</f>
        <v>0</v>
      </c>
      <c r="N24" s="683">
        <f>+landbouw!M8</f>
        <v>0</v>
      </c>
      <c r="O24" s="683">
        <f>+landbouw!N8</f>
        <v>0</v>
      </c>
      <c r="P24" s="683">
        <f>+landbouw!O8</f>
        <v>0</v>
      </c>
      <c r="Q24" s="684">
        <f>+landbouw!P8</f>
        <v>0</v>
      </c>
      <c r="R24" s="686">
        <f>SUM(C24:Q24)</f>
        <v>34918.746749089667</v>
      </c>
      <c r="S24" s="67"/>
    </row>
    <row r="25" spans="1:19" s="445" customFormat="1" ht="15" thickBot="1">
      <c r="A25" s="826" t="s">
        <v>696</v>
      </c>
      <c r="B25" s="939"/>
      <c r="C25" s="940">
        <f>IF(Onbekend_ele_kWh="---",0,Onbekend_ele_kWh)/1000+IF(REST_rest_ele_kWh="---",0,REST_rest_ele_kWh)/1000</f>
        <v>621.35749099999998</v>
      </c>
      <c r="D25" s="940"/>
      <c r="E25" s="940">
        <f>IF(onbekend_gas_kWh="---",0,onbekend_gas_kWh)/1000+IF(REST_rest_gas_kWh="---",0,REST_rest_gas_kWh)/1000</f>
        <v>3721.1540178864198</v>
      </c>
      <c r="F25" s="940"/>
      <c r="G25" s="940"/>
      <c r="H25" s="940"/>
      <c r="I25" s="940"/>
      <c r="J25" s="940"/>
      <c r="K25" s="940"/>
      <c r="L25" s="940"/>
      <c r="M25" s="940"/>
      <c r="N25" s="940"/>
      <c r="O25" s="940"/>
      <c r="P25" s="940"/>
      <c r="Q25" s="941"/>
      <c r="R25" s="686">
        <f>SUM(C25:Q25)</f>
        <v>4342.5115088864195</v>
      </c>
      <c r="S25" s="67"/>
    </row>
    <row r="26" spans="1:19" s="445" customFormat="1" ht="15.75" thickBot="1">
      <c r="A26" s="691" t="s">
        <v>697</v>
      </c>
      <c r="B26" s="812"/>
      <c r="C26" s="807">
        <f>SUM(C24:C25)</f>
        <v>3153.1488149999996</v>
      </c>
      <c r="D26" s="807">
        <f t="shared" ref="D26:R26" si="2">SUM(D24:D25)</f>
        <v>22562.357142857145</v>
      </c>
      <c r="E26" s="807">
        <f t="shared" si="2"/>
        <v>4815.1389801053338</v>
      </c>
      <c r="F26" s="807">
        <f t="shared" si="2"/>
        <v>72.51478809469792</v>
      </c>
      <c r="G26" s="807">
        <f t="shared" si="2"/>
        <v>8014.3435025293202</v>
      </c>
      <c r="H26" s="807">
        <f t="shared" si="2"/>
        <v>0</v>
      </c>
      <c r="I26" s="807">
        <f t="shared" si="2"/>
        <v>0</v>
      </c>
      <c r="J26" s="807">
        <f t="shared" si="2"/>
        <v>0</v>
      </c>
      <c r="K26" s="807">
        <f t="shared" si="2"/>
        <v>643.75502938958937</v>
      </c>
      <c r="L26" s="807">
        <f t="shared" si="2"/>
        <v>0</v>
      </c>
      <c r="M26" s="807">
        <f t="shared" si="2"/>
        <v>0</v>
      </c>
      <c r="N26" s="807">
        <f t="shared" si="2"/>
        <v>0</v>
      </c>
      <c r="O26" s="807">
        <f t="shared" si="2"/>
        <v>0</v>
      </c>
      <c r="P26" s="807">
        <f t="shared" si="2"/>
        <v>0</v>
      </c>
      <c r="Q26" s="807">
        <f t="shared" si="2"/>
        <v>0</v>
      </c>
      <c r="R26" s="807">
        <f t="shared" si="2"/>
        <v>39261.258257976086</v>
      </c>
      <c r="S26" s="67"/>
    </row>
    <row r="27" spans="1:19" s="445" customFormat="1" ht="17.25" thickTop="1" thickBot="1">
      <c r="A27" s="692" t="s">
        <v>115</v>
      </c>
      <c r="B27" s="799"/>
      <c r="C27" s="693">
        <f ca="1">C22+C16+C26</f>
        <v>65563.885568112455</v>
      </c>
      <c r="D27" s="693">
        <f t="shared" ref="D27:R27" ca="1" si="3">D22+D16+D26</f>
        <v>22919.142857142859</v>
      </c>
      <c r="E27" s="693">
        <f t="shared" ca="1" si="3"/>
        <v>95163.79324189997</v>
      </c>
      <c r="F27" s="693">
        <f t="shared" si="3"/>
        <v>1896.5735136763367</v>
      </c>
      <c r="G27" s="693">
        <f t="shared" ca="1" si="3"/>
        <v>41563.918954694265</v>
      </c>
      <c r="H27" s="693">
        <f t="shared" si="3"/>
        <v>201140.43523224036</v>
      </c>
      <c r="I27" s="693">
        <f t="shared" si="3"/>
        <v>47678.224705601431</v>
      </c>
      <c r="J27" s="693">
        <f t="shared" si="3"/>
        <v>0</v>
      </c>
      <c r="K27" s="693">
        <f t="shared" si="3"/>
        <v>813.12581532025763</v>
      </c>
      <c r="L27" s="693">
        <f t="shared" si="3"/>
        <v>0</v>
      </c>
      <c r="M27" s="693">
        <f t="shared" ca="1" si="3"/>
        <v>0</v>
      </c>
      <c r="N27" s="693">
        <f t="shared" si="3"/>
        <v>14929.096756727424</v>
      </c>
      <c r="O27" s="693">
        <f t="shared" ca="1" si="3"/>
        <v>8565.4649336778202</v>
      </c>
      <c r="P27" s="693">
        <f t="shared" si="3"/>
        <v>448.37455758146922</v>
      </c>
      <c r="Q27" s="693">
        <f t="shared" si="3"/>
        <v>842.32476991901149</v>
      </c>
      <c r="R27" s="693">
        <f t="shared" ca="1" si="3"/>
        <v>501524.36090659368</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3297.8445635760668</v>
      </c>
      <c r="D40" s="683">
        <f ca="1">tertiair!C20</f>
        <v>84.558386178436379</v>
      </c>
      <c r="E40" s="683">
        <f ca="1">tertiair!D20</f>
        <v>3001.0340786581814</v>
      </c>
      <c r="F40" s="683">
        <f>tertiair!E20</f>
        <v>16.433982086376631</v>
      </c>
      <c r="G40" s="683">
        <f ca="1">tertiair!F20</f>
        <v>841.79203379116655</v>
      </c>
      <c r="H40" s="683">
        <f>tertiair!G20</f>
        <v>0</v>
      </c>
      <c r="I40" s="683">
        <f>tertiair!H20</f>
        <v>0</v>
      </c>
      <c r="J40" s="683">
        <f>tertiair!I20</f>
        <v>0</v>
      </c>
      <c r="K40" s="683">
        <f>tertiair!J20</f>
        <v>7.7311682250653579E-3</v>
      </c>
      <c r="L40" s="683">
        <f>tertiair!K20</f>
        <v>0</v>
      </c>
      <c r="M40" s="683">
        <f ca="1">tertiair!L20</f>
        <v>0</v>
      </c>
      <c r="N40" s="683">
        <f>tertiair!M20</f>
        <v>0</v>
      </c>
      <c r="O40" s="683">
        <f ca="1">tertiair!N20</f>
        <v>0</v>
      </c>
      <c r="P40" s="683">
        <f>tertiair!O20</f>
        <v>0</v>
      </c>
      <c r="Q40" s="766">
        <f>tertiair!P20</f>
        <v>0</v>
      </c>
      <c r="R40" s="845">
        <f t="shared" ca="1" si="4"/>
        <v>7241.6707754584531</v>
      </c>
    </row>
    <row r="41" spans="1:18">
      <c r="A41" s="817" t="s">
        <v>220</v>
      </c>
      <c r="B41" s="824"/>
      <c r="C41" s="683">
        <f ca="1">huishoudens!B12</f>
        <v>5066.3485720926647</v>
      </c>
      <c r="D41" s="683">
        <f ca="1">huishoudens!C12</f>
        <v>0</v>
      </c>
      <c r="E41" s="683">
        <f>huishoudens!D12</f>
        <v>11020.694441730397</v>
      </c>
      <c r="F41" s="683">
        <f>huishoudens!E12</f>
        <v>299.32407595344063</v>
      </c>
      <c r="G41" s="683">
        <f>huishoudens!F12</f>
        <v>7712.6236115652164</v>
      </c>
      <c r="H41" s="683">
        <f>huishoudens!G12</f>
        <v>0</v>
      </c>
      <c r="I41" s="683">
        <f>huishoudens!H12</f>
        <v>0</v>
      </c>
      <c r="J41" s="683">
        <f>huishoudens!I12</f>
        <v>0</v>
      </c>
      <c r="K41" s="683">
        <f>huishoudens!J12</f>
        <v>58.277529117651461</v>
      </c>
      <c r="L41" s="683">
        <f>huishoudens!K12</f>
        <v>0</v>
      </c>
      <c r="M41" s="683">
        <f>huishoudens!L12</f>
        <v>0</v>
      </c>
      <c r="N41" s="683">
        <f>huishoudens!M12</f>
        <v>0</v>
      </c>
      <c r="O41" s="683">
        <f>huishoudens!N12</f>
        <v>0</v>
      </c>
      <c r="P41" s="683">
        <f>huishoudens!O12</f>
        <v>0</v>
      </c>
      <c r="Q41" s="766">
        <f>huishoudens!P12</f>
        <v>0</v>
      </c>
      <c r="R41" s="845">
        <f t="shared" ca="1" si="4"/>
        <v>24157.268230459373</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4118.7277213079997</v>
      </c>
      <c r="D43" s="683">
        <f ca="1">industrie!C22</f>
        <v>0</v>
      </c>
      <c r="E43" s="683">
        <f>industrie!D22</f>
        <v>4037.7569841203676</v>
      </c>
      <c r="F43" s="683">
        <f>industrie!E22</f>
        <v>2.5884047201344487</v>
      </c>
      <c r="G43" s="683">
        <f>industrie!F22</f>
        <v>403.3210003716585</v>
      </c>
      <c r="H43" s="683">
        <f>industrie!G22</f>
        <v>0</v>
      </c>
      <c r="I43" s="683">
        <f>industrie!H22</f>
        <v>0</v>
      </c>
      <c r="J43" s="683">
        <f>industrie!I22</f>
        <v>0</v>
      </c>
      <c r="K43" s="683">
        <f>industrie!J22</f>
        <v>1.6719979335800532</v>
      </c>
      <c r="L43" s="683">
        <f>industrie!K22</f>
        <v>0</v>
      </c>
      <c r="M43" s="683">
        <f>industrie!L22</f>
        <v>0</v>
      </c>
      <c r="N43" s="683">
        <f>industrie!M22</f>
        <v>0</v>
      </c>
      <c r="O43" s="683">
        <f>industrie!N22</f>
        <v>0</v>
      </c>
      <c r="P43" s="683">
        <f>industrie!O22</f>
        <v>0</v>
      </c>
      <c r="Q43" s="766">
        <f>industrie!P22</f>
        <v>0</v>
      </c>
      <c r="R43" s="844">
        <f t="shared" ca="1" si="4"/>
        <v>8564.0661084537387</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12482.920856976731</v>
      </c>
      <c r="D46" s="719">
        <f t="shared" ref="D46:Q46" ca="1" si="5">SUM(D39:D45)</f>
        <v>84.558386178436379</v>
      </c>
      <c r="E46" s="719">
        <f t="shared" ca="1" si="5"/>
        <v>18059.485504508946</v>
      </c>
      <c r="F46" s="719">
        <f t="shared" si="5"/>
        <v>318.34646275995169</v>
      </c>
      <c r="G46" s="719">
        <f t="shared" ca="1" si="5"/>
        <v>8957.7366457280405</v>
      </c>
      <c r="H46" s="719">
        <f t="shared" si="5"/>
        <v>0</v>
      </c>
      <c r="I46" s="719">
        <f t="shared" si="5"/>
        <v>0</v>
      </c>
      <c r="J46" s="719">
        <f t="shared" si="5"/>
        <v>0</v>
      </c>
      <c r="K46" s="719">
        <f t="shared" si="5"/>
        <v>59.957258219456577</v>
      </c>
      <c r="L46" s="719">
        <f t="shared" si="5"/>
        <v>0</v>
      </c>
      <c r="M46" s="719">
        <f t="shared" ca="1" si="5"/>
        <v>0</v>
      </c>
      <c r="N46" s="719">
        <f t="shared" si="5"/>
        <v>0</v>
      </c>
      <c r="O46" s="719">
        <f t="shared" ca="1" si="5"/>
        <v>0</v>
      </c>
      <c r="P46" s="719">
        <f t="shared" si="5"/>
        <v>0</v>
      </c>
      <c r="Q46" s="719">
        <f t="shared" si="5"/>
        <v>0</v>
      </c>
      <c r="R46" s="719">
        <f ca="1">SUM(R39:R45)</f>
        <v>39963.005114371568</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3.9948405308700843</v>
      </c>
      <c r="D49" s="683">
        <f ca="1">transport!C58</f>
        <v>0</v>
      </c>
      <c r="E49" s="683">
        <f>transport!D58</f>
        <v>0</v>
      </c>
      <c r="F49" s="683">
        <f>transport!E58</f>
        <v>0</v>
      </c>
      <c r="G49" s="683">
        <f>transport!F58</f>
        <v>0</v>
      </c>
      <c r="H49" s="683">
        <f>transport!G58</f>
        <v>330.50449941866316</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334.49933994953324</v>
      </c>
    </row>
    <row r="50" spans="1:18">
      <c r="A50" s="820" t="s">
        <v>302</v>
      </c>
      <c r="B50" s="830"/>
      <c r="C50" s="689">
        <f ca="1">transport!B18</f>
        <v>122.296359640744</v>
      </c>
      <c r="D50" s="689">
        <f>transport!C18</f>
        <v>0</v>
      </c>
      <c r="E50" s="689">
        <f>transport!D18</f>
        <v>190.94265637357492</v>
      </c>
      <c r="F50" s="689">
        <f>transport!E18</f>
        <v>95.714867947080307</v>
      </c>
      <c r="G50" s="689">
        <f>transport!F18</f>
        <v>0</v>
      </c>
      <c r="H50" s="689">
        <f>transport!G18</f>
        <v>53373.991707589514</v>
      </c>
      <c r="I50" s="689">
        <f>transport!H18</f>
        <v>11871.877951694756</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65654.823543245671</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126.29120017161408</v>
      </c>
      <c r="D52" s="719">
        <f t="shared" ref="D52:Q52" ca="1" si="6">SUM(D48:D51)</f>
        <v>0</v>
      </c>
      <c r="E52" s="719">
        <f t="shared" si="6"/>
        <v>190.94265637357492</v>
      </c>
      <c r="F52" s="719">
        <f t="shared" si="6"/>
        <v>95.714867947080307</v>
      </c>
      <c r="G52" s="719">
        <f t="shared" si="6"/>
        <v>0</v>
      </c>
      <c r="H52" s="719">
        <f t="shared" si="6"/>
        <v>53704.496207008175</v>
      </c>
      <c r="I52" s="719">
        <f t="shared" si="6"/>
        <v>11871.877951694756</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65989.3228831952</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511.51284778211357</v>
      </c>
      <c r="D54" s="689">
        <f ca="1">+landbouw!C12</f>
        <v>5347.2895129812277</v>
      </c>
      <c r="E54" s="689">
        <f>+landbouw!D12</f>
        <v>220.98496236822064</v>
      </c>
      <c r="F54" s="689">
        <f>+landbouw!E12</f>
        <v>16.460856897496427</v>
      </c>
      <c r="G54" s="689">
        <f>+landbouw!F12</f>
        <v>2139.8297151753286</v>
      </c>
      <c r="H54" s="689">
        <f>+landbouw!G12</f>
        <v>0</v>
      </c>
      <c r="I54" s="689">
        <f>+landbouw!H12</f>
        <v>0</v>
      </c>
      <c r="J54" s="689">
        <f>+landbouw!I12</f>
        <v>0</v>
      </c>
      <c r="K54" s="689">
        <f>+landbouw!J12</f>
        <v>227.88928040391463</v>
      </c>
      <c r="L54" s="689">
        <f>+landbouw!K12</f>
        <v>0</v>
      </c>
      <c r="M54" s="689">
        <f>+landbouw!L12</f>
        <v>0</v>
      </c>
      <c r="N54" s="689">
        <f>+landbouw!M12</f>
        <v>0</v>
      </c>
      <c r="O54" s="689">
        <f>+landbouw!N12</f>
        <v>0</v>
      </c>
      <c r="P54" s="689">
        <f>+landbouw!O12</f>
        <v>0</v>
      </c>
      <c r="Q54" s="690">
        <f>+landbouw!P12</f>
        <v>0</v>
      </c>
      <c r="R54" s="718">
        <f ca="1">SUM(C54:Q54)</f>
        <v>8463.9671756083026</v>
      </c>
    </row>
    <row r="55" spans="1:18" ht="15" thickBot="1">
      <c r="A55" s="820" t="s">
        <v>696</v>
      </c>
      <c r="B55" s="830"/>
      <c r="C55" s="689">
        <f ca="1">C25*'EF ele_warmte'!B12</f>
        <v>125.53654667321193</v>
      </c>
      <c r="D55" s="689"/>
      <c r="E55" s="689">
        <f>E25*EF_CO2_aardgas</f>
        <v>751.67311161305679</v>
      </c>
      <c r="F55" s="689"/>
      <c r="G55" s="689"/>
      <c r="H55" s="689"/>
      <c r="I55" s="689"/>
      <c r="J55" s="689"/>
      <c r="K55" s="689"/>
      <c r="L55" s="689"/>
      <c r="M55" s="689"/>
      <c r="N55" s="689"/>
      <c r="O55" s="689"/>
      <c r="P55" s="689"/>
      <c r="Q55" s="690"/>
      <c r="R55" s="718">
        <f ca="1">SUM(C55:Q55)</f>
        <v>877.20965828626868</v>
      </c>
    </row>
    <row r="56" spans="1:18" ht="15.75" thickBot="1">
      <c r="A56" s="818" t="s">
        <v>697</v>
      </c>
      <c r="B56" s="831"/>
      <c r="C56" s="719">
        <f ca="1">SUM(C54:C55)</f>
        <v>637.04939445532546</v>
      </c>
      <c r="D56" s="719">
        <f t="shared" ref="D56:Q56" ca="1" si="7">SUM(D54:D55)</f>
        <v>5347.2895129812277</v>
      </c>
      <c r="E56" s="719">
        <f t="shared" si="7"/>
        <v>972.65807398127743</v>
      </c>
      <c r="F56" s="719">
        <f t="shared" si="7"/>
        <v>16.460856897496427</v>
      </c>
      <c r="G56" s="719">
        <f t="shared" si="7"/>
        <v>2139.8297151753286</v>
      </c>
      <c r="H56" s="719">
        <f t="shared" si="7"/>
        <v>0</v>
      </c>
      <c r="I56" s="719">
        <f t="shared" si="7"/>
        <v>0</v>
      </c>
      <c r="J56" s="719">
        <f t="shared" si="7"/>
        <v>0</v>
      </c>
      <c r="K56" s="719">
        <f t="shared" si="7"/>
        <v>227.88928040391463</v>
      </c>
      <c r="L56" s="719">
        <f t="shared" si="7"/>
        <v>0</v>
      </c>
      <c r="M56" s="719">
        <f t="shared" si="7"/>
        <v>0</v>
      </c>
      <c r="N56" s="719">
        <f t="shared" si="7"/>
        <v>0</v>
      </c>
      <c r="O56" s="719">
        <f t="shared" si="7"/>
        <v>0</v>
      </c>
      <c r="P56" s="719">
        <f t="shared" si="7"/>
        <v>0</v>
      </c>
      <c r="Q56" s="720">
        <f t="shared" si="7"/>
        <v>0</v>
      </c>
      <c r="R56" s="721">
        <f ca="1">SUM(R54:R55)</f>
        <v>9341.1768338945712</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13246.26145160367</v>
      </c>
      <c r="D61" s="727">
        <f t="shared" ref="D61:Q61" ca="1" si="8">D46+D52+D56</f>
        <v>5431.8478991596639</v>
      </c>
      <c r="E61" s="727">
        <f t="shared" ca="1" si="8"/>
        <v>19223.0862348638</v>
      </c>
      <c r="F61" s="727">
        <f t="shared" si="8"/>
        <v>430.52218760452843</v>
      </c>
      <c r="G61" s="727">
        <f t="shared" ca="1" si="8"/>
        <v>11097.566360903369</v>
      </c>
      <c r="H61" s="727">
        <f t="shared" si="8"/>
        <v>53704.496207008175</v>
      </c>
      <c r="I61" s="727">
        <f t="shared" si="8"/>
        <v>11871.877951694756</v>
      </c>
      <c r="J61" s="727">
        <f t="shared" si="8"/>
        <v>0</v>
      </c>
      <c r="K61" s="727">
        <f t="shared" si="8"/>
        <v>287.8465386233712</v>
      </c>
      <c r="L61" s="727">
        <f t="shared" si="8"/>
        <v>0</v>
      </c>
      <c r="M61" s="727">
        <f t="shared" ca="1" si="8"/>
        <v>0</v>
      </c>
      <c r="N61" s="727">
        <f t="shared" si="8"/>
        <v>0</v>
      </c>
      <c r="O61" s="727">
        <f t="shared" ca="1" si="8"/>
        <v>0</v>
      </c>
      <c r="P61" s="727">
        <f t="shared" si="8"/>
        <v>0</v>
      </c>
      <c r="Q61" s="727">
        <f t="shared" si="8"/>
        <v>0</v>
      </c>
      <c r="R61" s="727">
        <f ca="1">R46+R52+R56</f>
        <v>115293.50483146134</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0.20203594306262562</v>
      </c>
      <c r="D63" s="773">
        <f t="shared" ca="1" si="9"/>
        <v>0.23700048178140323</v>
      </c>
      <c r="E63" s="965">
        <f t="shared" ca="1" si="9"/>
        <v>0.20200000000000007</v>
      </c>
      <c r="F63" s="773">
        <f t="shared" si="9"/>
        <v>0.22700000000000001</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6787.5990423572266</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43.649999999999977</v>
      </c>
      <c r="C76" s="740">
        <f>'lokale energieproductie'!B8*IFERROR(SUM(D76:H76)/SUM(D76:O76),0)</f>
        <v>15999.749999999998</v>
      </c>
      <c r="D76" s="948">
        <f>'lokale energieproductie'!C8</f>
        <v>18823.23529411765</v>
      </c>
      <c r="E76" s="949">
        <f>'lokale energieproductie'!D8</f>
        <v>0</v>
      </c>
      <c r="F76" s="949">
        <f>'lokale energieproductie'!E8</f>
        <v>0</v>
      </c>
      <c r="G76" s="949">
        <f>'lokale energieproductie'!F8</f>
        <v>0</v>
      </c>
      <c r="H76" s="949">
        <f>'lokale energieproductie'!G8</f>
        <v>0</v>
      </c>
      <c r="I76" s="949">
        <f>'lokale energieproductie'!I8</f>
        <v>0</v>
      </c>
      <c r="J76" s="949">
        <f>'lokale energieproductie'!J8</f>
        <v>51.35294117647058</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3802.2935294117656</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6831.2490423572262</v>
      </c>
      <c r="C78" s="745">
        <f>SUM(C72:C77)</f>
        <v>15999.749999999998</v>
      </c>
      <c r="D78" s="746">
        <f t="shared" ref="D78:H78" si="10">SUM(D76:D77)</f>
        <v>18823.23529411765</v>
      </c>
      <c r="E78" s="746">
        <f t="shared" si="10"/>
        <v>0</v>
      </c>
      <c r="F78" s="746">
        <f t="shared" si="10"/>
        <v>0</v>
      </c>
      <c r="G78" s="746">
        <f t="shared" si="10"/>
        <v>0</v>
      </c>
      <c r="H78" s="746">
        <f t="shared" si="10"/>
        <v>0</v>
      </c>
      <c r="I78" s="746">
        <f>SUM(I76:I77)</f>
        <v>0</v>
      </c>
      <c r="J78" s="746">
        <f>SUM(J76:J77)</f>
        <v>51.35294117647058</v>
      </c>
      <c r="K78" s="746">
        <f t="shared" ref="K78:L78" si="11">SUM(K76:K77)</f>
        <v>0</v>
      </c>
      <c r="L78" s="746">
        <f t="shared" si="11"/>
        <v>0</v>
      </c>
      <c r="M78" s="746">
        <f>SUM(M76:M77)</f>
        <v>0</v>
      </c>
      <c r="N78" s="746">
        <f>SUM(N76:N77)</f>
        <v>0</v>
      </c>
      <c r="O78" s="855">
        <f>SUM(O76:O77)</f>
        <v>0</v>
      </c>
      <c r="P78" s="747">
        <v>0</v>
      </c>
      <c r="Q78" s="747">
        <f>SUM(Q76:Q77)</f>
        <v>3802.2935294117656</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62.357142857142833</v>
      </c>
      <c r="C87" s="758">
        <f>'lokale energieproductie'!B17*IFERROR(SUM(D87:H87)/SUM(D87:O87),0)</f>
        <v>22856.785714285714</v>
      </c>
      <c r="D87" s="769">
        <f>'lokale energieproductie'!C17</f>
        <v>26890.336134453781</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73.3613445378151</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5431.8478991596639</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62.357142857142833</v>
      </c>
      <c r="C90" s="745">
        <f>SUM(C87:C89)</f>
        <v>22856.785714285714</v>
      </c>
      <c r="D90" s="745">
        <f t="shared" ref="D90:H90" si="12">SUM(D87:D89)</f>
        <v>26890.336134453781</v>
      </c>
      <c r="E90" s="745">
        <f t="shared" si="12"/>
        <v>0</v>
      </c>
      <c r="F90" s="745">
        <f t="shared" si="12"/>
        <v>0</v>
      </c>
      <c r="G90" s="745">
        <f t="shared" si="12"/>
        <v>0</v>
      </c>
      <c r="H90" s="745">
        <f t="shared" si="12"/>
        <v>0</v>
      </c>
      <c r="I90" s="745">
        <f>SUM(I87:I89)</f>
        <v>0</v>
      </c>
      <c r="J90" s="745">
        <f>SUM(J87:J89)</f>
        <v>73.3613445378151</v>
      </c>
      <c r="K90" s="745">
        <f t="shared" ref="K90:L90" si="13">SUM(K87:K89)</f>
        <v>0</v>
      </c>
      <c r="L90" s="745">
        <f t="shared" si="13"/>
        <v>0</v>
      </c>
      <c r="M90" s="745">
        <f>SUM(M87:M89)</f>
        <v>0</v>
      </c>
      <c r="N90" s="745">
        <f>SUM(N87:N89)</f>
        <v>0</v>
      </c>
      <c r="O90" s="745">
        <f>SUM(O87:O89)</f>
        <v>0</v>
      </c>
      <c r="P90" s="745">
        <v>0</v>
      </c>
      <c r="Q90" s="745">
        <f>SUM(Q87:Q89)</f>
        <v>5431.8478991596639</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25076.471519338687</v>
      </c>
      <c r="C4" s="449">
        <f>huishoudens!C8</f>
        <v>0</v>
      </c>
      <c r="D4" s="449">
        <f>huishoudens!D8</f>
        <v>54557.893275893053</v>
      </c>
      <c r="E4" s="449">
        <f>huishoudens!E8</f>
        <v>1318.6082641120731</v>
      </c>
      <c r="F4" s="449">
        <f>huishoudens!F8</f>
        <v>28886.230754925902</v>
      </c>
      <c r="G4" s="449">
        <f>huishoudens!G8</f>
        <v>0</v>
      </c>
      <c r="H4" s="449">
        <f>huishoudens!H8</f>
        <v>0</v>
      </c>
      <c r="I4" s="449">
        <f>huishoudens!I8</f>
        <v>0</v>
      </c>
      <c r="J4" s="449">
        <f>huishoudens!J8</f>
        <v>164.62578846794199</v>
      </c>
      <c r="K4" s="449">
        <f>huishoudens!K8</f>
        <v>0</v>
      </c>
      <c r="L4" s="449">
        <f>huishoudens!L8</f>
        <v>0</v>
      </c>
      <c r="M4" s="449">
        <f>huishoudens!M8</f>
        <v>0</v>
      </c>
      <c r="N4" s="449">
        <f>huishoudens!N8</f>
        <v>7576.6318360153673</v>
      </c>
      <c r="O4" s="449">
        <f>huishoudens!O8</f>
        <v>448.37455758146922</v>
      </c>
      <c r="P4" s="450">
        <f>huishoudens!P8</f>
        <v>684.70735499952639</v>
      </c>
      <c r="Q4" s="451">
        <f>SUM(B4:P4)</f>
        <v>118713.54335133401</v>
      </c>
    </row>
    <row r="5" spans="1:17">
      <c r="A5" s="448" t="s">
        <v>155</v>
      </c>
      <c r="B5" s="449">
        <f ca="1">tertiair!B16</f>
        <v>15297.66533</v>
      </c>
      <c r="C5" s="449">
        <f ca="1">tertiair!C16</f>
        <v>356.78571428571433</v>
      </c>
      <c r="D5" s="449">
        <f ca="1">tertiair!D16</f>
        <v>14856.604349792977</v>
      </c>
      <c r="E5" s="449">
        <f>tertiair!E16</f>
        <v>72.39639685628471</v>
      </c>
      <c r="F5" s="449">
        <f ca="1">tertiair!F16</f>
        <v>3152.7791527759045</v>
      </c>
      <c r="G5" s="449">
        <f>tertiair!G16</f>
        <v>0</v>
      </c>
      <c r="H5" s="449">
        <f>tertiair!H16</f>
        <v>0</v>
      </c>
      <c r="I5" s="449">
        <f>tertiair!I16</f>
        <v>0</v>
      </c>
      <c r="J5" s="449">
        <f>tertiair!J16</f>
        <v>2.1839458262896492E-2</v>
      </c>
      <c r="K5" s="449">
        <f>tertiair!K16</f>
        <v>0</v>
      </c>
      <c r="L5" s="449">
        <f ca="1">tertiair!L16</f>
        <v>0</v>
      </c>
      <c r="M5" s="449">
        <f>tertiair!M16</f>
        <v>0</v>
      </c>
      <c r="N5" s="449">
        <f ca="1">tertiair!N16</f>
        <v>844.07812492372204</v>
      </c>
      <c r="O5" s="449">
        <f>tertiair!O16</f>
        <v>0</v>
      </c>
      <c r="P5" s="450">
        <f>tertiair!P16</f>
        <v>157.61741491948504</v>
      </c>
      <c r="Q5" s="448">
        <f t="shared" ref="Q5:Q14" ca="1" si="0">SUM(B5:P5)</f>
        <v>34737.948323012351</v>
      </c>
    </row>
    <row r="6" spans="1:17">
      <c r="A6" s="448" t="s">
        <v>193</v>
      </c>
      <c r="B6" s="449">
        <f>'openbare verlichting'!B8</f>
        <v>1025.393397</v>
      </c>
      <c r="C6" s="449"/>
      <c r="D6" s="449"/>
      <c r="E6" s="449"/>
      <c r="F6" s="449"/>
      <c r="G6" s="449"/>
      <c r="H6" s="449"/>
      <c r="I6" s="449"/>
      <c r="J6" s="449"/>
      <c r="K6" s="449"/>
      <c r="L6" s="449"/>
      <c r="M6" s="449"/>
      <c r="N6" s="449"/>
      <c r="O6" s="449"/>
      <c r="P6" s="450"/>
      <c r="Q6" s="448">
        <f t="shared" si="0"/>
        <v>1025.393397</v>
      </c>
    </row>
    <row r="7" spans="1:17">
      <c r="A7" s="448" t="s">
        <v>111</v>
      </c>
      <c r="B7" s="449">
        <f>landbouw!B8</f>
        <v>2531.7913239999998</v>
      </c>
      <c r="C7" s="449">
        <f>landbouw!C8</f>
        <v>22562.357142857145</v>
      </c>
      <c r="D7" s="449">
        <f>landbouw!D8</f>
        <v>1093.984962218914</v>
      </c>
      <c r="E7" s="449">
        <f>landbouw!E8</f>
        <v>72.51478809469792</v>
      </c>
      <c r="F7" s="449">
        <f>landbouw!F8</f>
        <v>8014.3435025293202</v>
      </c>
      <c r="G7" s="449">
        <f>landbouw!G8</f>
        <v>0</v>
      </c>
      <c r="H7" s="449">
        <f>landbouw!H8</f>
        <v>0</v>
      </c>
      <c r="I7" s="449">
        <f>landbouw!I8</f>
        <v>0</v>
      </c>
      <c r="J7" s="449">
        <f>landbouw!J8</f>
        <v>643.75502938958937</v>
      </c>
      <c r="K7" s="449">
        <f>landbouw!K8</f>
        <v>0</v>
      </c>
      <c r="L7" s="449">
        <f>landbouw!L8</f>
        <v>0</v>
      </c>
      <c r="M7" s="449">
        <f>landbouw!M8</f>
        <v>0</v>
      </c>
      <c r="N7" s="449">
        <f>landbouw!N8</f>
        <v>0</v>
      </c>
      <c r="O7" s="449">
        <f>landbouw!O8</f>
        <v>0</v>
      </c>
      <c r="P7" s="450">
        <f>landbouw!P8</f>
        <v>0</v>
      </c>
      <c r="Q7" s="448">
        <f t="shared" si="0"/>
        <v>34918.746749089667</v>
      </c>
    </row>
    <row r="8" spans="1:17">
      <c r="A8" s="448" t="s">
        <v>617</v>
      </c>
      <c r="B8" s="449">
        <f>industrie!B18</f>
        <v>20386.113771999997</v>
      </c>
      <c r="C8" s="449">
        <f>industrie!C18</f>
        <v>0</v>
      </c>
      <c r="D8" s="449">
        <f>industrie!D18</f>
        <v>19988.895960991918</v>
      </c>
      <c r="E8" s="449">
        <f>industrie!E18</f>
        <v>11.402663965349994</v>
      </c>
      <c r="F8" s="449">
        <f>industrie!F18</f>
        <v>1510.5655444631404</v>
      </c>
      <c r="G8" s="449">
        <f>industrie!G18</f>
        <v>0</v>
      </c>
      <c r="H8" s="449">
        <f>industrie!H18</f>
        <v>0</v>
      </c>
      <c r="I8" s="449">
        <f>industrie!I18</f>
        <v>0</v>
      </c>
      <c r="J8" s="449">
        <f>industrie!J18</f>
        <v>4.7231580044634276</v>
      </c>
      <c r="K8" s="449">
        <f>industrie!K18</f>
        <v>0</v>
      </c>
      <c r="L8" s="449">
        <f>industrie!L18</f>
        <v>0</v>
      </c>
      <c r="M8" s="449">
        <f>industrie!M18</f>
        <v>0</v>
      </c>
      <c r="N8" s="449">
        <f>industrie!N18</f>
        <v>144.75497273873054</v>
      </c>
      <c r="O8" s="449">
        <f>industrie!O18</f>
        <v>0</v>
      </c>
      <c r="P8" s="450">
        <f>industrie!P18</f>
        <v>0</v>
      </c>
      <c r="Q8" s="448">
        <f t="shared" si="0"/>
        <v>42046.456072163601</v>
      </c>
    </row>
    <row r="9" spans="1:17" s="454" customFormat="1">
      <c r="A9" s="452" t="s">
        <v>543</v>
      </c>
      <c r="B9" s="453">
        <f>transport!B14</f>
        <v>605.3198148155027</v>
      </c>
      <c r="C9" s="453">
        <f>transport!C14</f>
        <v>0</v>
      </c>
      <c r="D9" s="453">
        <f>transport!D14</f>
        <v>945.26067511670749</v>
      </c>
      <c r="E9" s="453">
        <f>transport!E14</f>
        <v>421.65140064793087</v>
      </c>
      <c r="F9" s="453">
        <f>transport!F14</f>
        <v>0</v>
      </c>
      <c r="G9" s="453">
        <f>transport!G14</f>
        <v>199902.59066512925</v>
      </c>
      <c r="H9" s="453">
        <f>transport!H14</f>
        <v>47678.224705601431</v>
      </c>
      <c r="I9" s="453">
        <f>transport!I14</f>
        <v>0</v>
      </c>
      <c r="J9" s="453">
        <f>transport!J14</f>
        <v>0</v>
      </c>
      <c r="K9" s="453">
        <f>transport!K14</f>
        <v>0</v>
      </c>
      <c r="L9" s="453">
        <f>transport!L14</f>
        <v>0</v>
      </c>
      <c r="M9" s="453">
        <f>transport!M14</f>
        <v>14858.02246256</v>
      </c>
      <c r="N9" s="453">
        <f>transport!N14</f>
        <v>0</v>
      </c>
      <c r="O9" s="453">
        <f>transport!O14</f>
        <v>0</v>
      </c>
      <c r="P9" s="453">
        <f>transport!P14</f>
        <v>0</v>
      </c>
      <c r="Q9" s="452">
        <f>SUM(B9:P9)</f>
        <v>264411.06972387084</v>
      </c>
    </row>
    <row r="10" spans="1:17">
      <c r="A10" s="448" t="s">
        <v>533</v>
      </c>
      <c r="B10" s="449">
        <f>transport!B54</f>
        <v>19.772919958266002</v>
      </c>
      <c r="C10" s="449">
        <f>transport!C54</f>
        <v>0</v>
      </c>
      <c r="D10" s="449">
        <f>transport!D54</f>
        <v>0</v>
      </c>
      <c r="E10" s="449">
        <f>transport!E54</f>
        <v>0</v>
      </c>
      <c r="F10" s="449">
        <f>transport!F54</f>
        <v>0</v>
      </c>
      <c r="G10" s="449">
        <f>transport!G54</f>
        <v>1237.8445671110978</v>
      </c>
      <c r="H10" s="449">
        <f>transport!H54</f>
        <v>0</v>
      </c>
      <c r="I10" s="449">
        <f>transport!I54</f>
        <v>0</v>
      </c>
      <c r="J10" s="449">
        <f>transport!J54</f>
        <v>0</v>
      </c>
      <c r="K10" s="449">
        <f>transport!K54</f>
        <v>0</v>
      </c>
      <c r="L10" s="449">
        <f>transport!L54</f>
        <v>0</v>
      </c>
      <c r="M10" s="449">
        <f>transport!M54</f>
        <v>71.074294167423716</v>
      </c>
      <c r="N10" s="449">
        <f>transport!N54</f>
        <v>0</v>
      </c>
      <c r="O10" s="449">
        <f>transport!O54</f>
        <v>0</v>
      </c>
      <c r="P10" s="450">
        <f>transport!P54</f>
        <v>0</v>
      </c>
      <c r="Q10" s="448">
        <f t="shared" si="0"/>
        <v>1328.6917812367874</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621.35749099999998</v>
      </c>
      <c r="C14" s="456"/>
      <c r="D14" s="456">
        <f>'SEAP template'!E25</f>
        <v>3721.1540178864198</v>
      </c>
      <c r="E14" s="456"/>
      <c r="F14" s="456"/>
      <c r="G14" s="456"/>
      <c r="H14" s="456"/>
      <c r="I14" s="456"/>
      <c r="J14" s="456"/>
      <c r="K14" s="456"/>
      <c r="L14" s="456"/>
      <c r="M14" s="456"/>
      <c r="N14" s="456"/>
      <c r="O14" s="456"/>
      <c r="P14" s="457"/>
      <c r="Q14" s="448">
        <f t="shared" si="0"/>
        <v>4342.5115088864195</v>
      </c>
    </row>
    <row r="15" spans="1:17" s="460" customFormat="1">
      <c r="A15" s="458" t="s">
        <v>537</v>
      </c>
      <c r="B15" s="459">
        <f ca="1">SUM(B4:B14)</f>
        <v>65563.885568112455</v>
      </c>
      <c r="C15" s="459">
        <f t="shared" ref="C15:Q15" ca="1" si="1">SUM(C4:C14)</f>
        <v>22919.142857142859</v>
      </c>
      <c r="D15" s="459">
        <f t="shared" ca="1" si="1"/>
        <v>95163.79324189997</v>
      </c>
      <c r="E15" s="459">
        <f t="shared" si="1"/>
        <v>1896.5735136763367</v>
      </c>
      <c r="F15" s="459">
        <f t="shared" ca="1" si="1"/>
        <v>41563.918954694265</v>
      </c>
      <c r="G15" s="459">
        <f t="shared" si="1"/>
        <v>201140.43523224036</v>
      </c>
      <c r="H15" s="459">
        <f t="shared" si="1"/>
        <v>47678.224705601431</v>
      </c>
      <c r="I15" s="459">
        <f t="shared" si="1"/>
        <v>0</v>
      </c>
      <c r="J15" s="459">
        <f t="shared" si="1"/>
        <v>813.12581532025774</v>
      </c>
      <c r="K15" s="459">
        <f t="shared" si="1"/>
        <v>0</v>
      </c>
      <c r="L15" s="459">
        <f t="shared" ca="1" si="1"/>
        <v>0</v>
      </c>
      <c r="M15" s="459">
        <f t="shared" si="1"/>
        <v>14929.096756727424</v>
      </c>
      <c r="N15" s="459">
        <f t="shared" ca="1" si="1"/>
        <v>8565.4649336778202</v>
      </c>
      <c r="O15" s="459">
        <f t="shared" si="1"/>
        <v>448.37455758146922</v>
      </c>
      <c r="P15" s="459">
        <f t="shared" si="1"/>
        <v>842.32476991901149</v>
      </c>
      <c r="Q15" s="459">
        <f t="shared" ca="1" si="1"/>
        <v>501524.36090659368</v>
      </c>
    </row>
    <row r="17" spans="1:17">
      <c r="A17" s="461" t="s">
        <v>538</v>
      </c>
      <c r="B17" s="778">
        <f ca="1">huishoudens!B10</f>
        <v>0.20203594306262565</v>
      </c>
      <c r="C17" s="778">
        <f ca="1">huishoudens!C10</f>
        <v>0.23700048178140323</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5066.3485720926647</v>
      </c>
      <c r="C22" s="449">
        <f t="shared" ref="C22:C32" ca="1" si="3">C4*$C$17</f>
        <v>0</v>
      </c>
      <c r="D22" s="449">
        <f t="shared" ref="D22:D32" si="4">D4*$D$17</f>
        <v>11020.694441730397</v>
      </c>
      <c r="E22" s="449">
        <f t="shared" ref="E22:E32" si="5">E4*$E$17</f>
        <v>299.32407595344063</v>
      </c>
      <c r="F22" s="449">
        <f t="shared" ref="F22:F32" si="6">F4*$F$17</f>
        <v>7712.6236115652164</v>
      </c>
      <c r="G22" s="449">
        <f t="shared" ref="G22:G32" si="7">G4*$G$17</f>
        <v>0</v>
      </c>
      <c r="H22" s="449">
        <f t="shared" ref="H22:H32" si="8">H4*$H$17</f>
        <v>0</v>
      </c>
      <c r="I22" s="449">
        <f t="shared" ref="I22:I32" si="9">I4*$I$17</f>
        <v>0</v>
      </c>
      <c r="J22" s="449">
        <f t="shared" ref="J22:J32" si="10">J4*$J$17</f>
        <v>58.277529117651461</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24157.268230459373</v>
      </c>
    </row>
    <row r="23" spans="1:17">
      <c r="A23" s="448" t="s">
        <v>155</v>
      </c>
      <c r="B23" s="449">
        <f t="shared" ca="1" si="2"/>
        <v>3090.6782416029823</v>
      </c>
      <c r="C23" s="449">
        <f t="shared" ca="1" si="3"/>
        <v>84.558386178436379</v>
      </c>
      <c r="D23" s="449">
        <f t="shared" ca="1" si="4"/>
        <v>3001.0340786581814</v>
      </c>
      <c r="E23" s="449">
        <f t="shared" si="5"/>
        <v>16.433982086376631</v>
      </c>
      <c r="F23" s="449">
        <f t="shared" ca="1" si="6"/>
        <v>841.79203379116655</v>
      </c>
      <c r="G23" s="449">
        <f t="shared" si="7"/>
        <v>0</v>
      </c>
      <c r="H23" s="449">
        <f t="shared" si="8"/>
        <v>0</v>
      </c>
      <c r="I23" s="449">
        <f t="shared" si="9"/>
        <v>0</v>
      </c>
      <c r="J23" s="449">
        <f t="shared" si="10"/>
        <v>7.7311682250653579E-3</v>
      </c>
      <c r="K23" s="449">
        <f t="shared" si="11"/>
        <v>0</v>
      </c>
      <c r="L23" s="449">
        <f t="shared" ca="1" si="12"/>
        <v>0</v>
      </c>
      <c r="M23" s="449">
        <f t="shared" si="13"/>
        <v>0</v>
      </c>
      <c r="N23" s="449">
        <f t="shared" ca="1" si="14"/>
        <v>0</v>
      </c>
      <c r="O23" s="449">
        <f t="shared" si="15"/>
        <v>0</v>
      </c>
      <c r="P23" s="450">
        <f t="shared" si="16"/>
        <v>0</v>
      </c>
      <c r="Q23" s="448">
        <f t="shared" ref="Q23:Q31" ca="1" si="17">SUM(B23:P23)</f>
        <v>7034.5044534853687</v>
      </c>
    </row>
    <row r="24" spans="1:17">
      <c r="A24" s="448" t="s">
        <v>193</v>
      </c>
      <c r="B24" s="449">
        <f t="shared" ca="1" si="2"/>
        <v>207.16632197308431</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207.16632197308431</v>
      </c>
    </row>
    <row r="25" spans="1:17">
      <c r="A25" s="448" t="s">
        <v>111</v>
      </c>
      <c r="B25" s="449">
        <f t="shared" ca="1" si="2"/>
        <v>511.51284778211357</v>
      </c>
      <c r="C25" s="449">
        <f t="shared" ca="1" si="3"/>
        <v>5347.2895129812277</v>
      </c>
      <c r="D25" s="449">
        <f t="shared" si="4"/>
        <v>220.98496236822064</v>
      </c>
      <c r="E25" s="449">
        <f t="shared" si="5"/>
        <v>16.460856897496427</v>
      </c>
      <c r="F25" s="449">
        <f t="shared" si="6"/>
        <v>2139.8297151753286</v>
      </c>
      <c r="G25" s="449">
        <f t="shared" si="7"/>
        <v>0</v>
      </c>
      <c r="H25" s="449">
        <f t="shared" si="8"/>
        <v>0</v>
      </c>
      <c r="I25" s="449">
        <f t="shared" si="9"/>
        <v>0</v>
      </c>
      <c r="J25" s="449">
        <f t="shared" si="10"/>
        <v>227.88928040391463</v>
      </c>
      <c r="K25" s="449">
        <f t="shared" si="11"/>
        <v>0</v>
      </c>
      <c r="L25" s="449">
        <f t="shared" si="12"/>
        <v>0</v>
      </c>
      <c r="M25" s="449">
        <f t="shared" si="13"/>
        <v>0</v>
      </c>
      <c r="N25" s="449">
        <f t="shared" si="14"/>
        <v>0</v>
      </c>
      <c r="O25" s="449">
        <f t="shared" si="15"/>
        <v>0</v>
      </c>
      <c r="P25" s="450">
        <f t="shared" si="16"/>
        <v>0</v>
      </c>
      <c r="Q25" s="448">
        <f t="shared" ca="1" si="17"/>
        <v>8463.9671756083026</v>
      </c>
    </row>
    <row r="26" spans="1:17">
      <c r="A26" s="448" t="s">
        <v>617</v>
      </c>
      <c r="B26" s="449">
        <f t="shared" ca="1" si="2"/>
        <v>4118.7277213079997</v>
      </c>
      <c r="C26" s="449">
        <f t="shared" ca="1" si="3"/>
        <v>0</v>
      </c>
      <c r="D26" s="449">
        <f t="shared" si="4"/>
        <v>4037.7569841203676</v>
      </c>
      <c r="E26" s="449">
        <f t="shared" si="5"/>
        <v>2.5884047201344487</v>
      </c>
      <c r="F26" s="449">
        <f t="shared" si="6"/>
        <v>403.3210003716585</v>
      </c>
      <c r="G26" s="449">
        <f t="shared" si="7"/>
        <v>0</v>
      </c>
      <c r="H26" s="449">
        <f t="shared" si="8"/>
        <v>0</v>
      </c>
      <c r="I26" s="449">
        <f t="shared" si="9"/>
        <v>0</v>
      </c>
      <c r="J26" s="449">
        <f t="shared" si="10"/>
        <v>1.6719979335800532</v>
      </c>
      <c r="K26" s="449">
        <f t="shared" si="11"/>
        <v>0</v>
      </c>
      <c r="L26" s="449">
        <f t="shared" si="12"/>
        <v>0</v>
      </c>
      <c r="M26" s="449">
        <f t="shared" si="13"/>
        <v>0</v>
      </c>
      <c r="N26" s="449">
        <f t="shared" si="14"/>
        <v>0</v>
      </c>
      <c r="O26" s="449">
        <f t="shared" si="15"/>
        <v>0</v>
      </c>
      <c r="P26" s="450">
        <f t="shared" si="16"/>
        <v>0</v>
      </c>
      <c r="Q26" s="448">
        <f t="shared" ca="1" si="17"/>
        <v>8564.0661084537387</v>
      </c>
    </row>
    <row r="27" spans="1:17" s="454" customFormat="1">
      <c r="A27" s="452" t="s">
        <v>543</v>
      </c>
      <c r="B27" s="772">
        <f t="shared" ca="1" si="2"/>
        <v>122.296359640744</v>
      </c>
      <c r="C27" s="453">
        <f t="shared" ca="1" si="3"/>
        <v>0</v>
      </c>
      <c r="D27" s="453">
        <f t="shared" si="4"/>
        <v>190.94265637357492</v>
      </c>
      <c r="E27" s="453">
        <f t="shared" si="5"/>
        <v>95.714867947080307</v>
      </c>
      <c r="F27" s="453">
        <f t="shared" si="6"/>
        <v>0</v>
      </c>
      <c r="G27" s="453">
        <f t="shared" si="7"/>
        <v>53373.991707589514</v>
      </c>
      <c r="H27" s="453">
        <f t="shared" si="8"/>
        <v>11871.877951694756</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65654.823543245671</v>
      </c>
    </row>
    <row r="28" spans="1:17" ht="16.5" customHeight="1">
      <c r="A28" s="448" t="s">
        <v>533</v>
      </c>
      <c r="B28" s="449">
        <f t="shared" ca="1" si="2"/>
        <v>3.9948405308700843</v>
      </c>
      <c r="C28" s="449">
        <f t="shared" ca="1" si="3"/>
        <v>0</v>
      </c>
      <c r="D28" s="449">
        <f t="shared" si="4"/>
        <v>0</v>
      </c>
      <c r="E28" s="449">
        <f t="shared" si="5"/>
        <v>0</v>
      </c>
      <c r="F28" s="449">
        <f t="shared" si="6"/>
        <v>0</v>
      </c>
      <c r="G28" s="449">
        <f t="shared" si="7"/>
        <v>330.50449941866316</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334.49933994953324</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125.53654667321193</v>
      </c>
      <c r="C32" s="449">
        <f t="shared" ca="1" si="3"/>
        <v>0</v>
      </c>
      <c r="D32" s="449">
        <f t="shared" si="4"/>
        <v>751.67311161305679</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877.20965828626868</v>
      </c>
    </row>
    <row r="33" spans="1:17" s="460" customFormat="1">
      <c r="A33" s="458" t="s">
        <v>537</v>
      </c>
      <c r="B33" s="459">
        <f ca="1">SUM(B22:B32)</f>
        <v>13246.26145160367</v>
      </c>
      <c r="C33" s="459">
        <f t="shared" ref="C33:Q33" ca="1" si="19">SUM(C22:C32)</f>
        <v>5431.8478991596639</v>
      </c>
      <c r="D33" s="459">
        <f t="shared" ca="1" si="19"/>
        <v>19223.0862348638</v>
      </c>
      <c r="E33" s="459">
        <f t="shared" si="19"/>
        <v>430.52218760452843</v>
      </c>
      <c r="F33" s="459">
        <f t="shared" ca="1" si="19"/>
        <v>11097.566360903369</v>
      </c>
      <c r="G33" s="459">
        <f t="shared" si="19"/>
        <v>53704.496207008175</v>
      </c>
      <c r="H33" s="459">
        <f t="shared" si="19"/>
        <v>11871.877951694756</v>
      </c>
      <c r="I33" s="459">
        <f t="shared" si="19"/>
        <v>0</v>
      </c>
      <c r="J33" s="459">
        <f t="shared" si="19"/>
        <v>287.8465386233712</v>
      </c>
      <c r="K33" s="459">
        <f t="shared" si="19"/>
        <v>0</v>
      </c>
      <c r="L33" s="459">
        <f t="shared" ca="1" si="19"/>
        <v>0</v>
      </c>
      <c r="M33" s="459">
        <f t="shared" si="19"/>
        <v>0</v>
      </c>
      <c r="N33" s="459">
        <f t="shared" ca="1" si="19"/>
        <v>0</v>
      </c>
      <c r="O33" s="459">
        <f t="shared" si="19"/>
        <v>0</v>
      </c>
      <c r="P33" s="459">
        <f t="shared" si="19"/>
        <v>0</v>
      </c>
      <c r="Q33" s="459">
        <f t="shared" ca="1" si="19"/>
        <v>115293.50483146134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6787.5990423572266</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43.649999999999977</v>
      </c>
      <c r="C8" s="1016">
        <f>'SEAP template'!C76</f>
        <v>15999.749999999998</v>
      </c>
      <c r="D8" s="1016">
        <f>'SEAP template'!D76</f>
        <v>18823.23529411765</v>
      </c>
      <c r="E8" s="1016">
        <f>'SEAP template'!E76</f>
        <v>0</v>
      </c>
      <c r="F8" s="1016">
        <f>'SEAP template'!F76</f>
        <v>0</v>
      </c>
      <c r="G8" s="1016">
        <f>'SEAP template'!G76</f>
        <v>0</v>
      </c>
      <c r="H8" s="1016">
        <f>'SEAP template'!H76</f>
        <v>0</v>
      </c>
      <c r="I8" s="1016">
        <f>'SEAP template'!I76</f>
        <v>0</v>
      </c>
      <c r="J8" s="1016">
        <f>'SEAP template'!J76</f>
        <v>51.35294117647058</v>
      </c>
      <c r="K8" s="1016">
        <f>'SEAP template'!K76</f>
        <v>0</v>
      </c>
      <c r="L8" s="1016">
        <f>'SEAP template'!L76</f>
        <v>0</v>
      </c>
      <c r="M8" s="1016">
        <f>'SEAP template'!M76</f>
        <v>0</v>
      </c>
      <c r="N8" s="1016">
        <f>'SEAP template'!N76</f>
        <v>0</v>
      </c>
      <c r="O8" s="1016">
        <f>'SEAP template'!O76</f>
        <v>0</v>
      </c>
      <c r="P8" s="1017">
        <f>'SEAP template'!Q76</f>
        <v>3802.2935294117656</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6831.2490423572262</v>
      </c>
      <c r="C10" s="1018">
        <f>SUM(C4:C9)</f>
        <v>15999.749999999998</v>
      </c>
      <c r="D10" s="1018">
        <f t="shared" ref="D10:H10" si="0">SUM(D8:D9)</f>
        <v>18823.23529411765</v>
      </c>
      <c r="E10" s="1018">
        <f t="shared" si="0"/>
        <v>0</v>
      </c>
      <c r="F10" s="1018">
        <f t="shared" si="0"/>
        <v>0</v>
      </c>
      <c r="G10" s="1018">
        <f t="shared" si="0"/>
        <v>0</v>
      </c>
      <c r="H10" s="1018">
        <f t="shared" si="0"/>
        <v>0</v>
      </c>
      <c r="I10" s="1018">
        <f>SUM(I8:I9)</f>
        <v>0</v>
      </c>
      <c r="J10" s="1018">
        <f>SUM(J8:J9)</f>
        <v>51.35294117647058</v>
      </c>
      <c r="K10" s="1018">
        <f t="shared" ref="K10:L10" si="1">SUM(K8:K9)</f>
        <v>0</v>
      </c>
      <c r="L10" s="1018">
        <f t="shared" si="1"/>
        <v>0</v>
      </c>
      <c r="M10" s="1018">
        <f>SUM(M8:M9)</f>
        <v>0</v>
      </c>
      <c r="N10" s="1018">
        <f>SUM(N8:N9)</f>
        <v>0</v>
      </c>
      <c r="O10" s="1018">
        <f>SUM(O8:O9)</f>
        <v>0</v>
      </c>
      <c r="P10" s="1018">
        <f>SUM(P8:P9)</f>
        <v>3802.2935294117656</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0.20203594306262565</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62.357142857142833</v>
      </c>
      <c r="C17" s="1019">
        <f>'SEAP template'!C87</f>
        <v>22856.785714285714</v>
      </c>
      <c r="D17" s="1017">
        <f>'SEAP template'!D87</f>
        <v>26890.336134453781</v>
      </c>
      <c r="E17" s="1017">
        <f>'SEAP template'!E87</f>
        <v>0</v>
      </c>
      <c r="F17" s="1017">
        <f>'SEAP template'!F87</f>
        <v>0</v>
      </c>
      <c r="G17" s="1017">
        <f>'SEAP template'!G87</f>
        <v>0</v>
      </c>
      <c r="H17" s="1017">
        <f>'SEAP template'!H87</f>
        <v>0</v>
      </c>
      <c r="I17" s="1017">
        <f>'SEAP template'!I87</f>
        <v>0</v>
      </c>
      <c r="J17" s="1017">
        <f>'SEAP template'!J87</f>
        <v>73.3613445378151</v>
      </c>
      <c r="K17" s="1017">
        <f>'SEAP template'!K87</f>
        <v>0</v>
      </c>
      <c r="L17" s="1017">
        <f>'SEAP template'!L87</f>
        <v>0</v>
      </c>
      <c r="M17" s="1017">
        <f>'SEAP template'!M87</f>
        <v>0</v>
      </c>
      <c r="N17" s="1017">
        <f>'SEAP template'!N87</f>
        <v>0</v>
      </c>
      <c r="O17" s="1017">
        <f>'SEAP template'!O87</f>
        <v>0</v>
      </c>
      <c r="P17" s="1017">
        <f>'SEAP template'!Q87</f>
        <v>5431.8478991596639</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62.357142857142833</v>
      </c>
      <c r="C20" s="1018">
        <f>SUM(C17:C19)</f>
        <v>22856.785714285714</v>
      </c>
      <c r="D20" s="1018">
        <f t="shared" ref="D20:H20" si="2">SUM(D17:D19)</f>
        <v>26890.336134453781</v>
      </c>
      <c r="E20" s="1018">
        <f t="shared" si="2"/>
        <v>0</v>
      </c>
      <c r="F20" s="1018">
        <f t="shared" si="2"/>
        <v>0</v>
      </c>
      <c r="G20" s="1018">
        <f t="shared" si="2"/>
        <v>0</v>
      </c>
      <c r="H20" s="1018">
        <f t="shared" si="2"/>
        <v>0</v>
      </c>
      <c r="I20" s="1018">
        <f>SUM(I17:I19)</f>
        <v>0</v>
      </c>
      <c r="J20" s="1018">
        <f>SUM(J17:J19)</f>
        <v>73.3613445378151</v>
      </c>
      <c r="K20" s="1018">
        <f t="shared" ref="K20:L20" si="3">SUM(K17:K19)</f>
        <v>0</v>
      </c>
      <c r="L20" s="1018">
        <f t="shared" si="3"/>
        <v>0</v>
      </c>
      <c r="M20" s="1018">
        <f>SUM(M17:M19)</f>
        <v>0</v>
      </c>
      <c r="N20" s="1018">
        <f>SUM(N17:N19)</f>
        <v>0</v>
      </c>
      <c r="O20" s="1018">
        <f>SUM(O17:O19)</f>
        <v>0</v>
      </c>
      <c r="P20" s="1018">
        <f>SUM(P17:P19)</f>
        <v>5431.8478991596639</v>
      </c>
    </row>
    <row r="21" spans="1:16">
      <c r="B21" s="883"/>
    </row>
    <row r="22" spans="1:16">
      <c r="A22" s="461" t="s">
        <v>755</v>
      </c>
      <c r="B22" s="778" t="s">
        <v>753</v>
      </c>
      <c r="C22" s="778">
        <f ca="1">'EF ele_warmte'!B22</f>
        <v>0.23700048178140323</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0.20203594306262565</v>
      </c>
      <c r="C17" s="498">
        <f ca="1">'EF ele_warmte'!B22</f>
        <v>0.23700048178140323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0.20203594306262565</v>
      </c>
      <c r="C17" s="498">
        <f ca="1">'EF ele_warmte'!B22</f>
        <v>0.23700048178140323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0.20203594306262565</v>
      </c>
      <c r="C29" s="499">
        <f ca="1">'EF ele_warmte'!B22</f>
        <v>0.23700048178140323</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5758</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3367.4</v>
      </c>
      <c r="C14" s="326"/>
      <c r="D14" s="326"/>
      <c r="E14" s="326"/>
      <c r="F14" s="326"/>
    </row>
    <row r="15" spans="1:6">
      <c r="A15" s="1312" t="s">
        <v>183</v>
      </c>
      <c r="B15" s="1313">
        <v>60</v>
      </c>
      <c r="C15" s="326"/>
      <c r="D15" s="326"/>
      <c r="E15" s="326"/>
      <c r="F15" s="326"/>
    </row>
    <row r="16" spans="1:6">
      <c r="A16" s="1312" t="s">
        <v>6</v>
      </c>
      <c r="B16" s="1313">
        <v>1678</v>
      </c>
      <c r="C16" s="326"/>
      <c r="D16" s="326"/>
      <c r="E16" s="326"/>
      <c r="F16" s="326"/>
    </row>
    <row r="17" spans="1:6">
      <c r="A17" s="1312" t="s">
        <v>7</v>
      </c>
      <c r="B17" s="1313">
        <v>1746</v>
      </c>
      <c r="C17" s="326"/>
      <c r="D17" s="326"/>
      <c r="E17" s="326"/>
      <c r="F17" s="326"/>
    </row>
    <row r="18" spans="1:6">
      <c r="A18" s="1312" t="s">
        <v>8</v>
      </c>
      <c r="B18" s="1313">
        <v>2471</v>
      </c>
      <c r="C18" s="326"/>
      <c r="D18" s="326"/>
      <c r="E18" s="326"/>
      <c r="F18" s="326"/>
    </row>
    <row r="19" spans="1:6">
      <c r="A19" s="1312" t="s">
        <v>9</v>
      </c>
      <c r="B19" s="1313">
        <v>2396</v>
      </c>
      <c r="C19" s="326"/>
      <c r="D19" s="326"/>
      <c r="E19" s="326"/>
      <c r="F19" s="326"/>
    </row>
    <row r="20" spans="1:6">
      <c r="A20" s="1312" t="s">
        <v>10</v>
      </c>
      <c r="B20" s="1313">
        <v>1465</v>
      </c>
      <c r="C20" s="326"/>
      <c r="D20" s="326"/>
      <c r="E20" s="326"/>
      <c r="F20" s="326"/>
    </row>
    <row r="21" spans="1:6">
      <c r="A21" s="1312" t="s">
        <v>11</v>
      </c>
      <c r="B21" s="1313">
        <v>10598</v>
      </c>
      <c r="C21" s="326"/>
      <c r="D21" s="326"/>
      <c r="E21" s="326"/>
      <c r="F21" s="326"/>
    </row>
    <row r="22" spans="1:6">
      <c r="A22" s="1312" t="s">
        <v>12</v>
      </c>
      <c r="B22" s="1313">
        <v>15159</v>
      </c>
      <c r="C22" s="326"/>
      <c r="D22" s="326"/>
      <c r="E22" s="326"/>
      <c r="F22" s="326"/>
    </row>
    <row r="23" spans="1:6">
      <c r="A23" s="1312" t="s">
        <v>13</v>
      </c>
      <c r="B23" s="1313">
        <v>606</v>
      </c>
      <c r="C23" s="326"/>
      <c r="D23" s="326"/>
      <c r="E23" s="326"/>
      <c r="F23" s="326"/>
    </row>
    <row r="24" spans="1:6">
      <c r="A24" s="1312" t="s">
        <v>14</v>
      </c>
      <c r="B24" s="1313">
        <v>13</v>
      </c>
      <c r="C24" s="326"/>
      <c r="D24" s="326"/>
      <c r="E24" s="326"/>
      <c r="F24" s="326"/>
    </row>
    <row r="25" spans="1:6">
      <c r="A25" s="1312" t="s">
        <v>15</v>
      </c>
      <c r="B25" s="1313">
        <v>2399</v>
      </c>
      <c r="C25" s="326"/>
      <c r="D25" s="326"/>
      <c r="E25" s="326"/>
      <c r="F25" s="326"/>
    </row>
    <row r="26" spans="1:6">
      <c r="A26" s="1312" t="s">
        <v>16</v>
      </c>
      <c r="B26" s="1313">
        <v>341</v>
      </c>
      <c r="C26" s="326"/>
      <c r="D26" s="326"/>
      <c r="E26" s="326"/>
      <c r="F26" s="326"/>
    </row>
    <row r="27" spans="1:6">
      <c r="A27" s="1312" t="s">
        <v>17</v>
      </c>
      <c r="B27" s="1313">
        <v>1</v>
      </c>
      <c r="C27" s="326"/>
      <c r="D27" s="326"/>
      <c r="E27" s="326"/>
      <c r="F27" s="326"/>
    </row>
    <row r="28" spans="1:6" s="43" customFormat="1">
      <c r="A28" s="1314" t="s">
        <v>18</v>
      </c>
      <c r="B28" s="1315">
        <v>21314</v>
      </c>
      <c r="C28" s="332"/>
      <c r="D28" s="332"/>
      <c r="E28" s="332"/>
      <c r="F28" s="332"/>
    </row>
    <row r="29" spans="1:6">
      <c r="A29" s="1314" t="s">
        <v>684</v>
      </c>
      <c r="B29" s="1315">
        <v>192</v>
      </c>
      <c r="C29" s="332"/>
      <c r="D29" s="332"/>
      <c r="E29" s="332"/>
      <c r="F29" s="332"/>
    </row>
    <row r="30" spans="1:6">
      <c r="A30" s="1307" t="s">
        <v>685</v>
      </c>
      <c r="B30" s="1316">
        <v>38</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3</v>
      </c>
      <c r="F36" s="1313">
        <v>7546.7430000000004</v>
      </c>
    </row>
    <row r="37" spans="1:6">
      <c r="A37" s="1312" t="s">
        <v>24</v>
      </c>
      <c r="B37" s="1312" t="s">
        <v>27</v>
      </c>
      <c r="C37" s="1313">
        <v>0</v>
      </c>
      <c r="D37" s="1313">
        <v>0</v>
      </c>
      <c r="E37" s="1313">
        <v>0</v>
      </c>
      <c r="F37" s="1313">
        <v>0</v>
      </c>
    </row>
    <row r="38" spans="1:6">
      <c r="A38" s="1312" t="s">
        <v>24</v>
      </c>
      <c r="B38" s="1312" t="s">
        <v>28</v>
      </c>
      <c r="C38" s="1313">
        <v>2</v>
      </c>
      <c r="D38" s="1313">
        <v>18866.969142174599</v>
      </c>
      <c r="E38" s="1313">
        <v>2</v>
      </c>
      <c r="F38" s="1313">
        <v>8436.2610000000004</v>
      </c>
    </row>
    <row r="39" spans="1:6">
      <c r="A39" s="1312" t="s">
        <v>29</v>
      </c>
      <c r="B39" s="1312" t="s">
        <v>30</v>
      </c>
      <c r="C39" s="1313">
        <v>3806</v>
      </c>
      <c r="D39" s="1313">
        <v>60418486.462783001</v>
      </c>
      <c r="E39" s="1313">
        <v>5432</v>
      </c>
      <c r="F39" s="1313">
        <v>19928685.711739998</v>
      </c>
    </row>
    <row r="40" spans="1:6">
      <c r="A40" s="1312" t="s">
        <v>29</v>
      </c>
      <c r="B40" s="1312" t="s">
        <v>28</v>
      </c>
      <c r="C40" s="1313">
        <v>0</v>
      </c>
      <c r="D40" s="1313">
        <v>0</v>
      </c>
      <c r="E40" s="1313">
        <v>0</v>
      </c>
      <c r="F40" s="1313">
        <v>0</v>
      </c>
    </row>
    <row r="41" spans="1:6">
      <c r="A41" s="1312" t="s">
        <v>31</v>
      </c>
      <c r="B41" s="1312" t="s">
        <v>32</v>
      </c>
      <c r="C41" s="1313">
        <v>108</v>
      </c>
      <c r="D41" s="1313">
        <v>2559279.9392421301</v>
      </c>
      <c r="E41" s="1313">
        <v>245</v>
      </c>
      <c r="F41" s="1313">
        <v>2275711.7400000002</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10</v>
      </c>
      <c r="D44" s="1313">
        <v>194317.328852037</v>
      </c>
      <c r="E44" s="1313">
        <v>14</v>
      </c>
      <c r="F44" s="1313">
        <v>234478.875</v>
      </c>
    </row>
    <row r="45" spans="1:6">
      <c r="A45" s="1312" t="s">
        <v>31</v>
      </c>
      <c r="B45" s="1312" t="s">
        <v>36</v>
      </c>
      <c r="C45" s="1313">
        <v>3</v>
      </c>
      <c r="D45" s="1313">
        <v>56986.341946926499</v>
      </c>
      <c r="E45" s="1313">
        <v>3</v>
      </c>
      <c r="F45" s="1313">
        <v>30698.004000000001</v>
      </c>
    </row>
    <row r="46" spans="1:6">
      <c r="A46" s="1312" t="s">
        <v>31</v>
      </c>
      <c r="B46" s="1312" t="s">
        <v>37</v>
      </c>
      <c r="C46" s="1313">
        <v>0</v>
      </c>
      <c r="D46" s="1313">
        <v>0</v>
      </c>
      <c r="E46" s="1313">
        <v>0</v>
      </c>
      <c r="F46" s="1313">
        <v>0</v>
      </c>
    </row>
    <row r="47" spans="1:6">
      <c r="A47" s="1312" t="s">
        <v>31</v>
      </c>
      <c r="B47" s="1312" t="s">
        <v>38</v>
      </c>
      <c r="C47" s="1313">
        <v>3</v>
      </c>
      <c r="D47" s="1313">
        <v>18533916.264756799</v>
      </c>
      <c r="E47" s="1313">
        <v>4</v>
      </c>
      <c r="F47" s="1313">
        <v>17049351.002</v>
      </c>
    </row>
    <row r="48" spans="1:6">
      <c r="A48" s="1312" t="s">
        <v>31</v>
      </c>
      <c r="B48" s="1312" t="s">
        <v>28</v>
      </c>
      <c r="C48" s="1313">
        <v>2</v>
      </c>
      <c r="D48" s="1313">
        <v>63001.362304368602</v>
      </c>
      <c r="E48" s="1313">
        <v>2</v>
      </c>
      <c r="F48" s="1313">
        <v>11059.208000000001</v>
      </c>
    </row>
    <row r="49" spans="1:6">
      <c r="A49" s="1312" t="s">
        <v>31</v>
      </c>
      <c r="B49" s="1312" t="s">
        <v>39</v>
      </c>
      <c r="C49" s="1313">
        <v>0</v>
      </c>
      <c r="D49" s="1313">
        <v>0</v>
      </c>
      <c r="E49" s="1313">
        <v>3</v>
      </c>
      <c r="F49" s="1313">
        <v>16592.25</v>
      </c>
    </row>
    <row r="50" spans="1:6">
      <c r="A50" s="1312" t="s">
        <v>31</v>
      </c>
      <c r="B50" s="1312" t="s">
        <v>40</v>
      </c>
      <c r="C50" s="1313">
        <v>10</v>
      </c>
      <c r="D50" s="1313">
        <v>728596.17263408494</v>
      </c>
      <c r="E50" s="1313">
        <v>16</v>
      </c>
      <c r="F50" s="1313">
        <v>768222.69299999997</v>
      </c>
    </row>
    <row r="51" spans="1:6">
      <c r="A51" s="1312" t="s">
        <v>41</v>
      </c>
      <c r="B51" s="1312" t="s">
        <v>42</v>
      </c>
      <c r="C51" s="1313">
        <v>24</v>
      </c>
      <c r="D51" s="1313">
        <v>51045387.555059701</v>
      </c>
      <c r="E51" s="1313">
        <v>141</v>
      </c>
      <c r="F51" s="1313">
        <v>2531791.324</v>
      </c>
    </row>
    <row r="52" spans="1:6">
      <c r="A52" s="1312" t="s">
        <v>41</v>
      </c>
      <c r="B52" s="1312" t="s">
        <v>28</v>
      </c>
      <c r="C52" s="1313">
        <v>0</v>
      </c>
      <c r="D52" s="1313">
        <v>0</v>
      </c>
      <c r="E52" s="1313">
        <v>0</v>
      </c>
      <c r="F52" s="1313">
        <v>0</v>
      </c>
    </row>
    <row r="53" spans="1:6">
      <c r="A53" s="1312" t="s">
        <v>43</v>
      </c>
      <c r="B53" s="1312" t="s">
        <v>44</v>
      </c>
      <c r="C53" s="1313">
        <v>97</v>
      </c>
      <c r="D53" s="1313">
        <v>3721154.0178864198</v>
      </c>
      <c r="E53" s="1313">
        <v>128</v>
      </c>
      <c r="F53" s="1313">
        <v>621357.49100000004</v>
      </c>
    </row>
    <row r="54" spans="1:6">
      <c r="A54" s="1312" t="s">
        <v>45</v>
      </c>
      <c r="B54" s="1312" t="s">
        <v>46</v>
      </c>
      <c r="C54" s="1313">
        <v>0</v>
      </c>
      <c r="D54" s="1313">
        <v>0</v>
      </c>
      <c r="E54" s="1313">
        <v>1</v>
      </c>
      <c r="F54" s="1313">
        <v>1025393.397</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58</v>
      </c>
      <c r="D57" s="1313">
        <v>1883256.7438958499</v>
      </c>
      <c r="E57" s="1313">
        <v>122</v>
      </c>
      <c r="F57" s="1313">
        <v>2159292.7239999999</v>
      </c>
    </row>
    <row r="58" spans="1:6">
      <c r="A58" s="1312" t="s">
        <v>48</v>
      </c>
      <c r="B58" s="1312" t="s">
        <v>50</v>
      </c>
      <c r="C58" s="1313">
        <v>52</v>
      </c>
      <c r="D58" s="1313">
        <v>1884526.6347910699</v>
      </c>
      <c r="E58" s="1313">
        <v>75</v>
      </c>
      <c r="F58" s="1313">
        <v>1496585.797</v>
      </c>
    </row>
    <row r="59" spans="1:6">
      <c r="A59" s="1312" t="s">
        <v>48</v>
      </c>
      <c r="B59" s="1312" t="s">
        <v>51</v>
      </c>
      <c r="C59" s="1313">
        <v>97</v>
      </c>
      <c r="D59" s="1313">
        <v>2977252.7154355799</v>
      </c>
      <c r="E59" s="1313">
        <v>200</v>
      </c>
      <c r="F59" s="1313">
        <v>5464044.9119999995</v>
      </c>
    </row>
    <row r="60" spans="1:6">
      <c r="A60" s="1312" t="s">
        <v>48</v>
      </c>
      <c r="B60" s="1312" t="s">
        <v>52</v>
      </c>
      <c r="C60" s="1313">
        <v>55</v>
      </c>
      <c r="D60" s="1313">
        <v>2642656.3880898701</v>
      </c>
      <c r="E60" s="1313">
        <v>72</v>
      </c>
      <c r="F60" s="1313">
        <v>2738812.693</v>
      </c>
    </row>
    <row r="61" spans="1:6">
      <c r="A61" s="1312" t="s">
        <v>48</v>
      </c>
      <c r="B61" s="1312" t="s">
        <v>53</v>
      </c>
      <c r="C61" s="1313">
        <v>179</v>
      </c>
      <c r="D61" s="1313">
        <v>6623324.5877183303</v>
      </c>
      <c r="E61" s="1313">
        <v>316</v>
      </c>
      <c r="F61" s="1313">
        <v>3041778.358</v>
      </c>
    </row>
    <row r="62" spans="1:6">
      <c r="A62" s="1312" t="s">
        <v>48</v>
      </c>
      <c r="B62" s="1312" t="s">
        <v>54</v>
      </c>
      <c r="C62" s="1313">
        <v>14</v>
      </c>
      <c r="D62" s="1313">
        <v>1231702.50743852</v>
      </c>
      <c r="E62" s="1313">
        <v>21</v>
      </c>
      <c r="F62" s="1313">
        <v>147400.84599999999</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0</v>
      </c>
      <c r="D65" s="1313">
        <v>0</v>
      </c>
      <c r="E65" s="1313">
        <v>0</v>
      </c>
      <c r="F65" s="1313">
        <v>0</v>
      </c>
    </row>
    <row r="66" spans="1:6">
      <c r="A66" s="1312" t="s">
        <v>55</v>
      </c>
      <c r="B66" s="1312" t="s">
        <v>57</v>
      </c>
      <c r="C66" s="1313">
        <v>0</v>
      </c>
      <c r="D66" s="1313">
        <v>0</v>
      </c>
      <c r="E66" s="1313">
        <v>15</v>
      </c>
      <c r="F66" s="1313">
        <v>798234.79500000004</v>
      </c>
    </row>
    <row r="67" spans="1:6">
      <c r="A67" s="1314" t="s">
        <v>55</v>
      </c>
      <c r="B67" s="1314" t="s">
        <v>58</v>
      </c>
      <c r="C67" s="1313">
        <v>0</v>
      </c>
      <c r="D67" s="1313">
        <v>0</v>
      </c>
      <c r="E67" s="1313">
        <v>0</v>
      </c>
      <c r="F67" s="1313">
        <v>0</v>
      </c>
    </row>
    <row r="68" spans="1:6">
      <c r="A68" s="1307" t="s">
        <v>55</v>
      </c>
      <c r="B68" s="1307" t="s">
        <v>59</v>
      </c>
      <c r="C68" s="1316">
        <v>4</v>
      </c>
      <c r="D68" s="1316">
        <v>172457.92673317899</v>
      </c>
      <c r="E68" s="1316">
        <v>8</v>
      </c>
      <c r="F68" s="1316">
        <v>131653.78400000001</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71212328</v>
      </c>
      <c r="E73" s="447"/>
      <c r="F73" s="326"/>
    </row>
    <row r="74" spans="1:6">
      <c r="A74" s="1312" t="s">
        <v>63</v>
      </c>
      <c r="B74" s="1312" t="s">
        <v>638</v>
      </c>
      <c r="C74" s="1326" t="s">
        <v>640</v>
      </c>
      <c r="D74" s="1327">
        <v>3679843.9879750176</v>
      </c>
      <c r="E74" s="447"/>
      <c r="F74" s="326"/>
    </row>
    <row r="75" spans="1:6">
      <c r="A75" s="1312" t="s">
        <v>64</v>
      </c>
      <c r="B75" s="1312" t="s">
        <v>637</v>
      </c>
      <c r="C75" s="1326" t="s">
        <v>641</v>
      </c>
      <c r="D75" s="1327">
        <v>26413404</v>
      </c>
      <c r="E75" s="447"/>
      <c r="F75" s="326"/>
    </row>
    <row r="76" spans="1:6">
      <c r="A76" s="1312" t="s">
        <v>64</v>
      </c>
      <c r="B76" s="1312" t="s">
        <v>638</v>
      </c>
      <c r="C76" s="1326" t="s">
        <v>642</v>
      </c>
      <c r="D76" s="1327">
        <v>924016.98797501752</v>
      </c>
      <c r="E76" s="447"/>
      <c r="F76" s="326"/>
    </row>
    <row r="77" spans="1:6">
      <c r="A77" s="1312" t="s">
        <v>65</v>
      </c>
      <c r="B77" s="1312" t="s">
        <v>637</v>
      </c>
      <c r="C77" s="1326" t="s">
        <v>643</v>
      </c>
      <c r="D77" s="1327">
        <v>173882961</v>
      </c>
      <c r="E77" s="447"/>
      <c r="F77" s="326"/>
    </row>
    <row r="78" spans="1:6">
      <c r="A78" s="1307" t="s">
        <v>65</v>
      </c>
      <c r="B78" s="1307" t="s">
        <v>638</v>
      </c>
      <c r="C78" s="1307" t="s">
        <v>644</v>
      </c>
      <c r="D78" s="1328">
        <v>27444343</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368808.02404996502</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5147.7858075986869</v>
      </c>
      <c r="C91" s="326"/>
      <c r="D91" s="326"/>
      <c r="E91" s="326"/>
      <c r="F91" s="326"/>
    </row>
    <row r="92" spans="1:6">
      <c r="A92" s="1307" t="s">
        <v>68</v>
      </c>
      <c r="B92" s="1308">
        <v>1639.8132347585397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2245</v>
      </c>
      <c r="C97" s="326"/>
      <c r="D97" s="326"/>
      <c r="E97" s="326"/>
      <c r="F97" s="326"/>
    </row>
    <row r="98" spans="1:6">
      <c r="A98" s="1312" t="s">
        <v>71</v>
      </c>
      <c r="B98" s="1313">
        <v>1</v>
      </c>
      <c r="C98" s="326"/>
      <c r="D98" s="326"/>
      <c r="E98" s="326"/>
      <c r="F98" s="326"/>
    </row>
    <row r="99" spans="1:6">
      <c r="A99" s="1312" t="s">
        <v>72</v>
      </c>
      <c r="B99" s="1313">
        <v>93</v>
      </c>
      <c r="C99" s="326"/>
      <c r="D99" s="326"/>
      <c r="E99" s="326"/>
      <c r="F99" s="326"/>
    </row>
    <row r="100" spans="1:6">
      <c r="A100" s="1312" t="s">
        <v>73</v>
      </c>
      <c r="B100" s="1313">
        <v>500</v>
      </c>
      <c r="C100" s="326"/>
      <c r="D100" s="326"/>
      <c r="E100" s="326"/>
      <c r="F100" s="326"/>
    </row>
    <row r="101" spans="1:6">
      <c r="A101" s="1312" t="s">
        <v>74</v>
      </c>
      <c r="B101" s="1313">
        <v>118</v>
      </c>
      <c r="C101" s="326"/>
      <c r="D101" s="326"/>
      <c r="E101" s="326"/>
      <c r="F101" s="326"/>
    </row>
    <row r="102" spans="1:6">
      <c r="A102" s="1312" t="s">
        <v>75</v>
      </c>
      <c r="B102" s="1313">
        <v>82</v>
      </c>
      <c r="C102" s="326"/>
      <c r="D102" s="326"/>
      <c r="E102" s="326"/>
      <c r="F102" s="326"/>
    </row>
    <row r="103" spans="1:6">
      <c r="A103" s="1312" t="s">
        <v>76</v>
      </c>
      <c r="B103" s="1313">
        <v>110</v>
      </c>
      <c r="C103" s="326"/>
      <c r="D103" s="326"/>
      <c r="E103" s="326"/>
      <c r="F103" s="326"/>
    </row>
    <row r="104" spans="1:6">
      <c r="A104" s="1312" t="s">
        <v>77</v>
      </c>
      <c r="B104" s="1313">
        <v>1792</v>
      </c>
      <c r="C104" s="326"/>
      <c r="D104" s="326"/>
      <c r="E104" s="326"/>
      <c r="F104" s="326"/>
    </row>
    <row r="105" spans="1:6">
      <c r="A105" s="1307" t="s">
        <v>78</v>
      </c>
      <c r="B105" s="1316">
        <v>13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0</v>
      </c>
      <c r="C121" s="1313">
        <v>0</v>
      </c>
      <c r="D121" s="326"/>
      <c r="E121" s="326"/>
      <c r="F121" s="326"/>
    </row>
    <row r="122" spans="1:6">
      <c r="A122" s="1312" t="s">
        <v>86</v>
      </c>
      <c r="B122" s="1313">
        <v>0</v>
      </c>
      <c r="C122" s="1313">
        <v>0</v>
      </c>
      <c r="D122" s="326"/>
      <c r="E122" s="326"/>
      <c r="F122" s="326"/>
    </row>
    <row r="123" spans="1:6">
      <c r="A123" s="1312" t="s">
        <v>87</v>
      </c>
      <c r="B123" s="1313">
        <v>32</v>
      </c>
      <c r="C123" s="1313">
        <v>53</v>
      </c>
      <c r="D123" s="326"/>
      <c r="E123" s="326"/>
      <c r="F123" s="326"/>
    </row>
    <row r="124" spans="1:6" s="43" customFormat="1">
      <c r="A124" s="1314" t="s">
        <v>88</v>
      </c>
      <c r="B124" s="1335">
        <v>0</v>
      </c>
      <c r="C124" s="1335">
        <v>0</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173</v>
      </c>
      <c r="C129" s="326"/>
      <c r="D129" s="326"/>
      <c r="E129" s="326"/>
      <c r="F129" s="326"/>
    </row>
    <row r="130" spans="1:6">
      <c r="A130" s="1312" t="s">
        <v>290</v>
      </c>
      <c r="B130" s="1313">
        <v>0</v>
      </c>
      <c r="C130" s="326"/>
      <c r="D130" s="326"/>
      <c r="E130" s="326"/>
      <c r="F130" s="326"/>
    </row>
    <row r="131" spans="1:6">
      <c r="A131" s="1312" t="s">
        <v>291</v>
      </c>
      <c r="B131" s="1313">
        <v>3</v>
      </c>
      <c r="C131" s="326"/>
      <c r="D131" s="326"/>
      <c r="E131" s="326"/>
      <c r="F131" s="326"/>
    </row>
    <row r="132" spans="1:6">
      <c r="A132" s="1307" t="s">
        <v>292</v>
      </c>
      <c r="B132" s="1308">
        <v>33</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65563.885568112455</v>
      </c>
      <c r="C3" s="43" t="s">
        <v>169</v>
      </c>
      <c r="D3" s="43"/>
      <c r="E3" s="154"/>
      <c r="F3" s="43"/>
      <c r="G3" s="43"/>
      <c r="H3" s="43"/>
      <c r="I3" s="43"/>
      <c r="J3" s="43"/>
      <c r="K3" s="96"/>
    </row>
    <row r="4" spans="1:11">
      <c r="A4" s="354" t="s">
        <v>170</v>
      </c>
      <c r="B4" s="49">
        <f>IF(ISERROR('SEAP template'!B78+'SEAP template'!C78),0,'SEAP template'!B78+'SEAP template'!C78)</f>
        <v>22830.999042357224</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3802.2935294117656</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0.20203594306262565</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5431.8478991596639</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22919.142857142859</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0.23700048178140323</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1025.393397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1025.393397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0.20203594306262565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207.16632197308431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19928.68571174</v>
      </c>
      <c r="C5" s="17">
        <f>IF(ISERROR('Eigen informatie GS &amp; warmtenet'!B59),0,'Eigen informatie GS &amp; warmtenet'!B59)</f>
        <v>0</v>
      </c>
      <c r="D5" s="30">
        <f>(SUM(HH_hh_gas_kWh,HH_rest_gas_kWh)/1000)*0.903</f>
        <v>54557.893275893053</v>
      </c>
      <c r="E5" s="17">
        <f>B32*B41</f>
        <v>1318.6082641120731</v>
      </c>
      <c r="F5" s="17">
        <f>B36*B45</f>
        <v>28886.230754925902</v>
      </c>
      <c r="G5" s="18"/>
      <c r="H5" s="17"/>
      <c r="I5" s="17"/>
      <c r="J5" s="17">
        <f>B35*B44+C35*C44</f>
        <v>164.62578846794199</v>
      </c>
      <c r="K5" s="17"/>
      <c r="L5" s="17"/>
      <c r="M5" s="17"/>
      <c r="N5" s="17">
        <f>B34*B43+C34*C43</f>
        <v>7576.6318360153673</v>
      </c>
      <c r="O5" s="17">
        <f>B52*B53*B54</f>
        <v>448.37455758146922</v>
      </c>
      <c r="P5" s="17">
        <f>B60*B61*B62/1000-B60*B61*B62/1000/B63</f>
        <v>684.70735499952639</v>
      </c>
    </row>
    <row r="6" spans="1:16">
      <c r="A6" s="16" t="s">
        <v>603</v>
      </c>
      <c r="B6" s="780">
        <f>kWh_PV_kleiner_dan_10kW</f>
        <v>5147.7858075986869</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25076.471519338687</v>
      </c>
      <c r="C8" s="21">
        <f>C5</f>
        <v>0</v>
      </c>
      <c r="D8" s="21">
        <f>D5</f>
        <v>54557.893275893053</v>
      </c>
      <c r="E8" s="21">
        <f>E5</f>
        <v>1318.6082641120731</v>
      </c>
      <c r="F8" s="21">
        <f>F5</f>
        <v>28886.230754925902</v>
      </c>
      <c r="G8" s="21"/>
      <c r="H8" s="21"/>
      <c r="I8" s="21"/>
      <c r="J8" s="21">
        <f>J5</f>
        <v>164.62578846794199</v>
      </c>
      <c r="K8" s="21"/>
      <c r="L8" s="21">
        <f>L5</f>
        <v>0</v>
      </c>
      <c r="M8" s="21">
        <f>M5</f>
        <v>0</v>
      </c>
      <c r="N8" s="21">
        <f>N5</f>
        <v>7576.6318360153673</v>
      </c>
      <c r="O8" s="21">
        <f>O5</f>
        <v>448.37455758146922</v>
      </c>
      <c r="P8" s="21">
        <f>P5</f>
        <v>684.70735499952639</v>
      </c>
    </row>
    <row r="9" spans="1:16">
      <c r="B9" s="19"/>
      <c r="C9" s="19"/>
      <c r="D9" s="254"/>
      <c r="E9" s="19"/>
      <c r="F9" s="19"/>
      <c r="G9" s="19"/>
      <c r="H9" s="19"/>
      <c r="I9" s="19"/>
      <c r="J9" s="19"/>
      <c r="K9" s="19"/>
      <c r="L9" s="19"/>
      <c r="M9" s="19"/>
      <c r="N9" s="19"/>
      <c r="O9" s="19"/>
      <c r="P9" s="19"/>
    </row>
    <row r="10" spans="1:16">
      <c r="A10" s="24" t="s">
        <v>213</v>
      </c>
      <c r="B10" s="25">
        <f ca="1">'EF ele_warmte'!B12</f>
        <v>0.20203594306262565</v>
      </c>
      <c r="C10" s="25">
        <f ca="1">'EF ele_warmte'!B22</f>
        <v>0.23700048178140323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5066.3485720926647</v>
      </c>
      <c r="C12" s="23">
        <f ca="1">C10*C8</f>
        <v>0</v>
      </c>
      <c r="D12" s="23">
        <f>D8*D10</f>
        <v>11020.694441730397</v>
      </c>
      <c r="E12" s="23">
        <f>E10*E8</f>
        <v>299.32407595344063</v>
      </c>
      <c r="F12" s="23">
        <f>F10*F8</f>
        <v>7712.6236115652164</v>
      </c>
      <c r="G12" s="23"/>
      <c r="H12" s="23"/>
      <c r="I12" s="23"/>
      <c r="J12" s="23">
        <f>J10*J8</f>
        <v>58.277529117651461</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5758</v>
      </c>
      <c r="C26" s="36"/>
      <c r="D26" s="225"/>
    </row>
    <row r="27" spans="1:5" s="15" customFormat="1">
      <c r="A27" s="227" t="s">
        <v>866</v>
      </c>
      <c r="B27" s="37">
        <f>SUM(HH_hh_gas_aantal,HH_rest_gas_aantal)</f>
        <v>3806</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3615.7</v>
      </c>
      <c r="C31" s="34" t="s">
        <v>110</v>
      </c>
      <c r="D31" s="171"/>
    </row>
    <row r="32" spans="1:5">
      <c r="A32" s="168" t="s">
        <v>72</v>
      </c>
      <c r="B32" s="33">
        <f>IF((B21*($B$26-($B$27-0.05*$B$27)-$B$60))&lt;0,0,(B21*($B$26-($B$27-0.05*$B$27)-$B$60)))</f>
        <v>32.977550246910553</v>
      </c>
      <c r="C32" s="34" t="s">
        <v>110</v>
      </c>
      <c r="D32" s="171"/>
    </row>
    <row r="33" spans="1:6">
      <c r="A33" s="168" t="s">
        <v>73</v>
      </c>
      <c r="B33" s="33">
        <f>IF((B22*($B$26-($B$27-0.05*$B$27)-$B$60))&lt;0,0,B22*($B$26-($B$27-0.05*$B$27)-$B$60))</f>
        <v>535.49010325469783</v>
      </c>
      <c r="C33" s="34" t="s">
        <v>110</v>
      </c>
      <c r="D33" s="171"/>
    </row>
    <row r="34" spans="1:6">
      <c r="A34" s="168" t="s">
        <v>74</v>
      </c>
      <c r="B34" s="33">
        <f>IF((B24*($B$26-($B$27-0.05*$B$27)-$B$60))&lt;0,0,B24*($B$26-($B$27-0.05*$B$27)-$B$60))</f>
        <v>102.6606189710061</v>
      </c>
      <c r="C34" s="33">
        <f>B26*C24</f>
        <v>1179.8484014060814</v>
      </c>
      <c r="D34" s="230"/>
    </row>
    <row r="35" spans="1:6">
      <c r="A35" s="168" t="s">
        <v>76</v>
      </c>
      <c r="B35" s="33">
        <f>IF((B19*($B$26-($B$27-0.05*$B$27)-$B$60))&lt;0,0,B19*($B$26-($B$27-0.05*$B$27)-$B$60))</f>
        <v>14.335262471700272</v>
      </c>
      <c r="C35" s="33">
        <f>B35/2</f>
        <v>7.167631235850136</v>
      </c>
      <c r="D35" s="230"/>
    </row>
    <row r="36" spans="1:6">
      <c r="A36" s="168" t="s">
        <v>77</v>
      </c>
      <c r="B36" s="33">
        <f>IF((B18*($B$26-($B$27-0.05*$B$27)-$B$60))&lt;0,0,B18*($B$26-($B$27-0.05*$B$27)-$B$60))</f>
        <v>1391.836465055685</v>
      </c>
      <c r="C36" s="34" t="s">
        <v>110</v>
      </c>
      <c r="D36" s="171"/>
    </row>
    <row r="37" spans="1:6">
      <c r="A37" s="168" t="s">
        <v>78</v>
      </c>
      <c r="B37" s="33">
        <f>B60</f>
        <v>65</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226</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65</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15047.91533</v>
      </c>
      <c r="C5" s="17">
        <f>IF(ISERROR('Eigen informatie GS &amp; warmtenet'!B60),0,'Eigen informatie GS &amp; warmtenet'!B60)</f>
        <v>0</v>
      </c>
      <c r="D5" s="30">
        <f>SUM(D6:D12)</f>
        <v>15570.175778364406</v>
      </c>
      <c r="E5" s="17">
        <f>SUM(E6:E12)</f>
        <v>72.39639685628471</v>
      </c>
      <c r="F5" s="17">
        <f>SUM(F6:F12)</f>
        <v>3152.7791527759045</v>
      </c>
      <c r="G5" s="18"/>
      <c r="H5" s="17"/>
      <c r="I5" s="17"/>
      <c r="J5" s="17">
        <f>SUM(J6:J12)</f>
        <v>2.1839458262896492E-2</v>
      </c>
      <c r="K5" s="17"/>
      <c r="L5" s="17"/>
      <c r="M5" s="17"/>
      <c r="N5" s="17">
        <f>SUM(N6:N12)</f>
        <v>844.07812492372204</v>
      </c>
      <c r="O5" s="17">
        <f>B38*B39*B40</f>
        <v>0</v>
      </c>
      <c r="P5" s="17">
        <f>B46*B47*B48/1000-B46*B47*B48/1000/B49</f>
        <v>157.61741491948504</v>
      </c>
      <c r="R5" s="32"/>
    </row>
    <row r="6" spans="1:18">
      <c r="A6" s="32" t="s">
        <v>53</v>
      </c>
      <c r="B6" s="37">
        <f>B26</f>
        <v>3041.778358</v>
      </c>
      <c r="C6" s="33"/>
      <c r="D6" s="37">
        <f>IF(ISERROR(TER_kantoor_gas_kWh/1000),0,TER_kantoor_gas_kWh/1000)*0.903</f>
        <v>5980.8621027096524</v>
      </c>
      <c r="E6" s="33">
        <f>$C$26*'E Balans VL '!I12/100/3.6*1000000</f>
        <v>0.72476612727461476</v>
      </c>
      <c r="F6" s="33">
        <f>$C$26*('E Balans VL '!L12+'E Balans VL '!N12)/100/3.6*1000000</f>
        <v>264.20824810616654</v>
      </c>
      <c r="G6" s="34"/>
      <c r="H6" s="33"/>
      <c r="I6" s="33"/>
      <c r="J6" s="33">
        <f>$C$26*('E Balans VL '!D12+'E Balans VL '!E12)/100/3.6*1000000</f>
        <v>0</v>
      </c>
      <c r="K6" s="33"/>
      <c r="L6" s="33"/>
      <c r="M6" s="33"/>
      <c r="N6" s="33">
        <f>$C$26*'E Balans VL '!Y12/100/3.6*1000000</f>
        <v>4.0657623208647538</v>
      </c>
      <c r="O6" s="33"/>
      <c r="P6" s="33"/>
      <c r="R6" s="32"/>
    </row>
    <row r="7" spans="1:18">
      <c r="A7" s="32" t="s">
        <v>52</v>
      </c>
      <c r="B7" s="37">
        <f t="shared" ref="B7:B12" si="0">B27</f>
        <v>2738.8126929999999</v>
      </c>
      <c r="C7" s="33"/>
      <c r="D7" s="37">
        <f>IF(ISERROR(TER_horeca_gas_kWh/1000),0,TER_horeca_gas_kWh/1000)*0.903</f>
        <v>2386.3187184451531</v>
      </c>
      <c r="E7" s="33">
        <f>$C$27*'E Balans VL '!I9/100/3.6*1000000</f>
        <v>0</v>
      </c>
      <c r="F7" s="33">
        <f>$C$27*('E Balans VL '!L9+'E Balans VL '!N9)/100/3.6*1000000</f>
        <v>223.16366905001752</v>
      </c>
      <c r="G7" s="34"/>
      <c r="H7" s="33"/>
      <c r="I7" s="33"/>
      <c r="J7" s="33">
        <f>$C$27*('E Balans VL '!D9+'E Balans VL '!E9)/100/3.6*1000000</f>
        <v>0</v>
      </c>
      <c r="K7" s="33"/>
      <c r="L7" s="33"/>
      <c r="M7" s="33"/>
      <c r="N7" s="33">
        <f>$C$27*'E Balans VL '!Y9/100/3.6*1000000</f>
        <v>0.75860012652439379</v>
      </c>
      <c r="O7" s="33"/>
      <c r="P7" s="33"/>
      <c r="R7" s="32"/>
    </row>
    <row r="8" spans="1:18">
      <c r="A8" s="6" t="s">
        <v>51</v>
      </c>
      <c r="B8" s="37">
        <f t="shared" si="0"/>
        <v>5464.0449119999994</v>
      </c>
      <c r="C8" s="33"/>
      <c r="D8" s="37">
        <f>IF(ISERROR(TER_handel_gas_kWh/1000),0,TER_handel_gas_kWh/1000)*0.903</f>
        <v>2688.4592020383288</v>
      </c>
      <c r="E8" s="33">
        <f>$C$28*'E Balans VL '!I13/100/3.6*1000000</f>
        <v>43.677469176075874</v>
      </c>
      <c r="F8" s="33">
        <f>$C$28*('E Balans VL '!L13+'E Balans VL '!N13)/100/3.6*1000000</f>
        <v>542.81889552225846</v>
      </c>
      <c r="G8" s="34"/>
      <c r="H8" s="33"/>
      <c r="I8" s="33"/>
      <c r="J8" s="33">
        <f>$C$28*('E Balans VL '!D13+'E Balans VL '!E13)/100/3.6*1000000</f>
        <v>0</v>
      </c>
      <c r="K8" s="33"/>
      <c r="L8" s="33"/>
      <c r="M8" s="33"/>
      <c r="N8" s="33">
        <f>$C$28*'E Balans VL '!Y13/100/3.6*1000000</f>
        <v>2.0411460162343804</v>
      </c>
      <c r="O8" s="33"/>
      <c r="P8" s="33"/>
      <c r="R8" s="32"/>
    </row>
    <row r="9" spans="1:18">
      <c r="A9" s="32" t="s">
        <v>50</v>
      </c>
      <c r="B9" s="37">
        <f t="shared" si="0"/>
        <v>1496.585797</v>
      </c>
      <c r="C9" s="33"/>
      <c r="D9" s="37">
        <f>IF(ISERROR(TER_gezond_gas_kWh/1000),0,TER_gezond_gas_kWh/1000)*0.903</f>
        <v>1701.7275512163362</v>
      </c>
      <c r="E9" s="33">
        <f>$C$29*'E Balans VL '!I10/100/3.6*1000000</f>
        <v>0</v>
      </c>
      <c r="F9" s="33">
        <f>$C$29*('E Balans VL '!L10+'E Balans VL '!N10)/100/3.6*1000000</f>
        <v>136.43818330471407</v>
      </c>
      <c r="G9" s="34"/>
      <c r="H9" s="33"/>
      <c r="I9" s="33"/>
      <c r="J9" s="33">
        <f>$C$29*('E Balans VL '!D10+'E Balans VL '!E10)/100/3.6*1000000</f>
        <v>0</v>
      </c>
      <c r="K9" s="33"/>
      <c r="L9" s="33"/>
      <c r="M9" s="33"/>
      <c r="N9" s="33">
        <f>$C$29*'E Balans VL '!Y10/100/3.6*1000000</f>
        <v>10.938700995676701</v>
      </c>
      <c r="O9" s="33"/>
      <c r="P9" s="33"/>
      <c r="R9" s="32"/>
    </row>
    <row r="10" spans="1:18">
      <c r="A10" s="32" t="s">
        <v>49</v>
      </c>
      <c r="B10" s="37">
        <f t="shared" si="0"/>
        <v>2159.2927239999999</v>
      </c>
      <c r="C10" s="33"/>
      <c r="D10" s="37">
        <f>IF(ISERROR(TER_ander_gas_kWh/1000),0,TER_ander_gas_kWh/1000)*0.903</f>
        <v>1700.5808397379526</v>
      </c>
      <c r="E10" s="33">
        <f>$C$30*'E Balans VL '!I14/100/3.6*1000000</f>
        <v>27.994161552934223</v>
      </c>
      <c r="F10" s="33">
        <f>$C$30*('E Balans VL '!L14+'E Balans VL '!N14)/100/3.6*1000000</f>
        <v>1980.3745983628103</v>
      </c>
      <c r="G10" s="34"/>
      <c r="H10" s="33"/>
      <c r="I10" s="33"/>
      <c r="J10" s="33">
        <f>$C$30*('E Balans VL '!D14+'E Balans VL '!E14)/100/3.6*1000000</f>
        <v>2.1839458262896492E-2</v>
      </c>
      <c r="K10" s="33"/>
      <c r="L10" s="33"/>
      <c r="M10" s="33"/>
      <c r="N10" s="33">
        <f>$C$30*'E Balans VL '!Y14/100/3.6*1000000</f>
        <v>825.80971378162428</v>
      </c>
      <c r="O10" s="33"/>
      <c r="P10" s="33"/>
      <c r="R10" s="32"/>
    </row>
    <row r="11" spans="1:18">
      <c r="A11" s="32" t="s">
        <v>54</v>
      </c>
      <c r="B11" s="37">
        <f t="shared" si="0"/>
        <v>147.400846</v>
      </c>
      <c r="C11" s="33"/>
      <c r="D11" s="37">
        <f>IF(ISERROR(TER_onderwijs_gas_kWh/1000),0,TER_onderwijs_gas_kWh/1000)*0.903</f>
        <v>1112.2273642169835</v>
      </c>
      <c r="E11" s="33">
        <f>$C$31*'E Balans VL '!I11/100/3.6*1000000</f>
        <v>0</v>
      </c>
      <c r="F11" s="33">
        <f>$C$31*('E Balans VL '!L11+'E Balans VL '!N11)/100/3.6*1000000</f>
        <v>5.7755584299376741</v>
      </c>
      <c r="G11" s="34"/>
      <c r="H11" s="33"/>
      <c r="I11" s="33"/>
      <c r="J11" s="33">
        <f>$C$31*('E Balans VL '!D11+'E Balans VL '!E11)/100/3.6*1000000</f>
        <v>0</v>
      </c>
      <c r="K11" s="33"/>
      <c r="L11" s="33"/>
      <c r="M11" s="33"/>
      <c r="N11" s="33">
        <f>$C$31*'E Balans VL '!Y11/100/3.6*1000000</f>
        <v>0.46420168279763441</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energieproductie'!N42+'lokale energieproductie'!N35</f>
        <v>249.75</v>
      </c>
      <c r="C13" s="243">
        <f ca="1">'lokale energieproductie'!O42+'lokale energieproductie'!O35</f>
        <v>356.78571428571433</v>
      </c>
      <c r="D13" s="304">
        <f ca="1">('lokale energieproductie'!P35+'lokale energieproductie'!P42)*(-1)</f>
        <v>-713.57142857142867</v>
      </c>
      <c r="E13" s="244"/>
      <c r="F13" s="304">
        <f ca="1">('lokale energieproductie'!S35+'lokale energieproductie'!S42)*(-1)</f>
        <v>0</v>
      </c>
      <c r="G13" s="245"/>
      <c r="H13" s="244"/>
      <c r="I13" s="244"/>
      <c r="J13" s="244"/>
      <c r="K13" s="244"/>
      <c r="L13" s="304">
        <f ca="1">('lokale energieproductie'!U35+'lokale energieproductie'!T35+'lokale energieproductie'!U42+'lokale energieproductie'!T42)*(-1)</f>
        <v>0</v>
      </c>
      <c r="M13" s="244"/>
      <c r="N13" s="304">
        <f ca="1">('lokale energieproductie'!Q35+'lokale energieproductie'!R35+'lokale energieproductie'!V35+'lokale energieproductie'!Q42+'lokale energieproductie'!R42+'lokale energieproductie'!V42)*(-1)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15297.66533</v>
      </c>
      <c r="C16" s="21">
        <f t="shared" ca="1" si="1"/>
        <v>356.78571428571433</v>
      </c>
      <c r="D16" s="21">
        <f t="shared" ca="1" si="1"/>
        <v>14856.604349792977</v>
      </c>
      <c r="E16" s="21">
        <f t="shared" si="1"/>
        <v>72.39639685628471</v>
      </c>
      <c r="F16" s="21">
        <f t="shared" ca="1" si="1"/>
        <v>3152.7791527759045</v>
      </c>
      <c r="G16" s="21">
        <f t="shared" si="1"/>
        <v>0</v>
      </c>
      <c r="H16" s="21">
        <f t="shared" si="1"/>
        <v>0</v>
      </c>
      <c r="I16" s="21">
        <f t="shared" si="1"/>
        <v>0</v>
      </c>
      <c r="J16" s="21">
        <f t="shared" si="1"/>
        <v>2.1839458262896492E-2</v>
      </c>
      <c r="K16" s="21">
        <f t="shared" si="1"/>
        <v>0</v>
      </c>
      <c r="L16" s="21">
        <f t="shared" ca="1" si="1"/>
        <v>0</v>
      </c>
      <c r="M16" s="21">
        <f t="shared" si="1"/>
        <v>0</v>
      </c>
      <c r="N16" s="21">
        <f t="shared" ca="1" si="1"/>
        <v>844.07812492372204</v>
      </c>
      <c r="O16" s="21">
        <f>O5</f>
        <v>0</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0.20203594306262565</v>
      </c>
      <c r="C18" s="25">
        <f ca="1">'EF ele_warmte'!B22</f>
        <v>0.23700048178140323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3090.6782416029823</v>
      </c>
      <c r="C20" s="23">
        <f t="shared" ref="C20:P20" ca="1" si="2">C16*C18</f>
        <v>84.558386178436379</v>
      </c>
      <c r="D20" s="23">
        <f t="shared" ca="1" si="2"/>
        <v>3001.0340786581814</v>
      </c>
      <c r="E20" s="23">
        <f t="shared" si="2"/>
        <v>16.433982086376631</v>
      </c>
      <c r="F20" s="23">
        <f t="shared" ca="1" si="2"/>
        <v>841.79203379116655</v>
      </c>
      <c r="G20" s="23">
        <f t="shared" si="2"/>
        <v>0</v>
      </c>
      <c r="H20" s="23">
        <f t="shared" si="2"/>
        <v>0</v>
      </c>
      <c r="I20" s="23">
        <f t="shared" si="2"/>
        <v>0</v>
      </c>
      <c r="J20" s="23">
        <f t="shared" si="2"/>
        <v>7.7311682250653579E-3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3041.778358</v>
      </c>
      <c r="C26" s="39">
        <f>IF(ISERROR(B26*3.6/1000000/'E Balans VL '!Z12*100),0,B26*3.6/1000000/'E Balans VL '!Z12*100)</f>
        <v>8.7268334844144146E-2</v>
      </c>
      <c r="D26" s="233" t="s">
        <v>841</v>
      </c>
      <c r="F26" s="6"/>
    </row>
    <row r="27" spans="1:18" ht="30">
      <c r="A27" s="228" t="s">
        <v>52</v>
      </c>
      <c r="B27" s="33">
        <f>IF(ISERROR(TER_horeca_ele_kWh/1000),0,TER_horeca_ele_kWh/1000)</f>
        <v>2738.8126929999999</v>
      </c>
      <c r="C27" s="39">
        <f>IF(ISERROR(B27*3.6/1000000/'E Balans VL '!Z9*100),0,B27*3.6/1000000/'E Balans VL '!Z9*100)</f>
        <v>0.20064638752626562</v>
      </c>
      <c r="D27" s="233" t="s">
        <v>841</v>
      </c>
      <c r="F27" s="6"/>
    </row>
    <row r="28" spans="1:18" ht="30">
      <c r="A28" s="168" t="s">
        <v>51</v>
      </c>
      <c r="B28" s="33">
        <f>IF(ISERROR(TER_handel_ele_kWh/1000),0,TER_handel_ele_kWh/1000)</f>
        <v>5464.0449119999994</v>
      </c>
      <c r="C28" s="39">
        <f>IF(ISERROR(B28*3.6/1000000/'E Balans VL '!Z13*100),0,B28*3.6/1000000/'E Balans VL '!Z13*100)</f>
        <v>0.16884359643678476</v>
      </c>
      <c r="D28" s="233" t="s">
        <v>841</v>
      </c>
      <c r="F28" s="6"/>
    </row>
    <row r="29" spans="1:18" ht="30">
      <c r="A29" s="228" t="s">
        <v>50</v>
      </c>
      <c r="B29" s="33">
        <f>IF(ISERROR(TER_gezond_ele_kWh/1000),0,TER_gezond_ele_kWh/1000)</f>
        <v>1496.585797</v>
      </c>
      <c r="C29" s="39">
        <f>IF(ISERROR(B29*3.6/1000000/'E Balans VL '!Z10*100),0,B29*3.6/1000000/'E Balans VL '!Z10*100)</f>
        <v>0.14667461054471753</v>
      </c>
      <c r="D29" s="233" t="s">
        <v>841</v>
      </c>
      <c r="F29" s="6"/>
    </row>
    <row r="30" spans="1:18" ht="30">
      <c r="A30" s="228" t="s">
        <v>49</v>
      </c>
      <c r="B30" s="33">
        <f>IF(ISERROR(TER_ander_ele_kWh/1000),0,TER_ander_ele_kWh/1000)</f>
        <v>2159.2927239999999</v>
      </c>
      <c r="C30" s="39">
        <f>IF(ISERROR(B30*3.6/1000000/'E Balans VL '!Z14*100),0,B30*3.6/1000000/'E Balans VL '!Z14*100)</f>
        <v>8.9444880257596532E-2</v>
      </c>
      <c r="D30" s="233" t="s">
        <v>841</v>
      </c>
      <c r="F30" s="6"/>
    </row>
    <row r="31" spans="1:18" ht="30">
      <c r="A31" s="228" t="s">
        <v>54</v>
      </c>
      <c r="B31" s="33">
        <f>IF(ISERROR(TER_onderwijs_ele_kWh/1000),0,TER_onderwijs_ele_kWh/1000)</f>
        <v>147.400846</v>
      </c>
      <c r="C31" s="39">
        <f>IF(ISERROR(B31*3.6/1000000/'E Balans VL '!Z11*100),0,B31*3.6/1000000/'E Balans VL '!Z11*100)</f>
        <v>4.5291798603878802E-2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0</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3</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20386.113771999997</v>
      </c>
      <c r="C5" s="17">
        <f>IF(ISERROR('Eigen informatie GS &amp; warmtenet'!B61),0,'Eigen informatie GS &amp; warmtenet'!B61)</f>
        <v>0</v>
      </c>
      <c r="D5" s="30">
        <f>SUM(D6:D15)</f>
        <v>19988.895960991918</v>
      </c>
      <c r="E5" s="17">
        <f>SUM(E6:E15)</f>
        <v>11.402663965349994</v>
      </c>
      <c r="F5" s="17">
        <f>SUM(F6:F15)</f>
        <v>1510.5655444631404</v>
      </c>
      <c r="G5" s="18"/>
      <c r="H5" s="17"/>
      <c r="I5" s="17"/>
      <c r="J5" s="17">
        <f>SUM(J6:J15)</f>
        <v>4.7231580044634276</v>
      </c>
      <c r="K5" s="17"/>
      <c r="L5" s="17"/>
      <c r="M5" s="17"/>
      <c r="N5" s="17">
        <f>SUM(N6:N15)</f>
        <v>144.75497273873054</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234.47887499999999</v>
      </c>
      <c r="C8" s="33"/>
      <c r="D8" s="37">
        <f>IF( ISERROR(IND_metaal_Gas_kWH/1000),0,IND_metaal_Gas_kWH/1000)*0.903</f>
        <v>175.46854795338942</v>
      </c>
      <c r="E8" s="33">
        <f>C30*'E Balans VL '!I18/100/3.6*1000000</f>
        <v>1.2781809163575875</v>
      </c>
      <c r="F8" s="33">
        <f>C30*'E Balans VL '!L18/100/3.6*1000000+C30*'E Balans VL '!N18/100/3.6*1000000</f>
        <v>15.100457460129922</v>
      </c>
      <c r="G8" s="34"/>
      <c r="H8" s="33"/>
      <c r="I8" s="33"/>
      <c r="J8" s="40">
        <f>C30*'E Balans VL '!D18/100/3.6*1000000+C30*'E Balans VL '!E18/100/3.6*1000000</f>
        <v>0.19206679998488496</v>
      </c>
      <c r="K8" s="33"/>
      <c r="L8" s="33"/>
      <c r="M8" s="33"/>
      <c r="N8" s="33">
        <f>C30*'E Balans VL '!Y18/100/3.6*1000000</f>
        <v>5.0657611514618752</v>
      </c>
      <c r="O8" s="33"/>
      <c r="P8" s="33"/>
      <c r="R8" s="32"/>
    </row>
    <row r="9" spans="1:18">
      <c r="A9" s="6" t="s">
        <v>32</v>
      </c>
      <c r="B9" s="37">
        <f t="shared" si="0"/>
        <v>2275.7117400000002</v>
      </c>
      <c r="C9" s="33"/>
      <c r="D9" s="37">
        <f>IF( ISERROR(IND_andere_gas_kWh/1000),0,IND_andere_gas_kWh/1000)*0.903</f>
        <v>2311.0297851356436</v>
      </c>
      <c r="E9" s="33">
        <f>C31*'E Balans VL '!I19/100/3.6*1000000</f>
        <v>7.346385051693793</v>
      </c>
      <c r="F9" s="33">
        <f>C31*'E Balans VL '!L19/100/3.6*1000000+C31*'E Balans VL '!N19/100/3.6*1000000</f>
        <v>1471.4930755609303</v>
      </c>
      <c r="G9" s="34"/>
      <c r="H9" s="33"/>
      <c r="I9" s="33"/>
      <c r="J9" s="40">
        <f>C31*'E Balans VL '!D19/100/3.6*1000000+C31*'E Balans VL '!E19/100/3.6*1000000</f>
        <v>0</v>
      </c>
      <c r="K9" s="33"/>
      <c r="L9" s="33"/>
      <c r="M9" s="33"/>
      <c r="N9" s="33">
        <f>C31*'E Balans VL '!Y19/100/3.6*1000000</f>
        <v>91.958882735805517</v>
      </c>
      <c r="O9" s="33"/>
      <c r="P9" s="33"/>
      <c r="R9" s="32"/>
    </row>
    <row r="10" spans="1:18">
      <c r="A10" s="6" t="s">
        <v>40</v>
      </c>
      <c r="B10" s="37">
        <f t="shared" si="0"/>
        <v>768.22269299999994</v>
      </c>
      <c r="C10" s="33"/>
      <c r="D10" s="37">
        <f>IF( ISERROR(IND_voed_gas_kWh/1000),0,IND_voed_gas_kWh/1000)*0.903</f>
        <v>657.92234388857878</v>
      </c>
      <c r="E10" s="33">
        <f>C32*'E Balans VL '!I20/100/3.6*1000000</f>
        <v>1.6103830355977435</v>
      </c>
      <c r="F10" s="33">
        <f>C32*'E Balans VL '!L20/100/3.6*1000000+C32*'E Balans VL '!N20/100/3.6*1000000</f>
        <v>14.967632942895682</v>
      </c>
      <c r="G10" s="34"/>
      <c r="H10" s="33"/>
      <c r="I10" s="33"/>
      <c r="J10" s="40">
        <f>C32*'E Balans VL '!D20/100/3.6*1000000+C32*'E Balans VL '!E20/100/3.6*1000000</f>
        <v>0</v>
      </c>
      <c r="K10" s="33"/>
      <c r="L10" s="33"/>
      <c r="M10" s="33"/>
      <c r="N10" s="33">
        <f>C32*'E Balans VL '!Y20/100/3.6*1000000</f>
        <v>30.557768902092157</v>
      </c>
      <c r="O10" s="33"/>
      <c r="P10" s="33"/>
      <c r="R10" s="32"/>
    </row>
    <row r="11" spans="1:18">
      <c r="A11" s="6" t="s">
        <v>39</v>
      </c>
      <c r="B11" s="37">
        <f t="shared" si="0"/>
        <v>16.59225</v>
      </c>
      <c r="C11" s="33"/>
      <c r="D11" s="37">
        <f>IF( ISERROR(IND_textiel_gas_kWh/1000),0,IND_textiel_gas_kWh/1000)*0.903</f>
        <v>0</v>
      </c>
      <c r="E11" s="33">
        <f>C33*'E Balans VL '!I21/100/3.6*1000000</f>
        <v>1.4257221654088345E-2</v>
      </c>
      <c r="F11" s="33">
        <f>C33*'E Balans VL '!L21/100/3.6*1000000+C33*'E Balans VL '!N21/100/3.6*1000000</f>
        <v>0.34787374205004079</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30.698004000000001</v>
      </c>
      <c r="C12" s="33"/>
      <c r="D12" s="37">
        <f>IF( ISERROR(IND_min_gas_kWh/1000),0,IND_min_gas_kWh/1000)*0.903</f>
        <v>51.45866677807463</v>
      </c>
      <c r="E12" s="33">
        <f>C34*'E Balans VL '!I22/100/3.6*1000000</f>
        <v>0.50237464314875291</v>
      </c>
      <c r="F12" s="33">
        <f>C34*'E Balans VL '!L22/100/3.6*1000000+C34*'E Balans VL '!N22/100/3.6*1000000</f>
        <v>4.6855692186389728</v>
      </c>
      <c r="G12" s="34"/>
      <c r="H12" s="33"/>
      <c r="I12" s="33"/>
      <c r="J12" s="40">
        <f>C34*'E Balans VL '!D22/100/3.6*1000000+C34*'E Balans VL '!E22/100/3.6*1000000</f>
        <v>1.0985761354933308</v>
      </c>
      <c r="K12" s="33"/>
      <c r="L12" s="33"/>
      <c r="M12" s="33"/>
      <c r="N12" s="33">
        <f>C34*'E Balans VL '!Y22/100/3.6*1000000</f>
        <v>16.823157722246087</v>
      </c>
      <c r="O12" s="33"/>
      <c r="P12" s="33"/>
      <c r="R12" s="32"/>
    </row>
    <row r="13" spans="1:18">
      <c r="A13" s="6" t="s">
        <v>38</v>
      </c>
      <c r="B13" s="37">
        <f t="shared" si="0"/>
        <v>17049.351001999999</v>
      </c>
      <c r="C13" s="33"/>
      <c r="D13" s="37">
        <f>IF( ISERROR(IND_papier_gas_kWh/1000),0,IND_papier_gas_kWh/1000)*0.903</f>
        <v>16736.12638707539</v>
      </c>
      <c r="E13" s="33">
        <f>C35*'E Balans VL '!I23/100/3.6*1000000</f>
        <v>0</v>
      </c>
      <c r="F13" s="33">
        <f>C35*'E Balans VL '!L23/100/3.6*1000000+C35*'E Balans VL '!N23/100/3.6*1000000</f>
        <v>2.2838143176127979</v>
      </c>
      <c r="G13" s="34"/>
      <c r="H13" s="33"/>
      <c r="I13" s="33"/>
      <c r="J13" s="40">
        <f>C35*'E Balans VL '!D23/100/3.6*1000000+C35*'E Balans VL '!E23/100/3.6*1000000</f>
        <v>3.37246890221118</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11.059208</v>
      </c>
      <c r="C15" s="33"/>
      <c r="D15" s="37">
        <f>IF( ISERROR(IND_rest_gas_kWh/1000),0,IND_rest_gas_kWh/1000)*0.903</f>
        <v>56.890230160844851</v>
      </c>
      <c r="E15" s="33">
        <f>C37*'E Balans VL '!I15/100/3.6*1000000</f>
        <v>0.65108309689802901</v>
      </c>
      <c r="F15" s="33">
        <f>C37*'E Balans VL '!L15/100/3.6*1000000+C37*'E Balans VL '!N15/100/3.6*1000000</f>
        <v>1.6871212208827477</v>
      </c>
      <c r="G15" s="34"/>
      <c r="H15" s="33"/>
      <c r="I15" s="33"/>
      <c r="J15" s="40">
        <f>C37*'E Balans VL '!D15/100/3.6*1000000+C37*'E Balans VL '!E15/100/3.6*1000000</f>
        <v>6.0046166774031982E-2</v>
      </c>
      <c r="K15" s="33"/>
      <c r="L15" s="33"/>
      <c r="M15" s="33"/>
      <c r="N15" s="33">
        <f>C37*'E Balans VL '!Y15/100/3.6*1000000</f>
        <v>0.3494022271248991</v>
      </c>
      <c r="O15" s="33"/>
      <c r="P15" s="33"/>
      <c r="R15" s="32"/>
    </row>
    <row r="16" spans="1:18">
      <c r="A16" s="16" t="s">
        <v>473</v>
      </c>
      <c r="B16" s="243">
        <f>'lokale energieproductie'!N41+'lokale energieproductie'!N34</f>
        <v>0</v>
      </c>
      <c r="C16" s="243">
        <f>'lokale energieproductie'!O41+'lokale energieproductie'!O34</f>
        <v>0</v>
      </c>
      <c r="D16" s="304">
        <f>('lokale energieproductie'!P34+'lokale energieproductie'!P41)*(-1)</f>
        <v>0</v>
      </c>
      <c r="E16" s="244"/>
      <c r="F16" s="304">
        <f>('lokale energieproductie'!S34+'lokale energieproductie'!S41)*(-1)</f>
        <v>0</v>
      </c>
      <c r="G16" s="245"/>
      <c r="H16" s="244"/>
      <c r="I16" s="244"/>
      <c r="J16" s="244"/>
      <c r="K16" s="244"/>
      <c r="L16" s="304">
        <f>('lokale energieproductie'!T34+'lokale energieproductie'!U34+'lokale energieproductie'!T41+'lokale energieproductie'!U41)*(-1)</f>
        <v>0</v>
      </c>
      <c r="M16" s="244"/>
      <c r="N16" s="304">
        <f>('lokale energieproductie'!Q34+'lokale energieproductie'!R34+'lokale energieproductie'!V34+'lokale energieproductie'!Q41+'lokale energieproductie'!R41+'lokale energieproductie'!V41)*(-1)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20386.113771999997</v>
      </c>
      <c r="C18" s="21">
        <f>C5+C16</f>
        <v>0</v>
      </c>
      <c r="D18" s="21">
        <f>MAX((D5+D16),0)</f>
        <v>19988.895960991918</v>
      </c>
      <c r="E18" s="21">
        <f>MAX((E5+E16),0)</f>
        <v>11.402663965349994</v>
      </c>
      <c r="F18" s="21">
        <f>MAX((F5+F16),0)</f>
        <v>1510.5655444631404</v>
      </c>
      <c r="G18" s="21"/>
      <c r="H18" s="21"/>
      <c r="I18" s="21"/>
      <c r="J18" s="21">
        <f>MAX((J5+J16),0)</f>
        <v>4.7231580044634276</v>
      </c>
      <c r="K18" s="21"/>
      <c r="L18" s="21">
        <f>MAX((L5+L16),0)</f>
        <v>0</v>
      </c>
      <c r="M18" s="21"/>
      <c r="N18" s="21">
        <f>MAX((N5+N16),0)</f>
        <v>144.75497273873054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0.20203594306262565</v>
      </c>
      <c r="C20" s="25">
        <f ca="1">'EF ele_warmte'!B22</f>
        <v>0.23700048178140323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4118.7277213079997</v>
      </c>
      <c r="C22" s="23">
        <f ca="1">C18*C20</f>
        <v>0</v>
      </c>
      <c r="D22" s="23">
        <f>D18*D20</f>
        <v>4037.7569841203676</v>
      </c>
      <c r="E22" s="23">
        <f>E18*E20</f>
        <v>2.5884047201344487</v>
      </c>
      <c r="F22" s="23">
        <f>F18*F20</f>
        <v>403.3210003716585</v>
      </c>
      <c r="G22" s="23"/>
      <c r="H22" s="23"/>
      <c r="I22" s="23"/>
      <c r="J22" s="23">
        <f>J18*J20</f>
        <v>1.6719979335800532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234.47887499999999</v>
      </c>
      <c r="C30" s="39">
        <f>IF(ISERROR(B30*3.6/1000000/'E Balans VL '!Z18*100),0,B30*3.6/1000000/'E Balans VL '!Z18*100)</f>
        <v>1.411967490189071E-2</v>
      </c>
      <c r="D30" s="233" t="s">
        <v>841</v>
      </c>
    </row>
    <row r="31" spans="1:18" ht="30">
      <c r="A31" s="6" t="s">
        <v>32</v>
      </c>
      <c r="B31" s="37">
        <f>IF( ISERROR(IND_ander_ele_kWh/1000),0,IND_ander_ele_kWh/1000)</f>
        <v>2275.7117400000002</v>
      </c>
      <c r="C31" s="39">
        <f>IF(ISERROR(B31*3.6/1000000/'E Balans VL '!Z19*100),0,B31*3.6/1000000/'E Balans VL '!Z19*100)</f>
        <v>9.2717207553080244E-2</v>
      </c>
      <c r="D31" s="233" t="s">
        <v>841</v>
      </c>
    </row>
    <row r="32" spans="1:18" ht="30">
      <c r="A32" s="168" t="s">
        <v>40</v>
      </c>
      <c r="B32" s="37">
        <f>IF( ISERROR(IND_voed_ele_kWh/1000),0,IND_voed_ele_kWh/1000)</f>
        <v>768.22269299999994</v>
      </c>
      <c r="C32" s="39">
        <f>IF(ISERROR(B32*3.6/1000000/'E Balans VL '!Z20*100),0,B32*3.6/1000000/'E Balans VL '!Z20*100)</f>
        <v>2.2212409613756499E-2</v>
      </c>
      <c r="D32" s="233" t="s">
        <v>841</v>
      </c>
    </row>
    <row r="33" spans="1:5" ht="30">
      <c r="A33" s="168" t="s">
        <v>39</v>
      </c>
      <c r="B33" s="37">
        <f>IF( ISERROR(IND_textiel_ele_kWh/1000),0,IND_textiel_ele_kWh/1000)</f>
        <v>16.59225</v>
      </c>
      <c r="C33" s="39">
        <f>IF(ISERROR(B33*3.6/1000000/'E Balans VL '!Z21*100),0,B33*3.6/1000000/'E Balans VL '!Z21*100)</f>
        <v>2.7286548620264776E-3</v>
      </c>
      <c r="D33" s="233" t="s">
        <v>841</v>
      </c>
    </row>
    <row r="34" spans="1:5" ht="30">
      <c r="A34" s="168" t="s">
        <v>36</v>
      </c>
      <c r="B34" s="37">
        <f>IF( ISERROR(IND_min_ele_kWh/1000),0,IND_min_ele_kWh/1000)</f>
        <v>30.698004000000001</v>
      </c>
      <c r="C34" s="39">
        <f>IF(ISERROR(B34*3.6/1000000/'E Balans VL '!Z22*100),0,B34*3.6/1000000/'E Balans VL '!Z22*100)</f>
        <v>1.3107762454514074E-2</v>
      </c>
      <c r="D34" s="233" t="s">
        <v>841</v>
      </c>
    </row>
    <row r="35" spans="1:5" ht="30">
      <c r="A35" s="168" t="s">
        <v>38</v>
      </c>
      <c r="B35" s="37">
        <f>IF( ISERROR(IND_papier_ele_kWh/1000),0,IND_papier_ele_kWh/1000)</f>
        <v>17049.351001999999</v>
      </c>
      <c r="C35" s="39">
        <f>IF(ISERROR(B35*3.6/1000000/'E Balans VL '!Z22*100),0,B35*3.6/1000000/'E Balans VL '!Z22*100)</f>
        <v>7.2799144510453342</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11.059208</v>
      </c>
      <c r="C37" s="39">
        <f>IF(ISERROR(B37*3.6/1000000/'E Balans VL '!Z15*100),0,B37*3.6/1000000/'E Balans VL '!Z15*100)</f>
        <v>9.0804474162699779E-5</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2531.7913239999998</v>
      </c>
      <c r="C5" s="17">
        <f>'Eigen informatie GS &amp; warmtenet'!B62</f>
        <v>0</v>
      </c>
      <c r="D5" s="30">
        <f>IF(ISERROR(SUM(LB_lb_gas_kWh,LB_rest_gas_kWh)/1000),0,SUM(LB_lb_gas_kWh,LB_rest_gas_kWh)/1000)*0.903</f>
        <v>46093.984962218914</v>
      </c>
      <c r="E5" s="17">
        <f>B17*'E Balans VL '!I25/3.6*1000000/100</f>
        <v>72.51478809469792</v>
      </c>
      <c r="F5" s="17">
        <f>B17*('E Balans VL '!L25/3.6*1000000+'E Balans VL '!N25/3.6*1000000)/100</f>
        <v>8014.3435025293202</v>
      </c>
      <c r="G5" s="18"/>
      <c r="H5" s="17"/>
      <c r="I5" s="17"/>
      <c r="J5" s="17">
        <f>('E Balans VL '!D25+'E Balans VL '!E25)/3.6*1000000*landbouw!B17/100</f>
        <v>643.75502938958937</v>
      </c>
      <c r="K5" s="17"/>
      <c r="L5" s="17">
        <f>L6*(-1)</f>
        <v>0</v>
      </c>
      <c r="M5" s="17"/>
      <c r="N5" s="17">
        <f>N6*(-1)</f>
        <v>124.71428571428569</v>
      </c>
      <c r="O5" s="17"/>
      <c r="P5" s="17"/>
      <c r="R5" s="32"/>
    </row>
    <row r="6" spans="1:18">
      <c r="A6" s="16" t="s">
        <v>473</v>
      </c>
      <c r="B6" s="17" t="s">
        <v>210</v>
      </c>
      <c r="C6" s="17">
        <f>'lokale energieproductie'!O43+'lokale energieproductie'!O36</f>
        <v>22562.357142857145</v>
      </c>
      <c r="D6" s="304">
        <f>('lokale energieproductie'!P36+'lokale energieproductie'!P43)*(-1)</f>
        <v>-45000</v>
      </c>
      <c r="E6" s="244"/>
      <c r="F6" s="304">
        <f>('lokale energieproductie'!S36+'lokale energieproductie'!S43)*(-1)</f>
        <v>0</v>
      </c>
      <c r="G6" s="245"/>
      <c r="H6" s="244"/>
      <c r="I6" s="244"/>
      <c r="J6" s="244"/>
      <c r="K6" s="244"/>
      <c r="L6" s="304">
        <f>('lokale energieproductie'!T36+'lokale energieproductie'!U36+'lokale energieproductie'!T43+'lokale energieproductie'!U43)*(-1)</f>
        <v>0</v>
      </c>
      <c r="M6" s="244"/>
      <c r="N6" s="304">
        <f>('lokale energieproductie'!V36+'lokale energieproductie'!R36+'lokale energieproductie'!Q36+'lokale energieproductie'!Q43+'lokale energieproductie'!R43+'lokale energieproductie'!V43)*(-1)</f>
        <v>-124.71428571428569</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2531.7913239999998</v>
      </c>
      <c r="C8" s="21">
        <f>C5+C6</f>
        <v>22562.357142857145</v>
      </c>
      <c r="D8" s="21">
        <f>MAX((D5+D6),0)</f>
        <v>1093.984962218914</v>
      </c>
      <c r="E8" s="21">
        <f>MAX((E5+E6),0)</f>
        <v>72.51478809469792</v>
      </c>
      <c r="F8" s="21">
        <f>MAX((F5+F6),0)</f>
        <v>8014.3435025293202</v>
      </c>
      <c r="G8" s="21"/>
      <c r="H8" s="21"/>
      <c r="I8" s="21"/>
      <c r="J8" s="21">
        <f>MAX((J5+J6),0)</f>
        <v>643.75502938958937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0.20203594306262565</v>
      </c>
      <c r="C10" s="31">
        <f ca="1">'EF ele_warmte'!B22</f>
        <v>0.23700048178140323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511.51284778211357</v>
      </c>
      <c r="C12" s="23">
        <f ca="1">C8*C10</f>
        <v>5347.2895129812277</v>
      </c>
      <c r="D12" s="23">
        <f>D8*D10</f>
        <v>220.98496236822064</v>
      </c>
      <c r="E12" s="23">
        <f>E8*E10</f>
        <v>16.460856897496427</v>
      </c>
      <c r="F12" s="23">
        <f>F8*F10</f>
        <v>2139.8297151753286</v>
      </c>
      <c r="G12" s="23"/>
      <c r="H12" s="23"/>
      <c r="I12" s="23"/>
      <c r="J12" s="23">
        <f>J8*J10</f>
        <v>227.88928040391463</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0.35059566342253962</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651.12293313360237</v>
      </c>
      <c r="C26" s="243">
        <f>B26*'GWP N2O_CH4'!B5</f>
        <v>13673.58159580565</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204.35453922816944</v>
      </c>
      <c r="C27" s="243">
        <f>B27*'GWP N2O_CH4'!B5</f>
        <v>4291.4453237915586</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9.6369401532443764</v>
      </c>
      <c r="C28" s="243">
        <f>B28*'GWP N2O_CH4'!B4</f>
        <v>2987.4514475057567</v>
      </c>
      <c r="D28" s="50"/>
    </row>
    <row r="29" spans="1:4">
      <c r="A29" s="41" t="s">
        <v>272</v>
      </c>
      <c r="B29" s="243">
        <f>B34*'ha_N2O bodem landbouw'!B4</f>
        <v>21.961180897335019</v>
      </c>
      <c r="C29" s="243">
        <f>B29*'GWP N2O_CH4'!B4</f>
        <v>6807.9660781738557</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4.9891872545215488E-3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2.1791513333358097E-3</v>
      </c>
      <c r="C5" s="434" t="s">
        <v>210</v>
      </c>
      <c r="D5" s="419">
        <f>SUM(D6:D11)</f>
        <v>3.4029384304201469E-3</v>
      </c>
      <c r="E5" s="419">
        <f>SUM(E6:E11)</f>
        <v>1.5179450423325512E-3</v>
      </c>
      <c r="F5" s="432" t="s">
        <v>210</v>
      </c>
      <c r="G5" s="419">
        <f>SUM(G6:G11)</f>
        <v>0.71964932639446533</v>
      </c>
      <c r="H5" s="419">
        <f>SUM(H6:H11)</f>
        <v>0.17164160894016517</v>
      </c>
      <c r="I5" s="434" t="s">
        <v>210</v>
      </c>
      <c r="J5" s="434" t="s">
        <v>210</v>
      </c>
      <c r="K5" s="434" t="s">
        <v>210</v>
      </c>
      <c r="L5" s="434" t="s">
        <v>210</v>
      </c>
      <c r="M5" s="419">
        <f>SUM(M6:M11)</f>
        <v>5.3488880865215999E-2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4.9935547177926598E-4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8.3256852086246275E-4</v>
      </c>
      <c r="E6" s="886">
        <f>vkm_GW_PW*SUMIFS(TableVerdeelsleutelVkm[LPG],TableVerdeelsleutelVkm[Voertuigtype],"Lichte voertuigen")*SUMIFS(TableECFTransport[EnergieConsumptieFactor (PJ per km)],TableECFTransport[Index],CONCATENATE($A6,"_LPG_LPG"))</f>
        <v>3.3007955614494872E-4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9.9197198365321662E-2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4.0830617462935426E-2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8.5902935466035876E-3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8.9529972135219341E-7</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3.5490245271423915E-2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2.6186663970861616E-7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2.0377898643628481E-3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2.3111555302826424E-4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5.2774155384716591E-4</v>
      </c>
      <c r="E8" s="422">
        <f>vkm_NGW_PW*SUMIFS(TableVerdeelsleutelVkm[LPG],TableVerdeelsleutelVkm[Voertuigtype],"Lichte voertuigen")*SUMIFS(TableECFTransport[EnergieConsumptieFactor (PJ per km)],TableECFTransport[Index],CONCATENATE($A8,"_LPG_LPG"))</f>
        <v>2.0033341082679142E-4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5.5147797663730708E-2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2.5639709477247242E-2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4.9841435572885893E-3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2.2481174597675434E-7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1.147614878318899E-2</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7.9368316922425452E-8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6.589406789331623E-4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1.440883035550602E-3</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2.0426283557105182E-3</v>
      </c>
      <c r="E10" s="422">
        <f>vkm_SW_PW*SUMIFS(TableVerdeelsleutelVkm[LPG],TableVerdeelsleutelVkm[Voertuigtype],"Lichte voertuigen")*SUMIFS(TableECFTransport[EnergieConsumptieFactor (PJ per km)],TableECFTransport[Index],CONCATENATE($A10,"_LPG_LPG"))</f>
        <v>9.8753207536081107E-4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0.26924764528994666</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0.10516893058919655</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2.291535774386768E-2</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6.6771615103484741E-6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0.24909029102085342</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2.0101758293442733E-6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1.4302355474160127E-2</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605.3198148155027</v>
      </c>
      <c r="C14" s="21"/>
      <c r="D14" s="21">
        <f t="shared" ref="D14:M14" si="0">((D5)*10^9/3600)+D12</f>
        <v>945.26067511670749</v>
      </c>
      <c r="E14" s="21">
        <f t="shared" si="0"/>
        <v>421.65140064793087</v>
      </c>
      <c r="F14" s="21"/>
      <c r="G14" s="21">
        <f t="shared" si="0"/>
        <v>199902.59066512925</v>
      </c>
      <c r="H14" s="21">
        <f t="shared" si="0"/>
        <v>47678.224705601431</v>
      </c>
      <c r="I14" s="21"/>
      <c r="J14" s="21"/>
      <c r="K14" s="21"/>
      <c r="L14" s="21"/>
      <c r="M14" s="21">
        <f t="shared" si="0"/>
        <v>14858.02246256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0.20203594306262565</v>
      </c>
      <c r="C16" s="56">
        <f ca="1">'EF ele_warmte'!B22</f>
        <v>0.23700048178140323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122.296359640744</v>
      </c>
      <c r="C18" s="23"/>
      <c r="D18" s="23">
        <f t="shared" ref="D18:M18" si="1">D14*D16</f>
        <v>190.94265637357492</v>
      </c>
      <c r="E18" s="23">
        <f t="shared" si="1"/>
        <v>95.714867947080307</v>
      </c>
      <c r="F18" s="23"/>
      <c r="G18" s="23">
        <f t="shared" si="1"/>
        <v>53373.991707589514</v>
      </c>
      <c r="H18" s="23">
        <f t="shared" si="1"/>
        <v>11871.877951694756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7.1182511849757603E-5</v>
      </c>
      <c r="C50" s="315">
        <f t="shared" ref="C50:P50" si="2">SUM(C51:C52)</f>
        <v>0</v>
      </c>
      <c r="D50" s="315">
        <f t="shared" si="2"/>
        <v>0</v>
      </c>
      <c r="E50" s="315">
        <f t="shared" si="2"/>
        <v>0</v>
      </c>
      <c r="F50" s="315">
        <f t="shared" si="2"/>
        <v>0</v>
      </c>
      <c r="G50" s="315">
        <f t="shared" si="2"/>
        <v>4.4562404415999521E-3</v>
      </c>
      <c r="H50" s="315">
        <f t="shared" si="2"/>
        <v>0</v>
      </c>
      <c r="I50" s="315">
        <f t="shared" si="2"/>
        <v>0</v>
      </c>
      <c r="J50" s="315">
        <f t="shared" si="2"/>
        <v>0</v>
      </c>
      <c r="K50" s="315">
        <f t="shared" si="2"/>
        <v>0</v>
      </c>
      <c r="L50" s="315">
        <f t="shared" si="2"/>
        <v>0</v>
      </c>
      <c r="M50" s="315">
        <f t="shared" si="2"/>
        <v>2.5586745900272538E-4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7.1182511849757603E-5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4.4562404415999521E-3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2.5586745900272538E-4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19.772919958266002</v>
      </c>
      <c r="C54" s="21">
        <f t="shared" ref="C54:P54" si="3">(C50)*10^9/3600</f>
        <v>0</v>
      </c>
      <c r="D54" s="21">
        <f t="shared" si="3"/>
        <v>0</v>
      </c>
      <c r="E54" s="21">
        <f t="shared" si="3"/>
        <v>0</v>
      </c>
      <c r="F54" s="21">
        <f t="shared" si="3"/>
        <v>0</v>
      </c>
      <c r="G54" s="21">
        <f t="shared" si="3"/>
        <v>1237.8445671110978</v>
      </c>
      <c r="H54" s="21">
        <f t="shared" si="3"/>
        <v>0</v>
      </c>
      <c r="I54" s="21">
        <f t="shared" si="3"/>
        <v>0</v>
      </c>
      <c r="J54" s="21">
        <f t="shared" si="3"/>
        <v>0</v>
      </c>
      <c r="K54" s="21">
        <f t="shared" si="3"/>
        <v>0</v>
      </c>
      <c r="L54" s="21">
        <f t="shared" si="3"/>
        <v>0</v>
      </c>
      <c r="M54" s="21">
        <f t="shared" si="3"/>
        <v>71.074294167423716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0.20203594306262565</v>
      </c>
      <c r="C56" s="56">
        <f ca="1">'EF ele_warmte'!B22</f>
        <v>0.23700048178140323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3.9948405308700843</v>
      </c>
      <c r="C58" s="23">
        <f t="shared" ref="C58:P58" ca="1" si="4">C54*C56</f>
        <v>0</v>
      </c>
      <c r="D58" s="23">
        <f t="shared" si="4"/>
        <v>0</v>
      </c>
      <c r="E58" s="23">
        <f t="shared" si="4"/>
        <v>0</v>
      </c>
      <c r="F58" s="23">
        <f t="shared" si="4"/>
        <v>0</v>
      </c>
      <c r="G58" s="23">
        <f t="shared" si="4"/>
        <v>330.50449941866316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5"/>
  <sheetViews>
    <sheetView showGridLines="0" zoomScale="65" zoomScaleNormal="65" workbookViewId="0">
      <selection activeCell="M32" sqref="M32"/>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6787.5990423572266</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N33</f>
        <v>16043.4</v>
      </c>
      <c r="C8" s="545">
        <f>B52</f>
        <v>18823.23529411765</v>
      </c>
      <c r="D8" s="546"/>
      <c r="E8" s="546">
        <f>E52</f>
        <v>0</v>
      </c>
      <c r="F8" s="547"/>
      <c r="G8" s="548"/>
      <c r="H8" s="546">
        <f>I52</f>
        <v>0</v>
      </c>
      <c r="I8" s="546">
        <f>G52+F52</f>
        <v>0</v>
      </c>
      <c r="J8" s="546">
        <f>H52+D52+C52</f>
        <v>51.35294117647058</v>
      </c>
      <c r="K8" s="546"/>
      <c r="L8" s="546"/>
      <c r="M8" s="546"/>
      <c r="N8" s="549"/>
      <c r="O8" s="550">
        <f>C8*$C$12+D8*$D$12+E8*$E$12+F8*$F$12+G8*$G$12+H8*$H$12+I8*$I$12+J8*$J$12</f>
        <v>3802.2935294117656</v>
      </c>
      <c r="P8" s="1285"/>
      <c r="Q8" s="1286"/>
      <c r="S8" s="540"/>
      <c r="T8" s="1282"/>
      <c r="U8" s="1282"/>
    </row>
    <row r="9" spans="1:21" s="531" customFormat="1" ht="17.45" customHeight="1" thickBot="1">
      <c r="A9" s="551" t="s">
        <v>243</v>
      </c>
      <c r="B9" s="552">
        <f>N40+'Eigen informatie GS &amp; warmtenet'!B12</f>
        <v>0</v>
      </c>
      <c r="C9" s="553">
        <f>P40+IF(ISERROR(('Eigen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S40+IF(ISERROR('Eigen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W40+IF(ISERROR('Eigen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(T40+U40)+IF(ISERROR('Eigen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V40+Q40+R40+IF(ISERROR('Eigen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22830.999042357227</v>
      </c>
      <c r="C10" s="560">
        <f t="shared" ref="C10:L10" si="0">SUM(C8:C9)</f>
        <v>18823.23529411765</v>
      </c>
      <c r="D10" s="560">
        <f t="shared" si="0"/>
        <v>0</v>
      </c>
      <c r="E10" s="560">
        <f t="shared" si="0"/>
        <v>0</v>
      </c>
      <c r="F10" s="560">
        <f t="shared" si="0"/>
        <v>0</v>
      </c>
      <c r="G10" s="560">
        <f t="shared" si="0"/>
        <v>0</v>
      </c>
      <c r="H10" s="560">
        <f t="shared" si="0"/>
        <v>0</v>
      </c>
      <c r="I10" s="560">
        <f t="shared" si="0"/>
        <v>0</v>
      </c>
      <c r="J10" s="560">
        <f t="shared" si="0"/>
        <v>51.35294117647058</v>
      </c>
      <c r="K10" s="560">
        <f t="shared" si="0"/>
        <v>0</v>
      </c>
      <c r="L10" s="560">
        <f t="shared" si="0"/>
        <v>0</v>
      </c>
      <c r="M10" s="961"/>
      <c r="N10" s="961"/>
      <c r="O10" s="561">
        <f>SUM(O4:O9)</f>
        <v>3802.2935294117656</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O33</f>
        <v>22919.142857142855</v>
      </c>
      <c r="C17" s="576">
        <f>B53</f>
        <v>26890.336134453781</v>
      </c>
      <c r="D17" s="577"/>
      <c r="E17" s="577">
        <f>E53</f>
        <v>0</v>
      </c>
      <c r="F17" s="578"/>
      <c r="G17" s="579"/>
      <c r="H17" s="576">
        <f>I53</f>
        <v>0</v>
      </c>
      <c r="I17" s="577">
        <f>G53+F53</f>
        <v>0</v>
      </c>
      <c r="J17" s="577">
        <f>H53+D53+C53</f>
        <v>73.3613445378151</v>
      </c>
      <c r="K17" s="577"/>
      <c r="L17" s="577"/>
      <c r="M17" s="577"/>
      <c r="N17" s="962"/>
      <c r="O17" s="580">
        <f>C17*$C$22+E17*$E$22+H17*$H$22+I17*$I$22+J17*$J$22+D17*$D$22+F17*$F$22+G17*$G$22+K17*$K$22+L17*$L$22</f>
        <v>5431.8478991596639</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22919.142857142855</v>
      </c>
      <c r="C20" s="559">
        <f>SUM(C17:C19)</f>
        <v>26890.336134453781</v>
      </c>
      <c r="D20" s="559">
        <f t="shared" ref="D20:L20" si="1">SUM(D17:D19)</f>
        <v>0</v>
      </c>
      <c r="E20" s="559">
        <f t="shared" si="1"/>
        <v>0</v>
      </c>
      <c r="F20" s="559">
        <f t="shared" si="1"/>
        <v>0</v>
      </c>
      <c r="G20" s="559">
        <f t="shared" si="1"/>
        <v>0</v>
      </c>
      <c r="H20" s="559">
        <f t="shared" si="1"/>
        <v>0</v>
      </c>
      <c r="I20" s="559">
        <f t="shared" si="1"/>
        <v>0</v>
      </c>
      <c r="J20" s="559">
        <f t="shared" si="1"/>
        <v>73.3613445378151</v>
      </c>
      <c r="K20" s="559">
        <f t="shared" si="1"/>
        <v>0</v>
      </c>
      <c r="L20" s="559">
        <f t="shared" si="1"/>
        <v>0</v>
      </c>
      <c r="M20" s="559"/>
      <c r="N20" s="559"/>
      <c r="O20" s="585">
        <f>SUM(O17:O19)</f>
        <v>5431.8478991596639</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25.5">
      <c r="A28" s="589"/>
      <c r="B28" s="787">
        <v>31012</v>
      </c>
      <c r="C28" s="787">
        <v>8490</v>
      </c>
      <c r="D28" s="637" t="s">
        <v>874</v>
      </c>
      <c r="E28" s="636" t="s">
        <v>875</v>
      </c>
      <c r="F28" s="636" t="s">
        <v>876</v>
      </c>
      <c r="G28" s="636" t="s">
        <v>877</v>
      </c>
      <c r="H28" s="636" t="s">
        <v>878</v>
      </c>
      <c r="I28" s="636" t="s">
        <v>875</v>
      </c>
      <c r="J28" s="786">
        <v>39995</v>
      </c>
      <c r="K28" s="786">
        <v>39995</v>
      </c>
      <c r="L28" s="636" t="s">
        <v>879</v>
      </c>
      <c r="M28" s="636">
        <v>2000</v>
      </c>
      <c r="N28" s="636">
        <v>9000</v>
      </c>
      <c r="O28" s="636">
        <v>12857.142857142857</v>
      </c>
      <c r="P28" s="636">
        <v>25714.285714285717</v>
      </c>
      <c r="Q28" s="636">
        <v>0</v>
      </c>
      <c r="R28" s="636">
        <v>0</v>
      </c>
      <c r="S28" s="636">
        <v>0</v>
      </c>
      <c r="T28" s="636">
        <v>0</v>
      </c>
      <c r="U28" s="636">
        <v>0</v>
      </c>
      <c r="V28" s="636">
        <v>0</v>
      </c>
      <c r="W28" s="636">
        <v>0</v>
      </c>
      <c r="X28" s="636">
        <v>10</v>
      </c>
      <c r="Y28" s="636" t="s">
        <v>111</v>
      </c>
      <c r="Z28" s="638" t="s">
        <v>111</v>
      </c>
    </row>
    <row r="29" spans="1:26" s="590" customFormat="1" ht="63.75">
      <c r="A29" s="589"/>
      <c r="B29" s="787">
        <v>31012</v>
      </c>
      <c r="C29" s="787">
        <v>8490</v>
      </c>
      <c r="D29" s="637" t="s">
        <v>880</v>
      </c>
      <c r="E29" s="636" t="s">
        <v>881</v>
      </c>
      <c r="F29" s="636" t="s">
        <v>882</v>
      </c>
      <c r="G29" s="636" t="s">
        <v>877</v>
      </c>
      <c r="H29" s="636" t="s">
        <v>878</v>
      </c>
      <c r="I29" s="636" t="s">
        <v>881</v>
      </c>
      <c r="J29" s="786">
        <v>40477</v>
      </c>
      <c r="K29" s="786">
        <v>40513</v>
      </c>
      <c r="L29" s="636" t="s">
        <v>879</v>
      </c>
      <c r="M29" s="636">
        <v>5.5</v>
      </c>
      <c r="N29" s="636">
        <v>24.75</v>
      </c>
      <c r="O29" s="636">
        <v>35.357142857142861</v>
      </c>
      <c r="P29" s="636">
        <v>70.714285714285722</v>
      </c>
      <c r="Q29" s="636">
        <v>0</v>
      </c>
      <c r="R29" s="636">
        <v>0</v>
      </c>
      <c r="S29" s="636">
        <v>0</v>
      </c>
      <c r="T29" s="636">
        <v>0</v>
      </c>
      <c r="U29" s="636">
        <v>0</v>
      </c>
      <c r="V29" s="636">
        <v>0</v>
      </c>
      <c r="W29" s="636">
        <v>0</v>
      </c>
      <c r="X29" s="636">
        <v>1600</v>
      </c>
      <c r="Y29" s="636" t="s">
        <v>49</v>
      </c>
      <c r="Z29" s="638" t="s">
        <v>155</v>
      </c>
    </row>
    <row r="30" spans="1:26" s="590" customFormat="1" ht="25.5">
      <c r="A30" s="589"/>
      <c r="B30" s="787">
        <v>31012</v>
      </c>
      <c r="C30" s="787">
        <v>8490</v>
      </c>
      <c r="D30" s="637" t="s">
        <v>883</v>
      </c>
      <c r="E30" s="636" t="s">
        <v>884</v>
      </c>
      <c r="F30" s="636" t="s">
        <v>885</v>
      </c>
      <c r="G30" s="636" t="s">
        <v>877</v>
      </c>
      <c r="H30" s="636" t="s">
        <v>878</v>
      </c>
      <c r="I30" s="636" t="s">
        <v>886</v>
      </c>
      <c r="J30" s="786">
        <v>41257</v>
      </c>
      <c r="K30" s="786">
        <v>41275</v>
      </c>
      <c r="L30" s="636" t="s">
        <v>879</v>
      </c>
      <c r="M30" s="636">
        <v>9.6999999999999993</v>
      </c>
      <c r="N30" s="636">
        <v>43.649999999999991</v>
      </c>
      <c r="O30" s="636">
        <v>62.357142857142847</v>
      </c>
      <c r="P30" s="636">
        <v>0</v>
      </c>
      <c r="Q30" s="636">
        <v>124.71428571428569</v>
      </c>
      <c r="R30" s="636">
        <v>0</v>
      </c>
      <c r="S30" s="636">
        <v>0</v>
      </c>
      <c r="T30" s="636">
        <v>0</v>
      </c>
      <c r="U30" s="636">
        <v>0</v>
      </c>
      <c r="V30" s="636">
        <v>0</v>
      </c>
      <c r="W30" s="636">
        <v>0</v>
      </c>
      <c r="X30" s="636">
        <v>10</v>
      </c>
      <c r="Y30" s="636" t="s">
        <v>111</v>
      </c>
      <c r="Z30" s="638" t="s">
        <v>111</v>
      </c>
    </row>
    <row r="31" spans="1:26" s="590" customFormat="1" ht="51">
      <c r="A31" s="589"/>
      <c r="B31" s="787">
        <v>31012</v>
      </c>
      <c r="C31" s="787">
        <v>8490</v>
      </c>
      <c r="D31" s="637" t="s">
        <v>887</v>
      </c>
      <c r="E31" s="636"/>
      <c r="F31" s="636" t="s">
        <v>888</v>
      </c>
      <c r="G31" s="636" t="s">
        <v>889</v>
      </c>
      <c r="H31" s="636" t="s">
        <v>878</v>
      </c>
      <c r="I31" s="636" t="s">
        <v>890</v>
      </c>
      <c r="J31" s="786">
        <v>43438</v>
      </c>
      <c r="K31" s="786">
        <v>43438</v>
      </c>
      <c r="L31" s="636" t="s">
        <v>891</v>
      </c>
      <c r="M31" s="636">
        <v>50</v>
      </c>
      <c r="N31" s="636">
        <v>225</v>
      </c>
      <c r="O31" s="636">
        <v>321.42857142857144</v>
      </c>
      <c r="P31" s="636">
        <v>642.85714285714289</v>
      </c>
      <c r="Q31" s="636">
        <v>0</v>
      </c>
      <c r="R31" s="636">
        <v>0</v>
      </c>
      <c r="S31" s="636">
        <v>0</v>
      </c>
      <c r="T31" s="636">
        <v>0</v>
      </c>
      <c r="U31" s="636">
        <v>0</v>
      </c>
      <c r="V31" s="636">
        <v>0</v>
      </c>
      <c r="W31" s="636">
        <v>0</v>
      </c>
      <c r="X31" s="636">
        <v>1500</v>
      </c>
      <c r="Y31" s="636" t="s">
        <v>50</v>
      </c>
      <c r="Z31" s="638" t="s">
        <v>155</v>
      </c>
    </row>
    <row r="32" spans="1:26" s="590" customFormat="1" ht="25.5">
      <c r="A32" s="589"/>
      <c r="B32" s="787">
        <v>31012</v>
      </c>
      <c r="C32" s="787">
        <v>8490</v>
      </c>
      <c r="D32" s="637" t="s">
        <v>892</v>
      </c>
      <c r="E32" s="636"/>
      <c r="F32" s="636" t="s">
        <v>893</v>
      </c>
      <c r="G32" s="636" t="s">
        <v>889</v>
      </c>
      <c r="H32" s="636" t="s">
        <v>878</v>
      </c>
      <c r="I32" s="636" t="s">
        <v>894</v>
      </c>
      <c r="J32" s="786">
        <v>43362</v>
      </c>
      <c r="K32" s="786">
        <v>43362</v>
      </c>
      <c r="L32" s="636" t="s">
        <v>891</v>
      </c>
      <c r="M32" s="636">
        <v>1500</v>
      </c>
      <c r="N32" s="636">
        <v>6750</v>
      </c>
      <c r="O32" s="636">
        <v>9642.8571428571431</v>
      </c>
      <c r="P32" s="636">
        <v>19285.714285714286</v>
      </c>
      <c r="Q32" s="636">
        <v>0</v>
      </c>
      <c r="R32" s="636">
        <v>0</v>
      </c>
      <c r="S32" s="636">
        <v>0</v>
      </c>
      <c r="T32" s="636">
        <v>0</v>
      </c>
      <c r="U32" s="636">
        <v>0</v>
      </c>
      <c r="V32" s="636">
        <v>0</v>
      </c>
      <c r="W32" s="636">
        <v>0</v>
      </c>
      <c r="X32" s="636">
        <v>10</v>
      </c>
      <c r="Y32" s="636" t="s">
        <v>111</v>
      </c>
      <c r="Z32" s="638" t="s">
        <v>111</v>
      </c>
    </row>
    <row r="33" spans="1:27" s="570" customFormat="1">
      <c r="A33" s="592" t="s">
        <v>275</v>
      </c>
      <c r="B33" s="593"/>
      <c r="C33" s="593"/>
      <c r="D33" s="593"/>
      <c r="E33" s="593"/>
      <c r="F33" s="593"/>
      <c r="G33" s="593"/>
      <c r="H33" s="593"/>
      <c r="I33" s="593"/>
      <c r="J33" s="593"/>
      <c r="K33" s="593"/>
      <c r="L33" s="594"/>
      <c r="M33" s="594">
        <f>SUM(M28:M32)</f>
        <v>3565.2</v>
      </c>
      <c r="N33" s="594">
        <f>SUM(N28:N32)</f>
        <v>16043.4</v>
      </c>
      <c r="O33" s="594">
        <f>SUM(O28:O32)</f>
        <v>22919.142857142855</v>
      </c>
      <c r="P33" s="594">
        <f>SUM(P28:P32)</f>
        <v>45713.571428571435</v>
      </c>
      <c r="Q33" s="594">
        <f>SUM(Q28:Q32)</f>
        <v>124.71428571428569</v>
      </c>
      <c r="R33" s="594">
        <f>SUM(R28:R32)</f>
        <v>0</v>
      </c>
      <c r="S33" s="594">
        <f>SUM(S28:S32)</f>
        <v>0</v>
      </c>
      <c r="T33" s="594">
        <f>SUM(T28:T32)</f>
        <v>0</v>
      </c>
      <c r="U33" s="594">
        <f>SUM(U28:U32)</f>
        <v>0</v>
      </c>
      <c r="V33" s="594">
        <f>SUM(V28:V32)</f>
        <v>0</v>
      </c>
      <c r="W33" s="594">
        <f>SUM(W28:W32)</f>
        <v>0</v>
      </c>
      <c r="X33" s="595"/>
      <c r="Y33" s="595"/>
      <c r="Z33" s="596"/>
    </row>
    <row r="34" spans="1:27" s="570" customFormat="1">
      <c r="A34" s="592" t="s">
        <v>282</v>
      </c>
      <c r="B34" s="593"/>
      <c r="C34" s="593"/>
      <c r="D34" s="593"/>
      <c r="E34" s="593"/>
      <c r="F34" s="593"/>
      <c r="G34" s="593"/>
      <c r="H34" s="593"/>
      <c r="I34" s="593"/>
      <c r="J34" s="593"/>
      <c r="K34" s="593"/>
      <c r="L34" s="594"/>
      <c r="M34" s="594">
        <f>SUMIF($Z$28:$Z$32,"industrie",M28:M32)</f>
        <v>0</v>
      </c>
      <c r="N34" s="594">
        <f>SUMIF($Z$28:$Z$32,"industrie",N28:N32)</f>
        <v>0</v>
      </c>
      <c r="O34" s="594">
        <f>SUMIF($Z$28:$Z$32,"industrie",O28:O32)</f>
        <v>0</v>
      </c>
      <c r="P34" s="594">
        <f>SUMIF($Z$28:$Z$32,"industrie",P28:P32)</f>
        <v>0</v>
      </c>
      <c r="Q34" s="594">
        <f>SUMIF($Z$28:$Z$32,"industrie",Q28:Q32)</f>
        <v>0</v>
      </c>
      <c r="R34" s="594">
        <f>SUMIF($Z$28:$Z$32,"industrie",R28:R32)</f>
        <v>0</v>
      </c>
      <c r="S34" s="594">
        <f>SUMIF($Z$28:$Z$32,"industrie",S28:S32)</f>
        <v>0</v>
      </c>
      <c r="T34" s="594">
        <f>SUMIF($Z$28:$Z$32,"industrie",T28:T32)</f>
        <v>0</v>
      </c>
      <c r="U34" s="594">
        <f>SUMIF($Z$28:$Z$32,"industrie",U28:U32)</f>
        <v>0</v>
      </c>
      <c r="V34" s="594">
        <f>SUMIF($Z$28:$Z$32,"industrie",V28:V32)</f>
        <v>0</v>
      </c>
      <c r="W34" s="594">
        <f>SUMIF($Z$28:$Z$32,"industrie",W28:W32)</f>
        <v>0</v>
      </c>
      <c r="X34" s="595"/>
      <c r="Y34" s="595"/>
      <c r="Z34" s="596"/>
    </row>
    <row r="35" spans="1:27" s="570" customFormat="1">
      <c r="A35" s="592" t="s">
        <v>283</v>
      </c>
      <c r="B35" s="593"/>
      <c r="C35" s="593"/>
      <c r="D35" s="593"/>
      <c r="E35" s="593"/>
      <c r="F35" s="593"/>
      <c r="G35" s="593"/>
      <c r="H35" s="593"/>
      <c r="I35" s="593"/>
      <c r="J35" s="593"/>
      <c r="K35" s="593"/>
      <c r="L35" s="594"/>
      <c r="M35" s="594">
        <f ca="1">SUMIF($Z$28:AC32,"tertiair",M28:M32)</f>
        <v>55.5</v>
      </c>
      <c r="N35" s="594">
        <f ca="1">SUMIF($Z$28:AD32,"tertiair",N28:N32)</f>
        <v>249.75</v>
      </c>
      <c r="O35" s="594">
        <f ca="1">SUMIF($Z$28:AE32,"tertiair",O28:O32)</f>
        <v>356.78571428571433</v>
      </c>
      <c r="P35" s="594">
        <f ca="1">SUMIF($Z$28:AF32,"tertiair",P28:P32)</f>
        <v>713.57142857142867</v>
      </c>
      <c r="Q35" s="594">
        <f ca="1">SUMIF($Z$28:AG32,"tertiair",Q28:Q32)</f>
        <v>0</v>
      </c>
      <c r="R35" s="594">
        <f ca="1">SUMIF($Z$28:AH32,"tertiair",R28:R32)</f>
        <v>0</v>
      </c>
      <c r="S35" s="594">
        <f ca="1">SUMIF($Z$28:AI32,"tertiair",S28:S32)</f>
        <v>0</v>
      </c>
      <c r="T35" s="594">
        <f ca="1">SUMIF($Z$28:AJ32,"tertiair",T28:T32)</f>
        <v>0</v>
      </c>
      <c r="U35" s="594">
        <f ca="1">SUMIF($Z$28:AK32,"tertiair",U28:U32)</f>
        <v>0</v>
      </c>
      <c r="V35" s="594">
        <f ca="1">SUMIF($Z$28:AL32,"tertiair",V28:V32)</f>
        <v>0</v>
      </c>
      <c r="W35" s="594">
        <f ca="1">SUMIF($Z$28:AM32,"tertiair",W28:W32)</f>
        <v>0</v>
      </c>
      <c r="X35" s="595"/>
      <c r="Y35" s="595"/>
      <c r="Z35" s="596"/>
    </row>
    <row r="36" spans="1:27" s="570" customFormat="1" ht="15.75" thickBot="1">
      <c r="A36" s="597" t="s">
        <v>284</v>
      </c>
      <c r="B36" s="598"/>
      <c r="C36" s="598"/>
      <c r="D36" s="598"/>
      <c r="E36" s="598"/>
      <c r="F36" s="598"/>
      <c r="G36" s="598"/>
      <c r="H36" s="598"/>
      <c r="I36" s="598"/>
      <c r="J36" s="598"/>
      <c r="K36" s="598"/>
      <c r="L36" s="599"/>
      <c r="M36" s="599">
        <f>SUMIF($Z$28:$Z$32,"landbouw",M28:M32)</f>
        <v>3509.7</v>
      </c>
      <c r="N36" s="599">
        <f>SUMIF($Z$28:$Z$32,"landbouw",N28:N32)</f>
        <v>15793.65</v>
      </c>
      <c r="O36" s="599">
        <f>SUMIF($Z$28:$Z$32,"landbouw",O28:O32)</f>
        <v>22562.357142857145</v>
      </c>
      <c r="P36" s="599">
        <f>SUMIF($Z$28:$Z$32,"landbouw",P28:P32)</f>
        <v>45000</v>
      </c>
      <c r="Q36" s="599">
        <f>SUMIF($Z$28:$Z$32,"landbouw",Q28:Q32)</f>
        <v>124.71428571428569</v>
      </c>
      <c r="R36" s="599">
        <f>SUMIF($Z$28:$Z$32,"landbouw",R28:R32)</f>
        <v>0</v>
      </c>
      <c r="S36" s="599">
        <f>SUMIF($Z$28:$Z$32,"landbouw",S28:S32)</f>
        <v>0</v>
      </c>
      <c r="T36" s="599">
        <f>SUMIF($Z$28:$Z$32,"landbouw",T28:T32)</f>
        <v>0</v>
      </c>
      <c r="U36" s="599">
        <f>SUMIF($Z$28:$Z$32,"landbouw",U28:U32)</f>
        <v>0</v>
      </c>
      <c r="V36" s="599">
        <f>SUMIF($Z$28:$Z$32,"landbouw",V28:V32)</f>
        <v>0</v>
      </c>
      <c r="W36" s="599">
        <f>SUMIF($Z$28:$Z$32,"landbouw",W28:W32)</f>
        <v>0</v>
      </c>
      <c r="X36" s="600"/>
      <c r="Y36" s="600"/>
      <c r="Z36" s="601"/>
    </row>
    <row r="37" spans="1:27" s="531" customFormat="1" ht="15.75" thickBot="1">
      <c r="A37" s="602"/>
      <c r="B37" s="603"/>
      <c r="C37" s="603"/>
      <c r="D37" s="603"/>
      <c r="E37" s="603"/>
      <c r="F37" s="603"/>
      <c r="G37" s="603"/>
      <c r="H37" s="603"/>
      <c r="I37" s="603"/>
      <c r="J37" s="603"/>
      <c r="K37" s="603"/>
      <c r="L37" s="586"/>
      <c r="M37" s="586"/>
      <c r="N37" s="586"/>
      <c r="O37" s="587"/>
      <c r="P37" s="587"/>
    </row>
    <row r="38" spans="1:27" s="531" customFormat="1" ht="45">
      <c r="A38" s="604" t="s">
        <v>276</v>
      </c>
      <c r="B38" s="633" t="s">
        <v>89</v>
      </c>
      <c r="C38" s="633" t="s">
        <v>90</v>
      </c>
      <c r="D38" s="633" t="s">
        <v>91</v>
      </c>
      <c r="E38" s="633" t="s">
        <v>92</v>
      </c>
      <c r="F38" s="633" t="s">
        <v>93</v>
      </c>
      <c r="G38" s="633" t="s">
        <v>94</v>
      </c>
      <c r="H38" s="633" t="s">
        <v>95</v>
      </c>
      <c r="I38" s="633" t="s">
        <v>96</v>
      </c>
      <c r="J38" s="633" t="s">
        <v>97</v>
      </c>
      <c r="K38" s="633" t="s">
        <v>98</v>
      </c>
      <c r="L38" s="633" t="s">
        <v>99</v>
      </c>
      <c r="M38" s="634" t="s">
        <v>293</v>
      </c>
      <c r="N38" s="634" t="s">
        <v>100</v>
      </c>
      <c r="O38" s="634" t="s">
        <v>101</v>
      </c>
      <c r="P38" s="634" t="s">
        <v>517</v>
      </c>
      <c r="Q38" s="634" t="s">
        <v>102</v>
      </c>
      <c r="R38" s="634" t="s">
        <v>103</v>
      </c>
      <c r="S38" s="634" t="s">
        <v>104</v>
      </c>
      <c r="T38" s="634" t="s">
        <v>105</v>
      </c>
      <c r="U38" s="634" t="s">
        <v>106</v>
      </c>
      <c r="V38" s="634" t="s">
        <v>107</v>
      </c>
      <c r="W38" s="633" t="s">
        <v>108</v>
      </c>
      <c r="X38" s="633" t="s">
        <v>294</v>
      </c>
      <c r="Y38" s="633" t="s">
        <v>109</v>
      </c>
      <c r="Z38" s="635" t="s">
        <v>295</v>
      </c>
    </row>
    <row r="39" spans="1:27" s="605" customFormat="1" ht="12.75">
      <c r="A39" s="591"/>
      <c r="B39" s="787"/>
      <c r="C39" s="787"/>
      <c r="D39" s="639"/>
      <c r="E39" s="639"/>
      <c r="F39" s="639"/>
      <c r="G39" s="639"/>
      <c r="H39" s="639"/>
      <c r="I39" s="639"/>
      <c r="J39" s="786"/>
      <c r="K39" s="786"/>
      <c r="L39" s="639"/>
      <c r="M39" s="639"/>
      <c r="N39" s="639"/>
      <c r="O39" s="639"/>
      <c r="P39" s="639"/>
      <c r="Q39" s="639"/>
      <c r="R39" s="639"/>
      <c r="S39" s="639"/>
      <c r="T39" s="639"/>
      <c r="U39" s="639"/>
      <c r="V39" s="639"/>
      <c r="W39" s="639"/>
      <c r="X39" s="639"/>
      <c r="Y39" s="639"/>
      <c r="Z39" s="640"/>
    </row>
    <row r="40" spans="1:27" s="570" customFormat="1">
      <c r="A40" s="592" t="s">
        <v>275</v>
      </c>
      <c r="B40" s="593"/>
      <c r="C40" s="593"/>
      <c r="D40" s="593"/>
      <c r="E40" s="593"/>
      <c r="F40" s="593"/>
      <c r="G40" s="593"/>
      <c r="H40" s="593"/>
      <c r="I40" s="593"/>
      <c r="J40" s="593"/>
      <c r="K40" s="593"/>
      <c r="L40" s="594"/>
      <c r="M40" s="594">
        <f>SUM(M39:M39)</f>
        <v>0</v>
      </c>
      <c r="N40" s="594">
        <f>SUM(N39:N39)</f>
        <v>0</v>
      </c>
      <c r="O40" s="594">
        <f>SUM(O39:O39)</f>
        <v>0</v>
      </c>
      <c r="P40" s="594">
        <f>SUM(P39:P39)</f>
        <v>0</v>
      </c>
      <c r="Q40" s="594">
        <f>SUM(Q39:Q39)</f>
        <v>0</v>
      </c>
      <c r="R40" s="594">
        <f>SUM(R39:R39)</f>
        <v>0</v>
      </c>
      <c r="S40" s="594">
        <f>SUM(S39:S39)</f>
        <v>0</v>
      </c>
      <c r="T40" s="594">
        <f>SUM(T39:T39)</f>
        <v>0</v>
      </c>
      <c r="U40" s="594">
        <f>SUM(U39:U39)</f>
        <v>0</v>
      </c>
      <c r="V40" s="594">
        <f>SUM(V39:V39)</f>
        <v>0</v>
      </c>
      <c r="W40" s="594">
        <f>SUM(W39:W39)</f>
        <v>0</v>
      </c>
      <c r="X40" s="595"/>
      <c r="Y40" s="595"/>
      <c r="Z40" s="596"/>
    </row>
    <row r="41" spans="1:27" s="570" customFormat="1">
      <c r="A41" s="592" t="s">
        <v>282</v>
      </c>
      <c r="B41" s="593"/>
      <c r="C41" s="593"/>
      <c r="D41" s="593"/>
      <c r="E41" s="593"/>
      <c r="F41" s="593"/>
      <c r="G41" s="593"/>
      <c r="H41" s="593"/>
      <c r="I41" s="593"/>
      <c r="J41" s="593"/>
      <c r="K41" s="593"/>
      <c r="L41" s="594"/>
      <c r="M41" s="594">
        <f>SUMIF($Z$39:$Z$39,"industrie",M39:M39)</f>
        <v>0</v>
      </c>
      <c r="N41" s="594">
        <f>SUMIF($Z$39:$Z$39,"industrie",N39:N39)</f>
        <v>0</v>
      </c>
      <c r="O41" s="594">
        <f>SUMIF($Z$39:$Z$39,"industrie",O39:O39)</f>
        <v>0</v>
      </c>
      <c r="P41" s="594">
        <f>SUMIF($Z$39:$Z$39,"industrie",P39:P39)</f>
        <v>0</v>
      </c>
      <c r="Q41" s="594">
        <f>SUMIF($Z$39:$Z$39,"industrie",Q39:Q39)</f>
        <v>0</v>
      </c>
      <c r="R41" s="594">
        <f>SUMIF($Z$39:$Z$39,"industrie",R39:R39)</f>
        <v>0</v>
      </c>
      <c r="S41" s="594">
        <f>SUMIF($Z$39:$Z$39,"industrie",S39:S39)</f>
        <v>0</v>
      </c>
      <c r="T41" s="594">
        <f>SUMIF($Z$39:$Z$39,"industrie",T39:T39)</f>
        <v>0</v>
      </c>
      <c r="U41" s="594">
        <f>SUMIF($Z$39:$Z$39,"industrie",U39:U39)</f>
        <v>0</v>
      </c>
      <c r="V41" s="594">
        <f>SUMIF($Z$39:$Z$39,"industrie",V39:V39)</f>
        <v>0</v>
      </c>
      <c r="W41" s="594">
        <f>SUMIF($Z$39:$Z$39,"industrie",W39:W39)</f>
        <v>0</v>
      </c>
      <c r="X41" s="595"/>
      <c r="Y41" s="595"/>
      <c r="Z41" s="596"/>
    </row>
    <row r="42" spans="1:27" s="570" customFormat="1">
      <c r="A42" s="592" t="s">
        <v>283</v>
      </c>
      <c r="B42" s="593"/>
      <c r="C42" s="593"/>
      <c r="D42" s="593"/>
      <c r="E42" s="593"/>
      <c r="F42" s="593"/>
      <c r="G42" s="593"/>
      <c r="H42" s="593"/>
      <c r="I42" s="593"/>
      <c r="J42" s="593"/>
      <c r="K42" s="593"/>
      <c r="L42" s="594"/>
      <c r="M42" s="594">
        <f>SUMIF($Z$39:$Z$40,"tertiair",M39:M40)</f>
        <v>0</v>
      </c>
      <c r="N42" s="594">
        <f>SUMIF($Z$39:$Z$40,"tertiair",N39:N40)</f>
        <v>0</v>
      </c>
      <c r="O42" s="594">
        <f>SUMIF($Z$39:$Z$40,"tertiair",O39:O40)</f>
        <v>0</v>
      </c>
      <c r="P42" s="594">
        <f>SUMIF($Z$39:$Z$40,"tertiair",P39:P40)</f>
        <v>0</v>
      </c>
      <c r="Q42" s="594">
        <f>SUMIF($Z$39:$Z$40,"tertiair",Q39:Q40)</f>
        <v>0</v>
      </c>
      <c r="R42" s="594">
        <f>SUMIF($Z$39:$Z$40,"tertiair",R39:R40)</f>
        <v>0</v>
      </c>
      <c r="S42" s="594">
        <f>SUMIF($Z$39:$Z$40,"tertiair",S39:S40)</f>
        <v>0</v>
      </c>
      <c r="T42" s="594">
        <f>SUMIF($Z$39:$Z$40,"tertiair",T39:T40)</f>
        <v>0</v>
      </c>
      <c r="U42" s="594">
        <f>SUMIF($Z$39:$Z$40,"tertiair",U39:U40)</f>
        <v>0</v>
      </c>
      <c r="V42" s="594">
        <f>SUMIF($Z$39:$Z$40,"tertiair",V39:V40)</f>
        <v>0</v>
      </c>
      <c r="W42" s="594">
        <f>SUMIF($Z$39:$Z$40,"tertiair",W39:W40)</f>
        <v>0</v>
      </c>
      <c r="X42" s="595"/>
      <c r="Y42" s="595"/>
      <c r="Z42" s="596"/>
    </row>
    <row r="43" spans="1:27" s="570" customFormat="1" ht="15.75" thickBot="1">
      <c r="A43" s="597" t="s">
        <v>284</v>
      </c>
      <c r="B43" s="598"/>
      <c r="C43" s="598"/>
      <c r="D43" s="598"/>
      <c r="E43" s="598"/>
      <c r="F43" s="598"/>
      <c r="G43" s="598"/>
      <c r="H43" s="598"/>
      <c r="I43" s="598"/>
      <c r="J43" s="598"/>
      <c r="K43" s="598"/>
      <c r="L43" s="599"/>
      <c r="M43" s="599">
        <f>SUMIF($Z$39:$Z$41,"landbouw",M39:M41)</f>
        <v>0</v>
      </c>
      <c r="N43" s="599">
        <f>SUMIF($Z$39:$Z$41,"landbouw",N39:N41)</f>
        <v>0</v>
      </c>
      <c r="O43" s="599">
        <f>SUMIF($Z$39:$Z$41,"landbouw",O39:O41)</f>
        <v>0</v>
      </c>
      <c r="P43" s="599">
        <f>SUMIF($Z$39:$Z$41,"landbouw",P39:P41)</f>
        <v>0</v>
      </c>
      <c r="Q43" s="599">
        <f>SUMIF($Z$39:$Z$41,"landbouw",Q39:Q41)</f>
        <v>0</v>
      </c>
      <c r="R43" s="599">
        <f>SUMIF($Z$39:$Z$41,"landbouw",R39:R41)</f>
        <v>0</v>
      </c>
      <c r="S43" s="599">
        <f>SUMIF($Z$39:$Z$41,"landbouw",S39:S41)</f>
        <v>0</v>
      </c>
      <c r="T43" s="599">
        <f>SUMIF($Z$39:$Z$41,"landbouw",T39:T41)</f>
        <v>0</v>
      </c>
      <c r="U43" s="599">
        <f>SUMIF($Z$39:$Z$41,"landbouw",U39:U41)</f>
        <v>0</v>
      </c>
      <c r="V43" s="599">
        <f>SUMIF($Z$39:$Z$41,"landbouw",V39:V41)</f>
        <v>0</v>
      </c>
      <c r="W43" s="599">
        <f>SUMIF($Z$39:$Z$41,"landbouw",W39:W41)</f>
        <v>0</v>
      </c>
      <c r="X43" s="600"/>
      <c r="Y43" s="600"/>
      <c r="Z43" s="601"/>
    </row>
    <row r="44" spans="1:27" s="606" customFormat="1">
      <c r="A44" s="602"/>
      <c r="B44" s="586"/>
      <c r="C44" s="586"/>
      <c r="D44" s="586"/>
      <c r="E44" s="586"/>
      <c r="F44" s="586"/>
      <c r="G44" s="586"/>
      <c r="H44" s="586"/>
      <c r="I44" s="586"/>
      <c r="J44" s="586"/>
      <c r="K44" s="586"/>
      <c r="L44" s="586"/>
      <c r="M44" s="586"/>
      <c r="N44" s="586"/>
      <c r="O44" s="586"/>
      <c r="P44" s="586"/>
      <c r="Q44" s="586"/>
      <c r="R44" s="586"/>
      <c r="S44" s="586"/>
      <c r="T44" s="586"/>
      <c r="U44" s="586"/>
      <c r="V44" s="586"/>
      <c r="W44" s="586"/>
      <c r="X44" s="586"/>
      <c r="Y44" s="586"/>
    </row>
    <row r="45" spans="1:27" s="606" customFormat="1" ht="15.75" thickBot="1">
      <c r="A45" s="602"/>
      <c r="B45" s="586"/>
      <c r="C45" s="586"/>
      <c r="D45" s="586"/>
      <c r="E45" s="586"/>
      <c r="F45" s="586"/>
      <c r="G45" s="586"/>
      <c r="H45" s="586"/>
      <c r="I45" s="586"/>
      <c r="J45" s="586"/>
      <c r="K45" s="586"/>
      <c r="L45" s="586"/>
      <c r="M45" s="586"/>
      <c r="N45" s="586"/>
      <c r="O45" s="586"/>
      <c r="P45" s="586"/>
      <c r="Q45" s="586"/>
      <c r="R45" s="586"/>
      <c r="S45" s="586"/>
      <c r="T45" s="586"/>
      <c r="U45" s="586"/>
      <c r="V45" s="586"/>
      <c r="W45" s="586"/>
      <c r="X45" s="586"/>
      <c r="Y45" s="586"/>
      <c r="Z45" s="586"/>
      <c r="AA45" s="586"/>
    </row>
    <row r="46" spans="1:27">
      <c r="A46" s="607" t="s">
        <v>277</v>
      </c>
      <c r="B46" s="608"/>
      <c r="C46" s="608"/>
      <c r="D46" s="608"/>
      <c r="E46" s="608"/>
      <c r="F46" s="608"/>
      <c r="G46" s="608"/>
      <c r="H46" s="608"/>
      <c r="I46" s="609"/>
      <c r="J46" s="610"/>
      <c r="K46" s="610"/>
      <c r="L46" s="611"/>
      <c r="M46" s="611"/>
      <c r="N46" s="611"/>
      <c r="O46" s="611"/>
      <c r="P46" s="611"/>
    </row>
    <row r="47" spans="1:27">
      <c r="A47" s="613"/>
      <c r="B47" s="603"/>
      <c r="C47" s="603"/>
      <c r="D47" s="603"/>
      <c r="E47" s="603"/>
      <c r="F47" s="603"/>
      <c r="G47" s="603"/>
      <c r="H47" s="603"/>
      <c r="I47" s="614"/>
      <c r="J47" s="603"/>
      <c r="K47" s="603"/>
      <c r="L47" s="611"/>
      <c r="M47" s="611"/>
      <c r="N47" s="611"/>
      <c r="O47" s="611"/>
      <c r="P47" s="611"/>
    </row>
    <row r="48" spans="1:27">
      <c r="A48" s="615"/>
      <c r="B48" s="616" t="s">
        <v>278</v>
      </c>
      <c r="C48" s="616" t="s">
        <v>279</v>
      </c>
      <c r="D48" s="616"/>
      <c r="E48" s="616"/>
      <c r="F48" s="616"/>
      <c r="G48" s="616"/>
      <c r="H48" s="616"/>
      <c r="I48" s="617"/>
      <c r="J48" s="616"/>
      <c r="K48" s="616"/>
      <c r="L48" s="616"/>
      <c r="M48" s="616"/>
      <c r="N48" s="616"/>
      <c r="O48" s="616"/>
      <c r="P48" s="611"/>
    </row>
    <row r="49" spans="1:16">
      <c r="A49" s="613" t="s">
        <v>275</v>
      </c>
      <c r="B49" s="618">
        <f>IF(ISERROR(O33/(O33+N33)),0,O33/(O33+N33))</f>
        <v>0.58823529411764697</v>
      </c>
      <c r="C49" s="619">
        <f>IF(ISERROR(N33/(O33+N33)),0,N33/(N33+O33))</f>
        <v>0.41176470588235292</v>
      </c>
      <c r="D49" s="586"/>
      <c r="E49" s="586"/>
      <c r="F49" s="586"/>
      <c r="G49" s="586"/>
      <c r="H49" s="586"/>
      <c r="I49" s="620"/>
      <c r="J49" s="586"/>
      <c r="K49" s="586"/>
      <c r="L49" s="621"/>
      <c r="M49" s="621"/>
      <c r="N49" s="621"/>
      <c r="O49" s="621"/>
      <c r="P49" s="611"/>
    </row>
    <row r="50" spans="1:16">
      <c r="A50" s="613"/>
      <c r="B50" s="622"/>
      <c r="C50" s="622"/>
      <c r="D50" s="622"/>
      <c r="E50" s="622"/>
      <c r="F50" s="622"/>
      <c r="G50" s="622"/>
      <c r="H50" s="622"/>
      <c r="I50" s="623"/>
      <c r="J50" s="622"/>
      <c r="K50" s="622"/>
      <c r="L50" s="624"/>
      <c r="M50" s="624"/>
      <c r="N50" s="624"/>
      <c r="O50" s="624"/>
      <c r="P50" s="611"/>
    </row>
    <row r="51" spans="1:16" ht="30">
      <c r="A51" s="625"/>
      <c r="B51" s="626" t="s">
        <v>517</v>
      </c>
      <c r="C51" s="626" t="s">
        <v>102</v>
      </c>
      <c r="D51" s="626" t="s">
        <v>103</v>
      </c>
      <c r="E51" s="626" t="s">
        <v>104</v>
      </c>
      <c r="F51" s="626" t="s">
        <v>105</v>
      </c>
      <c r="G51" s="626" t="s">
        <v>106</v>
      </c>
      <c r="H51" s="626" t="s">
        <v>107</v>
      </c>
      <c r="I51" s="627" t="s">
        <v>108</v>
      </c>
      <c r="J51" s="616"/>
      <c r="K51" s="616"/>
      <c r="L51" s="624"/>
      <c r="M51" s="624"/>
      <c r="N51" s="624"/>
      <c r="O51" s="611"/>
      <c r="P51" s="611"/>
    </row>
    <row r="52" spans="1:16">
      <c r="A52" s="615" t="s">
        <v>280</v>
      </c>
      <c r="B52" s="628">
        <f t="shared" ref="B52:I52" si="2">$C$49*P33</f>
        <v>18823.23529411765</v>
      </c>
      <c r="C52" s="628">
        <f t="shared" si="2"/>
        <v>51.35294117647058</v>
      </c>
      <c r="D52" s="628">
        <f t="shared" si="2"/>
        <v>0</v>
      </c>
      <c r="E52" s="628">
        <f t="shared" si="2"/>
        <v>0</v>
      </c>
      <c r="F52" s="628">
        <f t="shared" si="2"/>
        <v>0</v>
      </c>
      <c r="G52" s="628">
        <f t="shared" si="2"/>
        <v>0</v>
      </c>
      <c r="H52" s="628">
        <f t="shared" si="2"/>
        <v>0</v>
      </c>
      <c r="I52" s="629">
        <f t="shared" si="2"/>
        <v>0</v>
      </c>
      <c r="J52" s="586"/>
      <c r="K52" s="586"/>
      <c r="L52" s="624"/>
      <c r="M52" s="624"/>
      <c r="N52" s="624"/>
      <c r="O52" s="611"/>
      <c r="P52" s="611"/>
    </row>
    <row r="53" spans="1:16" ht="15.75" thickBot="1">
      <c r="A53" s="630" t="s">
        <v>281</v>
      </c>
      <c r="B53" s="631">
        <f t="shared" ref="B53:I53" si="3">$B$49*P33</f>
        <v>26890.336134453781</v>
      </c>
      <c r="C53" s="631">
        <f t="shared" si="3"/>
        <v>73.3613445378151</v>
      </c>
      <c r="D53" s="631">
        <f t="shared" si="3"/>
        <v>0</v>
      </c>
      <c r="E53" s="631">
        <f t="shared" si="3"/>
        <v>0</v>
      </c>
      <c r="F53" s="631">
        <f t="shared" si="3"/>
        <v>0</v>
      </c>
      <c r="G53" s="631">
        <f t="shared" si="3"/>
        <v>0</v>
      </c>
      <c r="H53" s="631">
        <f t="shared" si="3"/>
        <v>0</v>
      </c>
      <c r="I53" s="632">
        <f t="shared" si="3"/>
        <v>0</v>
      </c>
      <c r="J53" s="586"/>
      <c r="K53" s="586"/>
      <c r="L53" s="624"/>
      <c r="M53" s="624"/>
      <c r="N53" s="624"/>
      <c r="O53" s="611"/>
      <c r="P53" s="611"/>
    </row>
    <row r="54" spans="1:16">
      <c r="J54" s="566"/>
      <c r="K54" s="566"/>
      <c r="L54" s="566"/>
      <c r="M54" s="566"/>
      <c r="N54" s="566"/>
    </row>
    <row r="55" spans="1:16">
      <c r="J55" s="566"/>
      <c r="K55" s="566"/>
      <c r="L55" s="566"/>
      <c r="M55" s="566"/>
      <c r="N55"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2021-06-29T14:16:33Z</dcterms:modified>
</cp:coreProperties>
</file>