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B36" i="13"/>
  <c r="B35" i="13"/>
  <c r="B34" i="13"/>
  <c r="B33" i="13"/>
  <c r="B32" i="13"/>
  <c r="B13" i="15"/>
  <c r="F6" i="17"/>
  <c r="F8" i="17" s="1"/>
  <c r="G24" i="14" s="1"/>
  <c r="G26" i="14" s="1"/>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<sst xmlns="http://schemas.openxmlformats.org/spreadsheetml/2006/main" count="2429" uniqueCount="874">
  <si>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</si>
  <si>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</si>
  <si>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</si>
  <si>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</si>
  <si>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</si>
  <si>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</si>
  <si>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</si>
  <si>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</si>
  <si>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</si>
  <si>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</si>
  <si>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</si>
  <si>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</si>
  <si>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</si>
  <si>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</si>
  <si>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</si>
  <si>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</si>
  <si>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</si>
  <si>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</si>
  <si>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</si>
  <si>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</si>
  <si>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</si>
  <si>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</si>
  <si>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</si>
  <si>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</si>
  <si>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</si>
  <si>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</si>
  <si>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</si>
  <si>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</si>
  <si>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</si>
  <si>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</si>
  <si>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</si>
  <si>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</si>
  <si>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</si>
  <si>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</si>
  <si>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</si>
  <si>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</si>
  <si>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</si>
  <si>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</si>
  <si>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</si>
  <si>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</si>
  <si>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</si>
  <si>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</si>
  <si>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</si>
  <si>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</si>
  <si>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</si>
  <si>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</si>
  <si>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</si>
  <si>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</si>
  <si>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</si>
  <si>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</si>
  <si>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</si>
  <si>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</si>
  <si>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</si>
  <si>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</si>
  <si>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</si>
  <si>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</si>
  <si>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</si>
  <si>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</si>
  <si>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</si>
  <si>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</si>
  <si>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</si>
  <si>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</si>
  <si>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</si>
  <si>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</si>
  <si>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</si>
  <si>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</si>
  <si>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</si>
  <si>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</si>
  <si>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</si>
  <si>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</si>
  <si>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</si>
  <si>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</si>
  <si>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</si>
  <si>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</si>
  <si>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</si>
  <si>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</si>
  <si>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</si>
  <si>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</si>
  <si>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</si>
  <si>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</si>
  <si>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</si>
  <si>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</si>
  <si>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</si>
  <si>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</si>
  <si>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</si>
  <si>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</si>
  <si>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</si>
  <si>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</si>
  <si>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</si>
  <si>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</si>
  <si>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</si>
  <si>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</si>
  <si>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</si>
  <si>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</si>
  <si>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</si>
  <si>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</si>
  <si>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</si>
  <si>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</si>
  <si>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</si>
  <si>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</si>
  <si>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</si>
  <si>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</si>
  <si>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</si>
  <si>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</si>
  <si>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</si>
  <si>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</si>
  <si>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</si>
  <si>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</si>
  <si>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</si>
  <si>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</si>
  <si>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</si>
  <si>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</si>
  <si>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</si>
  <si>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</si>
  <si>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</si>
  <si>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</si>
  <si>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</si>
  <si>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</si>
  <si>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</si>
  <si>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</si>
  <si>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</si>
  <si>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</si>
  <si>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</si>
  <si>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</si>
  <si>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</si>
  <si>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</si>
  <si>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</si>
  <si>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</si>
  <si>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</si>
  <si>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</si>
  <si>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</si>
  <si>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</si>
  <si>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</si>
  <si>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</si>
  <si>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</si>
  <si>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</si>
  <si>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</si>
  <si>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</si>
  <si>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</si>
  <si>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</si>
  <si>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</si>
  <si>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</si>
  <si>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</si>
  <si>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</si>
  <si>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</si>
  <si>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</si>
  <si>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</si>
  <si>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</si>
  <si>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</si>
  <si>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</si>
  <si>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</si>
  <si>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</si>
  <si>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</si>
  <si>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</si>
  <si>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</si>
  <si>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</si>
  <si>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</si>
  <si>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</si>
  <si>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</si>
  <si>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</si>
  <si>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</si>
  <si>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</si>
  <si>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</si>
  <si>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</si>
  <si>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</si>
  <si>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</si>
  <si>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</si>
  <si>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</si>
  <si>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</si>
  <si>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</si>
  <si>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</si>
  <si>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</si>
  <si>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</si>
  <si>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</si>
  <si>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</si>
  <si>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</si>
  <si>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</si>
  <si>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</si>
  <si>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</si>
  <si>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</si>
  <si>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</si>
  <si>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</si>
  <si>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</si>
  <si>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</si>
  <si>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</si>
  <si>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</si>
  <si>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</si>
  <si>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</si>
  <si>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</si>
  <si>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</si>
  <si>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</si>
  <si>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</si>
  <si>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</si>
  <si>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</si>
  <si>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</si>
  <si>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</si>
  <si>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</si>
  <si>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</si>
  <si>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</si>
  <si>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</si>
  <si>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</si>
  <si>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</si>
  <si>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</si>
  <si>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</si>
  <si>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</si>
  <si>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</si>
  <si>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</si>
  <si>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</si>
  <si>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</si>
  <si>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</si>
  <si>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</si>
  <si>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</si>
  <si>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</si>
  <si>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</si>
  <si>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</si>
  <si>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</si>
  <si>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</si>
  <si>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</si>
  <si>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</si>
  <si>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</si>
  <si>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</si>
  <si>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</si>
  <si>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</si>
  <si>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</si>
  <si>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</si>
  <si>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</si>
  <si>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</si>
  <si>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</si>
  <si>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</si>
  <si>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</si>
  <si>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</si>
  <si>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</si>
  <si>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</si>
  <si>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</si>
  <si>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</si>
  <si>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</si>
  <si>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</si>
  <si>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</si>
  <si>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</si>
  <si>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</si>
  <si>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</si>
  <si>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</si>
  <si>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</si>
  <si>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</si>
  <si>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</si>
  <si>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</si>
  <si>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</si>
  <si>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</si>
  <si>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</si>
  <si>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</si>
  <si>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</si>
  <si>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</si>
  <si>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</si>
  <si>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</si>
  <si>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</si>
  <si>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</si>
  <si>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</si>
  <si>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</si>
  <si>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</si>
  <si>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</si>
  <si>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</si>
  <si>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</si>
  <si>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</si>
  <si>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</si>
  <si>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</si>
  <si>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</si>
  <si>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</si>
  <si>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</si>
  <si>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</si>
  <si>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</si>
  <si>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</si>
  <si>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</si>
  <si>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</si>
  <si>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</si>
  <si>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</si>
  <si>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</si>
  <si>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</si>
  <si>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</si>
  <si>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</si>
  <si>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</si>
  <si>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</si>
  <si>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</si>
  <si>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</si>
  <si>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</si>
  <si>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</si>
  <si>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</si>
  <si>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</si>
  <si>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</si>
  <si>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</si>
  <si>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</si>
  <si>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</si>
  <si>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</si>
  <si>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</si>
  <si>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</si>
  <si>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</si>
  <si>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</si>
  <si>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</si>
  <si>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</si>
  <si>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</si>
  <si>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</si>
  <si>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</si>
  <si>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</si>
  <si>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</si>
  <si>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</si>
  <si>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</si>
  <si>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</si>
  <si>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</si>
  <si>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</si>
  <si>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</si>
  <si>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</si>
  <si>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</si>
  <si>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</si>
  <si>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</si>
  <si>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</si>
  <si>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</si>
  <si>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</si>
  <si>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</si>
  <si>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</si>
  <si>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</si>
  <si>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</si>
  <si>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</si>
  <si>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</si>
  <si>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</si>
  <si>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</si>
  <si>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</si>
  <si>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</si>
  <si>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</si>
  <si>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</si>
  <si>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</si>
  <si>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</si>
  <si>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</si>
  <si>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</si>
  <si>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</si>
  <si>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</si>
  <si>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</si>
  <si>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</si>
  <si>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</si>
  <si>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</si>
  <si>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</si>
  <si>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</si>
  <si>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</si>
  <si>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</si>
  <si>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</si>
  <si>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</si>
  <si>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</si>
  <si>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</si>
  <si>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</si>
  <si>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</si>
  <si>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</si>
  <si>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</si>
  <si>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</si>
  <si>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</si>
  <si>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</si>
  <si>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</si>
  <si>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</si>
  <si>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</si>
  <si>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</si>
  <si>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</si>
  <si>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</si>
  <si>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</si>
  <si>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</si>
  <si>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</si>
  <si>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</si>
  <si>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</si>
  <si>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</si>
  <si>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</si>
  <si>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</si>
  <si>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</si>
  <si>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</si>
  <si>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</si>
  <si>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</si>
  <si>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</si>
  <si>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</si>
  <si>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</si>
  <si>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</si>
  <si>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</si>
  <si>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</si>
  <si>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</si>
  <si>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</si>
  <si>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</si>
  <si>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</si>
  <si>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</si>
  <si>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</si>
  <si>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</si>
  <si>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</si>
  <si>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</si>
  <si>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</si>
  <si>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</si>
  <si>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</si>
  <si>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</si>
  <si>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</si>
  <si>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</si>
  <si>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</si>
  <si>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</si>
  <si>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</si>
  <si>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</si>
  <si>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</si>
  <si>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</si>
  <si>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</si>
  <si>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</si>
  <si>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</si>
  <si>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</si>
  <si>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</si>
  <si>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</si>
  <si>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</si>
  <si>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</si>
  <si>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</si>
  <si>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</si>
  <si>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</si>
  <si>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</si>
  <si>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</si>
  <si>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</si>
  <si>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</si>
  <si>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</si>
  <si>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</si>
  <si>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</si>
  <si>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</si>
  <si>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</si>
  <si>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</si>
  <si>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</si>
  <si>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</si>
  <si>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</si>
  <si>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</si>
  <si>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</si>
  <si>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</si>
  <si>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</si>
  <si>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</si>
  <si>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</si>
  <si>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</si>
  <si>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</si>
  <si>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</si>
  <si>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</si>
  <si>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</si>
  <si>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</si>
  <si>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</si>
  <si>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</si>
  <si>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</si>
  <si>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</si>
  <si>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</si>
  <si>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</si>
  <si>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</si>
  <si>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</si>
  <si>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</si>
  <si>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</si>
  <si>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</si>
  <si>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</si>
  <si>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</si>
  <si>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</si>
  <si>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</si>
  <si>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</si>
  <si>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</si>
  <si>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</si>
  <si>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</si>
  <si>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</si>
  <si>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</si>
  <si>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</si>
  <si>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</si>
  <si>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</si>
  <si>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</si>
  <si>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</si>
  <si>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</si>
  <si>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</si>
  <si>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</si>
  <si>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</si>
  <si>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</si>
  <si>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</si>
  <si>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</si>
  <si>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</si>
  <si>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</si>
  <si>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</si>
  <si>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</si>
  <si>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</si>
  <si>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</si>
  <si>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</si>
  <si>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</si>
  <si>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</si>
  <si>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</si>
  <si>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</si>
  <si>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</si>
  <si>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</si>
  <si>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</si>
  <si>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</si>
  <si>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</si>
  <si>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</si>
  <si>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</si>
  <si>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</si>
  <si>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</si>
  <si>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</si>
  <si>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</si>
  <si>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</si>
  <si>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</si>
  <si>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</si>
  <si>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</si>
  <si>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</si>
  <si>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</si>
  <si>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</si>
  <si>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</si>
  <si>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</si>
  <si>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</si>
  <si>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</si>
  <si>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</si>
  <si>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</si>
  <si>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</si>
  <si>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</si>
  <si>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</si>
  <si>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</si>
  <si>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</si>
  <si>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</si>
  <si>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</si>
  <si>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</si>
  <si>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</si>
  <si>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</si>
  <si>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</si>
  <si>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</si>
  <si>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</si>
  <si>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</si>
  <si>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</si>
  <si>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</si>
  <si>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</si>
  <si>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</si>
  <si>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</si>
  <si>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</si>
  <si>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</si>
  <si>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</si>
  <si>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</si>
  <si>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</si>
  <si>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</si>
  <si>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</si>
  <si>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</si>
  <si>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</si>
  <si>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</si>
  <si>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</si>
  <si>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</si>
  <si>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</si>
  <si>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</si>
  <si>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</si>
  <si>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</si>
  <si>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</si>
  <si>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</si>
  <si>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</si>
  <si>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</si>
  <si>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</si>
  <si>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</si>
  <si>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</si>
  <si>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</si>
  <si>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</si>
  <si>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</si>
  <si>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</si>
  <si>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</si>
  <si>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</si>
  <si>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</si>
  <si>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</si>
  <si>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</si>
  <si>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</si>
  <si>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</si>
  <si>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</si>
  <si>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</si>
  <si>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</si>
  <si>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</si>
  <si>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</si>
  <si>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</si>
  <si>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</si>
  <si>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</si>
  <si>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</si>
  <si>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</si>
  <si>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</si>
  <si>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</si>
  <si>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</si>
  <si>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</si>
  <si>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</si>
  <si>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</si>
  <si>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</si>
  <si>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</si>
  <si>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</si>
  <si>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</si>
  <si>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</si>
  <si>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</si>
  <si>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</si>
  <si>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</si>
  <si>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</si>
  <si>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</si>
  <si>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</si>
  <si>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</si>
  <si>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</si>
  <si>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</si>
  <si>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</si>
  <si>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</si>
  <si>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</si>
  <si>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</si>
  <si>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</si>
  <si>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</si>
  <si>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</si>
  <si>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</si>
  <si>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</si>
  <si>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</si>
  <si>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</si>
  <si>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</si>
  <si>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</si>
  <si>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</si>
  <si>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</si>
  <si>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</si>
  <si>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</si>
  <si>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</si>
  <si>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</si>
  <si>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</si>
  <si>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</si>
  <si>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</si>
  <si>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</si>
  <si>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</si>
  <si>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</si>
  <si>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</si>
  <si>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</si>
  <si>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</si>
  <si>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</si>
  <si>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</si>
  <si>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</si>
  <si>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</si>
  <si>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</si>
  <si>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</si>
  <si>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</si>
  <si>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</si>
  <si>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</si>
  <si>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</si>
  <si>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</si>
  <si>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</si>
  <si>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</si>
  <si>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</si>
  <si>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</si>
  <si>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</si>
  <si>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</si>
  <si>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</si>
  <si>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</si>
  <si>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</si>
  <si>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</si>
  <si>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</si>
  <si>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</si>
  <si>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</si>
  <si>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</si>
  <si>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</si>
  <si>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</si>
  <si>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</si>
  <si>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</si>
  <si>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</si>
  <si>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</si>
  <si>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</si>
  <si>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</si>
  <si>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</si>
  <si>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</si>
  <si>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</si>
  <si>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</si>
  <si>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</si>
  <si>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</si>
  <si>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</si>
  <si>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</si>
  <si>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</si>
  <si>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</si>
  <si>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</si>
  <si>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</si>
  <si>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</si>
  <si>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</si>
  <si>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</si>
  <si>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</si>
  <si>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</si>
  <si>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</si>
  <si>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</si>
  <si>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</si>
  <si>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</si>
  <si>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</si>
  <si>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</si>
  <si>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</si>
  <si>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</si>
  <si>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</si>
  <si>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</si>
  <si>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</si>
  <si>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</si>
  <si>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</si>
  <si>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</si>
  <si>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</si>
  <si>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</si>
  <si>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</si>
  <si>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</si>
  <si>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</si>
  <si>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</si>
  <si>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</si>
  <si>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</si>
  <si>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</si>
  <si>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</si>
  <si>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</si>
  <si>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</si>
  <si>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</si>
  <si>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</si>
  <si>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</si>
  <si>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</si>
  <si>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</si>
  <si>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</si>
  <si>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</si>
  <si>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</si>
  <si>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</si>
  <si>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</si>
  <si>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</si>
  <si>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</si>
  <si>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</si>
  <si>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</si>
  <si>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</si>
  <si>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</si>
  <si>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</si>
  <si>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</si>
  <si>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</si>
  <si>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</si>
  <si>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</si>
  <si>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</si>
  <si>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</si>
  <si>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</si>
  <si>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</si>
  <si>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</si>
  <si>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</si>
  <si>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</si>
  <si>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</si>
  <si>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</si>
  <si>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</si>
  <si>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</si>
  <si>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</si>
  <si>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</si>
  <si>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</si>
  <si>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</si>
  <si>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</si>
  <si>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</si>
  <si>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</si>
  <si>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</si>
  <si>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</si>
  <si>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</si>
  <si>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</si>
  <si>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</si>
  <si>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</si>
  <si>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</si>
  <si>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</si>
  <si>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</si>
  <si>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</si>
  <si>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</si>
  <si>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</si>
  <si>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</si>
  <si>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</si>
  <si>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</si>
  <si>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</si>
  <si>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</si>
  <si>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</si>
  <si>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</si>
  <si>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</si>
  <si>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</si>
  <si>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</si>
  <si>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</si>
  <si>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</si>
  <si>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</si>
  <si>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</si>
  <si>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</si>
  <si>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</si>
  <si>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</si>
  <si>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</si>
  <si>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</si>
  <si>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</si>
  <si>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</si>
  <si>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</si>
  <si>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</si>
  <si>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</si>
  <si>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</si>
  <si>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</si>
  <si>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</si>
  <si>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</si>
  <si>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</si>
  <si>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</si>
  <si>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</si>
  <si>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</si>
  <si>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</si>
  <si>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</si>
  <si>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</si>
  <si>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</si>
  <si>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</si>
  <si>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</si>
  <si>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</si>
  <si>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</si>
  <si>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</si>
  <si>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</si>
  <si>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</si>
  <si>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</si>
  <si>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</si>
  <si>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</si>
  <si>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</si>
  <si>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</si>
  <si>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</si>
  <si>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</si>
  <si>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</si>
  <si>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</si>
  <si>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</si>
  <si>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</si>
  <si>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</si>
  <si>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</si>
  <si>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</si>
  <si>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</si>
  <si>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</si>
  <si>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</si>
  <si>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</si>
  <si>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</si>
  <si>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</si>
  <si>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</si>
  <si>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</si>
  <si>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</si>
  <si>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</si>
  <si>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</si>
  <si>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</si>
  <si>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</si>
  <si>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</si>
  <si>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</si>
  <si>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</si>
  <si>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</si>
  <si>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</si>
  <si>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</si>
  <si>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</si>
  <si>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</si>
  <si>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</si>
  <si>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</si>
  <si>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</si>
  <si>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</si>
  <si>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</si>
  <si>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</si>
  <si>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</si>
  <si>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</si>
  <si>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</si>
  <si>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</si>
  <si>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</si>
  <si>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</si>
  <si>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</si>
  <si>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</si>
  <si>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</si>
  <si>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</si>
  <si>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</si>
  <si>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</si>
  <si>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</si>
  <si>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</si>
  <si>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</si>
  <si>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</si>
  <si>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</si>
  <si>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</si>
  <si>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</si>
  <si>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</si>
  <si>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</si>
  <si>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</si>
  <si>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</si>
  <si>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</si>
  <si>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</si>
  <si>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</si>
  <si>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</si>
  <si>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</si>
  <si>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</si>
  <si>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</si>
  <si>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</si>
  <si>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</si>
  <si>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</si>
  <si>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</si>
  <si>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</si>
  <si>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</si>
  <si>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</si>
  <si>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</si>
  <si>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</si>
  <si>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</si>
  <si>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</si>
  <si>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</si>
  <si>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</si>
  <si>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</si>
  <si>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</si>
  <si>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</si>
  <si>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31006</t>
  </si>
  <si>
    <t>DAMME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</si>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</sst>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96210.009632286863</c:v>
                </c:pt>
                <c:pt idx="1">
                  <c:v>29002.02686504028</c:v>
                </c:pt>
                <c:pt idx="2">
                  <c:v>914.81799999999998</c:v>
                </c:pt>
                <c:pt idx="3">
                  <c:v>16341.408269330612</c:v>
                </c:pt>
                <c:pt idx="4">
                  <c:v>5242.8237598793476</c:v>
                </c:pt>
                <c:pt idx="5">
                  <c:v>153030.53041455508</c:v>
                </c:pt>
                <c:pt idx="6">
                  <c:v>1363.6257650887396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96210.009632286863</c:v>
                </c:pt>
                <c:pt idx="1">
                  <c:v>29002.02686504028</c:v>
                </c:pt>
                <c:pt idx="2">
                  <c:v>914.81799999999998</c:v>
                </c:pt>
                <c:pt idx="3">
                  <c:v>16341.408269330612</c:v>
                </c:pt>
                <c:pt idx="4">
                  <c:v>5242.8237598793476</c:v>
                </c:pt>
                <c:pt idx="5">
                  <c:v>153030.53041455508</c:v>
                </c:pt>
                <c:pt idx="6">
                  <c:v>1363.6257650887396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19444.933601717512</c:v>
                </c:pt>
                <c:pt idx="1">
                  <c:v>5736.1238955169174</c:v>
                </c:pt>
                <c:pt idx="2">
                  <c:v>176.70562529226575</c:v>
                </c:pt>
                <c:pt idx="3">
                  <c:v>3995.3641785373602</c:v>
                </c:pt>
                <c:pt idx="4">
                  <c:v>1066.6617194259006</c:v>
                </c:pt>
                <c:pt idx="5">
                  <c:v>37963.078365249843</c:v>
                </c:pt>
                <c:pt idx="6">
                  <c:v>343.11387012333614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19444.933601717512</c:v>
                </c:pt>
                <c:pt idx="1">
                  <c:v>5736.1238955169174</c:v>
                </c:pt>
                <c:pt idx="2">
                  <c:v>176.70562529226575</c:v>
                </c:pt>
                <c:pt idx="3">
                  <c:v>3995.3641785373602</c:v>
                </c:pt>
                <c:pt idx="4">
                  <c:v>1066.6617194259006</c:v>
                </c:pt>
                <c:pt idx="5">
                  <c:v>37963.078365249843</c:v>
                </c:pt>
                <c:pt idx="6">
                  <c:v>343.11387012333614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31006</v>
      </c>
      <c r="B6" s="386"/>
      <c r="C6" s="387"/>
    </row>
    <row r="7" spans="1:7" s="384" customFormat="1" ht="15.75" customHeight="1">
      <c r="A7" s="388" t="str">
        <f>txtMunicipality</f>
        <v>DAMME</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12396.30952836405</v>
      </c>
      <c r="D10" s="683">
        <f ca="1">tertiair!C16</f>
        <v>0</v>
      </c>
      <c r="E10" s="683">
        <f ca="1">tertiair!D16</f>
        <v>14603.403679164976</v>
      </c>
      <c r="F10" s="683">
        <f>tertiair!E16</f>
        <v>44.291379677740082</v>
      </c>
      <c r="G10" s="683">
        <f ca="1">tertiair!F16</f>
        <v>2091.4624991023884</v>
      </c>
      <c r="H10" s="683">
        <f>tertiair!G16</f>
        <v>0</v>
      </c>
      <c r="I10" s="683">
        <f>tertiair!H16</f>
        <v>0</v>
      </c>
      <c r="J10" s="683">
        <f>tertiair!I16</f>
        <v>0</v>
      </c>
      <c r="K10" s="683">
        <f>tertiair!J16</f>
        <v>1.2978648783520194E-2</v>
      </c>
      <c r="L10" s="683">
        <f>tertiair!K16</f>
        <v>0</v>
      </c>
      <c r="M10" s="683">
        <f ca="1">tertiair!L16</f>
        <v>0</v>
      </c>
      <c r="N10" s="683">
        <f>tertiair!M16</f>
        <v>0</v>
      </c>
      <c r="O10" s="683">
        <f ca="1">tertiair!N16</f>
        <v>503.97732625234005</v>
      </c>
      <c r="P10" s="683">
        <f>tertiair!O16</f>
        <v>14.691782297523464</v>
      </c>
      <c r="Q10" s="684">
        <f>tertiair!P16</f>
        <v>262.69569153247511</v>
      </c>
      <c r="R10" s="686">
        <f ca="1">SUM(C10:Q10)</f>
        <v>29916.844865040279</v>
      </c>
      <c r="S10" s="67"/>
    </row>
    <row r="11" spans="1:19" s="445" customFormat="1">
      <c r="A11" s="804" t="s">
        <v>220</v>
      </c>
      <c r="B11" s="809"/>
      <c r="C11" s="683">
        <f>huishoudens!B8</f>
        <v>21147.714262980619</v>
      </c>
      <c r="D11" s="683">
        <f>huishoudens!C8</f>
        <v>0</v>
      </c>
      <c r="E11" s="683">
        <f>huishoudens!D8</f>
        <v>41978.212365827116</v>
      </c>
      <c r="F11" s="683">
        <f>huishoudens!E8</f>
        <v>1124.2098715427176</v>
      </c>
      <c r="G11" s="683">
        <f>huishoudens!F8</f>
        <v>24627.621902715797</v>
      </c>
      <c r="H11" s="683">
        <f>huishoudens!G8</f>
        <v>0</v>
      </c>
      <c r="I11" s="683">
        <f>huishoudens!H8</f>
        <v>0</v>
      </c>
      <c r="J11" s="683">
        <f>huishoudens!I8</f>
        <v>0</v>
      </c>
      <c r="K11" s="683">
        <f>huishoudens!J8</f>
        <v>140.35551083914152</v>
      </c>
      <c r="L11" s="683">
        <f>huishoudens!K8</f>
        <v>0</v>
      </c>
      <c r="M11" s="683">
        <f>huishoudens!L8</f>
        <v>0</v>
      </c>
      <c r="N11" s="683">
        <f>huishoudens!M8</f>
        <v>0</v>
      </c>
      <c r="O11" s="683">
        <f>huishoudens!N8</f>
        <v>6134.6769327607954</v>
      </c>
      <c r="P11" s="683">
        <f>huishoudens!O8</f>
        <v>414.64726785188964</v>
      </c>
      <c r="Q11" s="684">
        <f>huishoudens!P8</f>
        <v>642.57151776878641</v>
      </c>
      <c r="R11" s="686">
        <f>SUM(C11:Q11)</f>
        <v>96210.009632286863</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2330.0827811599183</v>
      </c>
      <c r="D13" s="683">
        <f>industrie!C18</f>
        <v>0</v>
      </c>
      <c r="E13" s="683">
        <f>industrie!D18</f>
        <v>1959.4794217541785</v>
      </c>
      <c r="F13" s="683">
        <f>industrie!E18</f>
        <v>10.145078072569902</v>
      </c>
      <c r="G13" s="683">
        <f>industrie!F18</f>
        <v>813.59840703447958</v>
      </c>
      <c r="H13" s="683">
        <f>industrie!G18</f>
        <v>0</v>
      </c>
      <c r="I13" s="683">
        <f>industrie!H18</f>
        <v>0</v>
      </c>
      <c r="J13" s="683">
        <f>industrie!I18</f>
        <v>0</v>
      </c>
      <c r="K13" s="683">
        <f>industrie!J18</f>
        <v>3.4914037852599771</v>
      </c>
      <c r="L13" s="683">
        <f>industrie!K18</f>
        <v>0</v>
      </c>
      <c r="M13" s="683">
        <f>industrie!L18</f>
        <v>0</v>
      </c>
      <c r="N13" s="683">
        <f>industrie!M18</f>
        <v>0</v>
      </c>
      <c r="O13" s="683">
        <f>industrie!N18</f>
        <v>126.02666807294231</v>
      </c>
      <c r="P13" s="683">
        <f>industrie!O18</f>
        <v>0</v>
      </c>
      <c r="Q13" s="684">
        <f>industrie!P18</f>
        <v>0</v>
      </c>
      <c r="R13" s="686">
        <f>SUM(C13:Q13)</f>
        <v>5242.8237598793476</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35874.106572504585</v>
      </c>
      <c r="D16" s="719">
        <f t="shared" ref="D16:R16" ca="1" si="0">SUM(D9:D15)</f>
        <v>0</v>
      </c>
      <c r="E16" s="719">
        <f t="shared" ca="1" si="0"/>
        <v>58541.095466746272</v>
      </c>
      <c r="F16" s="719">
        <f t="shared" si="0"/>
        <v>1178.6463292930275</v>
      </c>
      <c r="G16" s="719">
        <f t="shared" ca="1" si="0"/>
        <v>27532.682808852664</v>
      </c>
      <c r="H16" s="719">
        <f t="shared" si="0"/>
        <v>0</v>
      </c>
      <c r="I16" s="719">
        <f t="shared" si="0"/>
        <v>0</v>
      </c>
      <c r="J16" s="719">
        <f t="shared" si="0"/>
        <v>0</v>
      </c>
      <c r="K16" s="719">
        <f t="shared" si="0"/>
        <v>143.85989327318504</v>
      </c>
      <c r="L16" s="719">
        <f t="shared" si="0"/>
        <v>0</v>
      </c>
      <c r="M16" s="719">
        <f t="shared" ca="1" si="0"/>
        <v>0</v>
      </c>
      <c r="N16" s="719">
        <f t="shared" si="0"/>
        <v>0</v>
      </c>
      <c r="O16" s="719">
        <f t="shared" ca="1" si="0"/>
        <v>6764.6809270860776</v>
      </c>
      <c r="P16" s="719">
        <f t="shared" si="0"/>
        <v>429.33905014941308</v>
      </c>
      <c r="Q16" s="719">
        <f t="shared" si="0"/>
        <v>905.26720930126157</v>
      </c>
      <c r="R16" s="719">
        <f t="shared" ca="1" si="0"/>
        <v>131369.67825720648</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20.2927898605883</v>
      </c>
      <c r="D19" s="683">
        <f>transport!C54</f>
        <v>0</v>
      </c>
      <c r="E19" s="683">
        <f>transport!D54</f>
        <v>0</v>
      </c>
      <c r="F19" s="683">
        <f>transport!E54</f>
        <v>0</v>
      </c>
      <c r="G19" s="683">
        <f>transport!F54</f>
        <v>0</v>
      </c>
      <c r="H19" s="683">
        <f>transport!G54</f>
        <v>1270.3899946732627</v>
      </c>
      <c r="I19" s="683">
        <f>transport!H54</f>
        <v>0</v>
      </c>
      <c r="J19" s="683">
        <f>transport!I54</f>
        <v>0</v>
      </c>
      <c r="K19" s="683">
        <f>transport!J54</f>
        <v>0</v>
      </c>
      <c r="L19" s="683">
        <f>transport!K54</f>
        <v>0</v>
      </c>
      <c r="M19" s="683">
        <f>transport!L54</f>
        <v>0</v>
      </c>
      <c r="N19" s="683">
        <f>transport!M54</f>
        <v>72.942980554888621</v>
      </c>
      <c r="O19" s="683">
        <f>transport!N54</f>
        <v>0</v>
      </c>
      <c r="P19" s="683">
        <f>transport!O54</f>
        <v>0</v>
      </c>
      <c r="Q19" s="684">
        <f>transport!P54</f>
        <v>0</v>
      </c>
      <c r="R19" s="686">
        <f>SUM(C19:Q19)</f>
        <v>1363.6257650887396</v>
      </c>
      <c r="S19" s="67"/>
    </row>
    <row r="20" spans="1:19" s="445" customFormat="1">
      <c r="A20" s="804" t="s">
        <v>302</v>
      </c>
      <c r="B20" s="809"/>
      <c r="C20" s="683">
        <f>transport!B14</f>
        <v>320.38247455086093</v>
      </c>
      <c r="D20" s="683">
        <f>transport!C14</f>
        <v>0</v>
      </c>
      <c r="E20" s="683">
        <f>transport!D14</f>
        <v>595.1783843693953</v>
      </c>
      <c r="F20" s="683">
        <f>transport!E14</f>
        <v>232.03702844336277</v>
      </c>
      <c r="G20" s="683">
        <f>transport!F14</f>
        <v>0</v>
      </c>
      <c r="H20" s="683">
        <f>transport!G14</f>
        <v>114182.83993278028</v>
      </c>
      <c r="I20" s="683">
        <f>transport!H14</f>
        <v>29082.236153825594</v>
      </c>
      <c r="J20" s="683">
        <f>transport!I14</f>
        <v>0</v>
      </c>
      <c r="K20" s="683">
        <f>transport!J14</f>
        <v>0</v>
      </c>
      <c r="L20" s="683">
        <f>transport!K14</f>
        <v>0</v>
      </c>
      <c r="M20" s="683">
        <f>transport!L14</f>
        <v>0</v>
      </c>
      <c r="N20" s="683">
        <f>transport!M14</f>
        <v>8617.8564405855923</v>
      </c>
      <c r="O20" s="683">
        <f>transport!N14</f>
        <v>0</v>
      </c>
      <c r="P20" s="683">
        <f>transport!O14</f>
        <v>0</v>
      </c>
      <c r="Q20" s="684">
        <f>transport!P14</f>
        <v>0</v>
      </c>
      <c r="R20" s="686">
        <f>SUM(C20:Q20)</f>
        <v>153030.53041455508</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340.67526441144923</v>
      </c>
      <c r="D22" s="807">
        <f t="shared" ref="D22:R22" si="1">SUM(D18:D21)</f>
        <v>0</v>
      </c>
      <c r="E22" s="807">
        <f t="shared" si="1"/>
        <v>595.1783843693953</v>
      </c>
      <c r="F22" s="807">
        <f t="shared" si="1"/>
        <v>232.03702844336277</v>
      </c>
      <c r="G22" s="807">
        <f t="shared" si="1"/>
        <v>0</v>
      </c>
      <c r="H22" s="807">
        <f t="shared" si="1"/>
        <v>115453.22992745353</v>
      </c>
      <c r="I22" s="807">
        <f t="shared" si="1"/>
        <v>29082.236153825594</v>
      </c>
      <c r="J22" s="807">
        <f t="shared" si="1"/>
        <v>0</v>
      </c>
      <c r="K22" s="807">
        <f t="shared" si="1"/>
        <v>0</v>
      </c>
      <c r="L22" s="807">
        <f t="shared" si="1"/>
        <v>0</v>
      </c>
      <c r="M22" s="807">
        <f t="shared" si="1"/>
        <v>0</v>
      </c>
      <c r="N22" s="807">
        <f t="shared" si="1"/>
        <v>8690.7994211404803</v>
      </c>
      <c r="O22" s="807">
        <f t="shared" si="1"/>
        <v>0</v>
      </c>
      <c r="P22" s="807">
        <f t="shared" si="1"/>
        <v>0</v>
      </c>
      <c r="Q22" s="807">
        <f t="shared" si="1"/>
        <v>0</v>
      </c>
      <c r="R22" s="807">
        <f t="shared" si="1"/>
        <v>154394.15617964382</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2938.87717917807</v>
      </c>
      <c r="D24" s="683">
        <f>+landbouw!C8</f>
        <v>0</v>
      </c>
      <c r="E24" s="683">
        <f>+landbouw!D8</f>
        <v>3268.1254607508035</v>
      </c>
      <c r="F24" s="683">
        <f>+landbouw!E8</f>
        <v>84.174415902391061</v>
      </c>
      <c r="G24" s="683">
        <f>+landbouw!F8</f>
        <v>9302.9670346075745</v>
      </c>
      <c r="H24" s="683">
        <f>+landbouw!G8</f>
        <v>0</v>
      </c>
      <c r="I24" s="683">
        <f>+landbouw!H8</f>
        <v>0</v>
      </c>
      <c r="J24" s="683">
        <f>+landbouw!I8</f>
        <v>0</v>
      </c>
      <c r="K24" s="683">
        <f>+landbouw!J8</f>
        <v>747.26417889177185</v>
      </c>
      <c r="L24" s="683">
        <f>+landbouw!K8</f>
        <v>0</v>
      </c>
      <c r="M24" s="683">
        <f>+landbouw!L8</f>
        <v>0</v>
      </c>
      <c r="N24" s="683">
        <f>+landbouw!M8</f>
        <v>0</v>
      </c>
      <c r="O24" s="683">
        <f>+landbouw!N8</f>
        <v>0</v>
      </c>
      <c r="P24" s="683">
        <f>+landbouw!O8</f>
        <v>0</v>
      </c>
      <c r="Q24" s="684">
        <f>+landbouw!P8</f>
        <v>0</v>
      </c>
      <c r="R24" s="686">
        <f>SUM(C24:Q24)</f>
        <v>16341.408269330612</v>
      </c>
      <c r="S24" s="67"/>
    </row>
    <row r="25" spans="1:19" s="445" customFormat="1" ht="15" thickBot="1">
      <c r="A25" s="826" t="s">
        <v>696</v>
      </c>
      <c r="B25" s="939"/>
      <c r="C25" s="940">
        <f>IF(Onbekend_ele_kWh="---",0,Onbekend_ele_kWh)/1000+IF(REST_rest_ele_kWh="---",0,REST_rest_ele_kWh)/1000</f>
        <v>574.80312087860102</v>
      </c>
      <c r="D25" s="940"/>
      <c r="E25" s="940">
        <f>IF(onbekend_gas_kWh="---",0,onbekend_gas_kWh)/1000+IF(REST_rest_gas_kWh="---",0,REST_rest_gas_kWh)/1000</f>
        <v>1536.41335517829</v>
      </c>
      <c r="F25" s="940"/>
      <c r="G25" s="940"/>
      <c r="H25" s="940"/>
      <c r="I25" s="940"/>
      <c r="J25" s="940"/>
      <c r="K25" s="940"/>
      <c r="L25" s="940"/>
      <c r="M25" s="940"/>
      <c r="N25" s="940"/>
      <c r="O25" s="940"/>
      <c r="P25" s="940"/>
      <c r="Q25" s="941"/>
      <c r="R25" s="686">
        <f>SUM(C25:Q25)</f>
        <v>2111.2164760568912</v>
      </c>
      <c r="S25" s="67"/>
    </row>
    <row r="26" spans="1:19" s="445" customFormat="1" ht="15.75" thickBot="1">
      <c r="A26" s="691" t="s">
        <v>697</v>
      </c>
      <c r="B26" s="812"/>
      <c r="C26" s="807">
        <f>SUM(C24:C25)</f>
        <v>3513.6803000566711</v>
      </c>
      <c r="D26" s="807">
        <f t="shared" ref="D26:R26" si="2">SUM(D24:D25)</f>
        <v>0</v>
      </c>
      <c r="E26" s="807">
        <f t="shared" si="2"/>
        <v>4804.5388159290933</v>
      </c>
      <c r="F26" s="807">
        <f t="shared" si="2"/>
        <v>84.174415902391061</v>
      </c>
      <c r="G26" s="807">
        <f t="shared" si="2"/>
        <v>9302.9670346075745</v>
      </c>
      <c r="H26" s="807">
        <f t="shared" si="2"/>
        <v>0</v>
      </c>
      <c r="I26" s="807">
        <f t="shared" si="2"/>
        <v>0</v>
      </c>
      <c r="J26" s="807">
        <f t="shared" si="2"/>
        <v>0</v>
      </c>
      <c r="K26" s="807">
        <f t="shared" si="2"/>
        <v>747.26417889177185</v>
      </c>
      <c r="L26" s="807">
        <f t="shared" si="2"/>
        <v>0</v>
      </c>
      <c r="M26" s="807">
        <f t="shared" si="2"/>
        <v>0</v>
      </c>
      <c r="N26" s="807">
        <f t="shared" si="2"/>
        <v>0</v>
      </c>
      <c r="O26" s="807">
        <f t="shared" si="2"/>
        <v>0</v>
      </c>
      <c r="P26" s="807">
        <f t="shared" si="2"/>
        <v>0</v>
      </c>
      <c r="Q26" s="807">
        <f t="shared" si="2"/>
        <v>0</v>
      </c>
      <c r="R26" s="807">
        <f t="shared" si="2"/>
        <v>18452.624745387504</v>
      </c>
      <c r="S26" s="67"/>
    </row>
    <row r="27" spans="1:19" s="445" customFormat="1" ht="17.25" thickTop="1" thickBot="1">
      <c r="A27" s="692" t="s">
        <v>115</v>
      </c>
      <c r="B27" s="799"/>
      <c r="C27" s="693">
        <f ca="1">C22+C16+C26</f>
        <v>39728.462136972703</v>
      </c>
      <c r="D27" s="693">
        <f t="shared" ref="D27:R27" ca="1" si="3">D22+D16+D26</f>
        <v>0</v>
      </c>
      <c r="E27" s="693">
        <f t="shared" ca="1" si="3"/>
        <v>63940.81266704476</v>
      </c>
      <c r="F27" s="693">
        <f t="shared" si="3"/>
        <v>1494.8577736387813</v>
      </c>
      <c r="G27" s="693">
        <f t="shared" ca="1" si="3"/>
        <v>36835.64984346024</v>
      </c>
      <c r="H27" s="693">
        <f t="shared" si="3"/>
        <v>115453.22992745353</v>
      </c>
      <c r="I27" s="693">
        <f t="shared" si="3"/>
        <v>29082.236153825594</v>
      </c>
      <c r="J27" s="693">
        <f t="shared" si="3"/>
        <v>0</v>
      </c>
      <c r="K27" s="693">
        <f t="shared" si="3"/>
        <v>891.12407216495694</v>
      </c>
      <c r="L27" s="693">
        <f t="shared" si="3"/>
        <v>0</v>
      </c>
      <c r="M27" s="693">
        <f t="shared" ca="1" si="3"/>
        <v>0</v>
      </c>
      <c r="N27" s="693">
        <f t="shared" si="3"/>
        <v>8690.7994211404803</v>
      </c>
      <c r="O27" s="693">
        <f t="shared" ca="1" si="3"/>
        <v>6764.6809270860776</v>
      </c>
      <c r="P27" s="693">
        <f t="shared" si="3"/>
        <v>429.33905014941308</v>
      </c>
      <c r="Q27" s="693">
        <f t="shared" si="3"/>
        <v>905.26720930126157</v>
      </c>
      <c r="R27" s="693">
        <f t="shared" ca="1" si="3"/>
        <v>304216.4591822378</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2394.4627527290036</v>
      </c>
      <c r="D40" s="683">
        <f ca="1">tertiair!C20</f>
        <v>0</v>
      </c>
      <c r="E40" s="683">
        <f ca="1">tertiair!D20</f>
        <v>2949.8875431913252</v>
      </c>
      <c r="F40" s="683">
        <f>tertiair!E20</f>
        <v>10.054143186846998</v>
      </c>
      <c r="G40" s="683">
        <f ca="1">tertiair!F20</f>
        <v>558.42048726033772</v>
      </c>
      <c r="H40" s="683">
        <f>tertiair!G20</f>
        <v>0</v>
      </c>
      <c r="I40" s="683">
        <f>tertiair!H20</f>
        <v>0</v>
      </c>
      <c r="J40" s="683">
        <f>tertiair!I20</f>
        <v>0</v>
      </c>
      <c r="K40" s="683">
        <f>tertiair!J20</f>
        <v>4.5944416693661488E-3</v>
      </c>
      <c r="L40" s="683">
        <f>tertiair!K20</f>
        <v>0</v>
      </c>
      <c r="M40" s="683">
        <f ca="1">tertiair!L20</f>
        <v>0</v>
      </c>
      <c r="N40" s="683">
        <f>tertiair!M20</f>
        <v>0</v>
      </c>
      <c r="O40" s="683">
        <f ca="1">tertiair!N20</f>
        <v>0</v>
      </c>
      <c r="P40" s="683">
        <f>tertiair!O20</f>
        <v>0</v>
      </c>
      <c r="Q40" s="766">
        <f>tertiair!P20</f>
        <v>0</v>
      </c>
      <c r="R40" s="845">
        <f t="shared" ca="1" si="4"/>
        <v>5912.8295208091831</v>
      </c>
    </row>
    <row r="41" spans="1:18">
      <c r="A41" s="817" t="s">
        <v>220</v>
      </c>
      <c r="B41" s="824"/>
      <c r="C41" s="683">
        <f ca="1">huishoudens!B12</f>
        <v>4084.8781641180622</v>
      </c>
      <c r="D41" s="683">
        <f ca="1">huishoudens!C12</f>
        <v>0</v>
      </c>
      <c r="E41" s="683">
        <f>huishoudens!D12</f>
        <v>8479.5988978970781</v>
      </c>
      <c r="F41" s="683">
        <f>huishoudens!E12</f>
        <v>255.19564084019689</v>
      </c>
      <c r="G41" s="683">
        <f>huishoudens!F12</f>
        <v>6575.5750480251181</v>
      </c>
      <c r="H41" s="683">
        <f>huishoudens!G12</f>
        <v>0</v>
      </c>
      <c r="I41" s="683">
        <f>huishoudens!H12</f>
        <v>0</v>
      </c>
      <c r="J41" s="683">
        <f>huishoudens!I12</f>
        <v>0</v>
      </c>
      <c r="K41" s="683">
        <f>huishoudens!J12</f>
        <v>49.685850837056094</v>
      </c>
      <c r="L41" s="683">
        <f>huishoudens!K12</f>
        <v>0</v>
      </c>
      <c r="M41" s="683">
        <f>huishoudens!L12</f>
        <v>0</v>
      </c>
      <c r="N41" s="683">
        <f>huishoudens!M12</f>
        <v>0</v>
      </c>
      <c r="O41" s="683">
        <f>huishoudens!N12</f>
        <v>0</v>
      </c>
      <c r="P41" s="683">
        <f>huishoudens!O12</f>
        <v>0</v>
      </c>
      <c r="Q41" s="766">
        <f>huishoudens!P12</f>
        <v>0</v>
      </c>
      <c r="R41" s="845">
        <f t="shared" ca="1" si="4"/>
        <v>19444.933601717512</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450.07721189089523</v>
      </c>
      <c r="D43" s="683">
        <f ca="1">industrie!C22</f>
        <v>0</v>
      </c>
      <c r="E43" s="683">
        <f>industrie!D22</f>
        <v>395.81484319434406</v>
      </c>
      <c r="F43" s="683">
        <f>industrie!E22</f>
        <v>2.302932722473368</v>
      </c>
      <c r="G43" s="683">
        <f>industrie!F22</f>
        <v>217.23077467820605</v>
      </c>
      <c r="H43" s="683">
        <f>industrie!G22</f>
        <v>0</v>
      </c>
      <c r="I43" s="683">
        <f>industrie!H22</f>
        <v>0</v>
      </c>
      <c r="J43" s="683">
        <f>industrie!I22</f>
        <v>0</v>
      </c>
      <c r="K43" s="683">
        <f>industrie!J22</f>
        <v>1.2359569399820318</v>
      </c>
      <c r="L43" s="683">
        <f>industrie!K22</f>
        <v>0</v>
      </c>
      <c r="M43" s="683">
        <f>industrie!L22</f>
        <v>0</v>
      </c>
      <c r="N43" s="683">
        <f>industrie!M22</f>
        <v>0</v>
      </c>
      <c r="O43" s="683">
        <f>industrie!N22</f>
        <v>0</v>
      </c>
      <c r="P43" s="683">
        <f>industrie!O22</f>
        <v>0</v>
      </c>
      <c r="Q43" s="766">
        <f>industrie!P22</f>
        <v>0</v>
      </c>
      <c r="R43" s="844">
        <f t="shared" ca="1" si="4"/>
        <v>1066.6617194259006</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6929.4181287379615</v>
      </c>
      <c r="D46" s="719">
        <f t="shared" ref="D46:Q46" ca="1" si="5">SUM(D39:D45)</f>
        <v>0</v>
      </c>
      <c r="E46" s="719">
        <f t="shared" ca="1" si="5"/>
        <v>11825.301284282748</v>
      </c>
      <c r="F46" s="719">
        <f t="shared" si="5"/>
        <v>267.55271674951723</v>
      </c>
      <c r="G46" s="719">
        <f t="shared" ca="1" si="5"/>
        <v>7351.2263099636621</v>
      </c>
      <c r="H46" s="719">
        <f t="shared" si="5"/>
        <v>0</v>
      </c>
      <c r="I46" s="719">
        <f t="shared" si="5"/>
        <v>0</v>
      </c>
      <c r="J46" s="719">
        <f t="shared" si="5"/>
        <v>0</v>
      </c>
      <c r="K46" s="719">
        <f t="shared" si="5"/>
        <v>50.926402218707494</v>
      </c>
      <c r="L46" s="719">
        <f t="shared" si="5"/>
        <v>0</v>
      </c>
      <c r="M46" s="719">
        <f t="shared" ca="1" si="5"/>
        <v>0</v>
      </c>
      <c r="N46" s="719">
        <f t="shared" si="5"/>
        <v>0</v>
      </c>
      <c r="O46" s="719">
        <f t="shared" ca="1" si="5"/>
        <v>0</v>
      </c>
      <c r="P46" s="719">
        <f t="shared" si="5"/>
        <v>0</v>
      </c>
      <c r="Q46" s="719">
        <f t="shared" si="5"/>
        <v>0</v>
      </c>
      <c r="R46" s="719">
        <f ca="1">SUM(R39:R45)</f>
        <v>26424.424841952597</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3.9197415455749733</v>
      </c>
      <c r="D49" s="683">
        <f ca="1">transport!C58</f>
        <v>0</v>
      </c>
      <c r="E49" s="683">
        <f>transport!D58</f>
        <v>0</v>
      </c>
      <c r="F49" s="683">
        <f>transport!E58</f>
        <v>0</v>
      </c>
      <c r="G49" s="683">
        <f>transport!F58</f>
        <v>0</v>
      </c>
      <c r="H49" s="683">
        <f>transport!G58</f>
        <v>339.19412857776115</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343.11387012333614</v>
      </c>
    </row>
    <row r="50" spans="1:18">
      <c r="A50" s="820" t="s">
        <v>302</v>
      </c>
      <c r="B50" s="830"/>
      <c r="C50" s="689">
        <f ca="1">transport!B18</f>
        <v>61.884861795672258</v>
      </c>
      <c r="D50" s="689">
        <f>transport!C18</f>
        <v>0</v>
      </c>
      <c r="E50" s="689">
        <f>transport!D18</f>
        <v>120.22603364261786</v>
      </c>
      <c r="F50" s="689">
        <f>transport!E18</f>
        <v>52.672405456643354</v>
      </c>
      <c r="G50" s="689">
        <f>transport!F18</f>
        <v>0</v>
      </c>
      <c r="H50" s="689">
        <f>transport!G18</f>
        <v>30486.818262052337</v>
      </c>
      <c r="I50" s="689">
        <f>transport!H18</f>
        <v>7241.4768023025727</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37963.078365249843</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65.80460334124723</v>
      </c>
      <c r="D52" s="719">
        <f t="shared" ref="D52:Q52" ca="1" si="6">SUM(D48:D51)</f>
        <v>0</v>
      </c>
      <c r="E52" s="719">
        <f t="shared" si="6"/>
        <v>120.22603364261786</v>
      </c>
      <c r="F52" s="719">
        <f t="shared" si="6"/>
        <v>52.672405456643354</v>
      </c>
      <c r="G52" s="719">
        <f t="shared" si="6"/>
        <v>0</v>
      </c>
      <c r="H52" s="719">
        <f t="shared" si="6"/>
        <v>30826.012390630098</v>
      </c>
      <c r="I52" s="719">
        <f t="shared" si="6"/>
        <v>7241.4768023025727</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38306.192235373179</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567.67152548794513</v>
      </c>
      <c r="D54" s="689">
        <f ca="1">+landbouw!C12</f>
        <v>0</v>
      </c>
      <c r="E54" s="689">
        <f>+landbouw!D12</f>
        <v>660.16134307166237</v>
      </c>
      <c r="F54" s="689">
        <f>+landbouw!E12</f>
        <v>19.10759240984277</v>
      </c>
      <c r="G54" s="689">
        <f>+landbouw!F12</f>
        <v>2483.8921982402226</v>
      </c>
      <c r="H54" s="689">
        <f>+landbouw!G12</f>
        <v>0</v>
      </c>
      <c r="I54" s="689">
        <f>+landbouw!H12</f>
        <v>0</v>
      </c>
      <c r="J54" s="689">
        <f>+landbouw!I12</f>
        <v>0</v>
      </c>
      <c r="K54" s="689">
        <f>+landbouw!J12</f>
        <v>264.53151932768719</v>
      </c>
      <c r="L54" s="689">
        <f>+landbouw!K12</f>
        <v>0</v>
      </c>
      <c r="M54" s="689">
        <f>+landbouw!L12</f>
        <v>0</v>
      </c>
      <c r="N54" s="689">
        <f>+landbouw!M12</f>
        <v>0</v>
      </c>
      <c r="O54" s="689">
        <f>+landbouw!N12</f>
        <v>0</v>
      </c>
      <c r="P54" s="689">
        <f>+landbouw!O12</f>
        <v>0</v>
      </c>
      <c r="Q54" s="690">
        <f>+landbouw!P12</f>
        <v>0</v>
      </c>
      <c r="R54" s="718">
        <f ca="1">SUM(C54:Q54)</f>
        <v>3995.3641785373602</v>
      </c>
    </row>
    <row r="55" spans="1:18" ht="15" thickBot="1">
      <c r="A55" s="820" t="s">
        <v>696</v>
      </c>
      <c r="B55" s="830"/>
      <c r="C55" s="689">
        <f ca="1">C25*'EF ele_warmte'!B12</f>
        <v>111.02858152637903</v>
      </c>
      <c r="D55" s="689"/>
      <c r="E55" s="689">
        <f>E25*EF_CO2_aardgas</f>
        <v>310.35549774601458</v>
      </c>
      <c r="F55" s="689"/>
      <c r="G55" s="689"/>
      <c r="H55" s="689"/>
      <c r="I55" s="689"/>
      <c r="J55" s="689"/>
      <c r="K55" s="689"/>
      <c r="L55" s="689"/>
      <c r="M55" s="689"/>
      <c r="N55" s="689"/>
      <c r="O55" s="689"/>
      <c r="P55" s="689"/>
      <c r="Q55" s="690"/>
      <c r="R55" s="718">
        <f ca="1">SUM(C55:Q55)</f>
        <v>421.38407927239359</v>
      </c>
    </row>
    <row r="56" spans="1:18" ht="15.75" thickBot="1">
      <c r="A56" s="818" t="s">
        <v>697</v>
      </c>
      <c r="B56" s="831"/>
      <c r="C56" s="719">
        <f ca="1">SUM(C54:C55)</f>
        <v>678.7001070143242</v>
      </c>
      <c r="D56" s="719">
        <f t="shared" ref="D56:Q56" ca="1" si="7">SUM(D54:D55)</f>
        <v>0</v>
      </c>
      <c r="E56" s="719">
        <f t="shared" si="7"/>
        <v>970.51684081767689</v>
      </c>
      <c r="F56" s="719">
        <f t="shared" si="7"/>
        <v>19.10759240984277</v>
      </c>
      <c r="G56" s="719">
        <f t="shared" si="7"/>
        <v>2483.8921982402226</v>
      </c>
      <c r="H56" s="719">
        <f t="shared" si="7"/>
        <v>0</v>
      </c>
      <c r="I56" s="719">
        <f t="shared" si="7"/>
        <v>0</v>
      </c>
      <c r="J56" s="719">
        <f t="shared" si="7"/>
        <v>0</v>
      </c>
      <c r="K56" s="719">
        <f t="shared" si="7"/>
        <v>264.53151932768719</v>
      </c>
      <c r="L56" s="719">
        <f t="shared" si="7"/>
        <v>0</v>
      </c>
      <c r="M56" s="719">
        <f t="shared" si="7"/>
        <v>0</v>
      </c>
      <c r="N56" s="719">
        <f t="shared" si="7"/>
        <v>0</v>
      </c>
      <c r="O56" s="719">
        <f t="shared" si="7"/>
        <v>0</v>
      </c>
      <c r="P56" s="719">
        <f t="shared" si="7"/>
        <v>0</v>
      </c>
      <c r="Q56" s="720">
        <f t="shared" si="7"/>
        <v>0</v>
      </c>
      <c r="R56" s="721">
        <f ca="1">SUM(R54:R55)</f>
        <v>4416.7482578097533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7673.9228390935332</v>
      </c>
      <c r="D61" s="727">
        <f t="shared" ref="D61:Q61" ca="1" si="8">D46+D52+D56</f>
        <v>0</v>
      </c>
      <c r="E61" s="727">
        <f t="shared" ca="1" si="8"/>
        <v>12916.044158743043</v>
      </c>
      <c r="F61" s="727">
        <f t="shared" si="8"/>
        <v>339.33271461600333</v>
      </c>
      <c r="G61" s="727">
        <f t="shared" ca="1" si="8"/>
        <v>9835.1185082038846</v>
      </c>
      <c r="H61" s="727">
        <f t="shared" si="8"/>
        <v>30826.012390630098</v>
      </c>
      <c r="I61" s="727">
        <f t="shared" si="8"/>
        <v>7241.4768023025727</v>
      </c>
      <c r="J61" s="727">
        <f t="shared" si="8"/>
        <v>0</v>
      </c>
      <c r="K61" s="727">
        <f t="shared" si="8"/>
        <v>315.45792154639469</v>
      </c>
      <c r="L61" s="727">
        <f t="shared" si="8"/>
        <v>0</v>
      </c>
      <c r="M61" s="727">
        <f t="shared" ca="1" si="8"/>
        <v>0</v>
      </c>
      <c r="N61" s="727">
        <f t="shared" si="8"/>
        <v>0</v>
      </c>
      <c r="O61" s="727">
        <f t="shared" ca="1" si="8"/>
        <v>0</v>
      </c>
      <c r="P61" s="727">
        <f t="shared" si="8"/>
        <v>0</v>
      </c>
      <c r="Q61" s="727">
        <f t="shared" si="8"/>
        <v>0</v>
      </c>
      <c r="R61" s="727">
        <f ca="1">R46+R52+R56</f>
        <v>69147.365335135531</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0.19315932272021955</v>
      </c>
      <c r="D63" s="773">
        <f t="shared" ca="1" si="9"/>
        <v>0</v>
      </c>
      <c r="E63" s="965">
        <f t="shared" ca="1" si="9"/>
        <v>0.20200000000000001</v>
      </c>
      <c r="F63" s="773">
        <f t="shared" si="9"/>
        <v>0.22699999999999998</v>
      </c>
      <c r="G63" s="773">
        <f t="shared" ca="1" si="9"/>
        <v>0.26700000000000002</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5004.8293808933749</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5004.8293808933749</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21147.714262980619</v>
      </c>
      <c r="C4" s="449">
        <f>huishoudens!C8</f>
        <v>0</v>
      </c>
      <c r="D4" s="449">
        <f>huishoudens!D8</f>
        <v>41978.212365827116</v>
      </c>
      <c r="E4" s="449">
        <f>huishoudens!E8</f>
        <v>1124.2098715427176</v>
      </c>
      <c r="F4" s="449">
        <f>huishoudens!F8</f>
        <v>24627.621902715797</v>
      </c>
      <c r="G4" s="449">
        <f>huishoudens!G8</f>
        <v>0</v>
      </c>
      <c r="H4" s="449">
        <f>huishoudens!H8</f>
        <v>0</v>
      </c>
      <c r="I4" s="449">
        <f>huishoudens!I8</f>
        <v>0</v>
      </c>
      <c r="J4" s="449">
        <f>huishoudens!J8</f>
        <v>140.35551083914152</v>
      </c>
      <c r="K4" s="449">
        <f>huishoudens!K8</f>
        <v>0</v>
      </c>
      <c r="L4" s="449">
        <f>huishoudens!L8</f>
        <v>0</v>
      </c>
      <c r="M4" s="449">
        <f>huishoudens!M8</f>
        <v>0</v>
      </c>
      <c r="N4" s="449">
        <f>huishoudens!N8</f>
        <v>6134.6769327607954</v>
      </c>
      <c r="O4" s="449">
        <f>huishoudens!O8</f>
        <v>414.64726785188964</v>
      </c>
      <c r="P4" s="450">
        <f>huishoudens!P8</f>
        <v>642.57151776878641</v>
      </c>
      <c r="Q4" s="451">
        <f>SUM(B4:P4)</f>
        <v>96210.009632286863</v>
      </c>
    </row>
    <row r="5" spans="1:17">
      <c r="A5" s="448" t="s">
        <v>155</v>
      </c>
      <c r="B5" s="449">
        <f ca="1">tertiair!B16</f>
        <v>11481.491528364051</v>
      </c>
      <c r="C5" s="449">
        <f ca="1">tertiair!C16</f>
        <v>0</v>
      </c>
      <c r="D5" s="449">
        <f ca="1">tertiair!D16</f>
        <v>14603.403679164976</v>
      </c>
      <c r="E5" s="449">
        <f>tertiair!E16</f>
        <v>44.291379677740082</v>
      </c>
      <c r="F5" s="449">
        <f ca="1">tertiair!F16</f>
        <v>2091.4624991023884</v>
      </c>
      <c r="G5" s="449">
        <f>tertiair!G16</f>
        <v>0</v>
      </c>
      <c r="H5" s="449">
        <f>tertiair!H16</f>
        <v>0</v>
      </c>
      <c r="I5" s="449">
        <f>tertiair!I16</f>
        <v>0</v>
      </c>
      <c r="J5" s="449">
        <f>tertiair!J16</f>
        <v>1.2978648783520194E-2</v>
      </c>
      <c r="K5" s="449">
        <f>tertiair!K16</f>
        <v>0</v>
      </c>
      <c r="L5" s="449">
        <f ca="1">tertiair!L16</f>
        <v>0</v>
      </c>
      <c r="M5" s="449">
        <f>tertiair!M16</f>
        <v>0</v>
      </c>
      <c r="N5" s="449">
        <f ca="1">tertiair!N16</f>
        <v>503.97732625234005</v>
      </c>
      <c r="O5" s="449">
        <f>tertiair!O16</f>
        <v>14.691782297523464</v>
      </c>
      <c r="P5" s="450">
        <f>tertiair!P16</f>
        <v>262.69569153247511</v>
      </c>
      <c r="Q5" s="448">
        <f t="shared" ref="Q5:Q14" ca="1" si="0">SUM(B5:P5)</f>
        <v>29002.02686504028</v>
      </c>
    </row>
    <row r="6" spans="1:17">
      <c r="A6" s="448" t="s">
        <v>193</v>
      </c>
      <c r="B6" s="449">
        <f>'openbare verlichting'!B8</f>
        <v>914.81799999999998</v>
      </c>
      <c r="C6" s="449"/>
      <c r="D6" s="449"/>
      <c r="E6" s="449"/>
      <c r="F6" s="449"/>
      <c r="G6" s="449"/>
      <c r="H6" s="449"/>
      <c r="I6" s="449"/>
      <c r="J6" s="449"/>
      <c r="K6" s="449"/>
      <c r="L6" s="449"/>
      <c r="M6" s="449"/>
      <c r="N6" s="449"/>
      <c r="O6" s="449"/>
      <c r="P6" s="450"/>
      <c r="Q6" s="448">
        <f t="shared" si="0"/>
        <v>914.81799999999998</v>
      </c>
    </row>
    <row r="7" spans="1:17">
      <c r="A7" s="448" t="s">
        <v>111</v>
      </c>
      <c r="B7" s="449">
        <f>landbouw!B8</f>
        <v>2938.87717917807</v>
      </c>
      <c r="C7" s="449">
        <f>landbouw!C8</f>
        <v>0</v>
      </c>
      <c r="D7" s="449">
        <f>landbouw!D8</f>
        <v>3268.1254607508035</v>
      </c>
      <c r="E7" s="449">
        <f>landbouw!E8</f>
        <v>84.174415902391061</v>
      </c>
      <c r="F7" s="449">
        <f>landbouw!F8</f>
        <v>9302.9670346075745</v>
      </c>
      <c r="G7" s="449">
        <f>landbouw!G8</f>
        <v>0</v>
      </c>
      <c r="H7" s="449">
        <f>landbouw!H8</f>
        <v>0</v>
      </c>
      <c r="I7" s="449">
        <f>landbouw!I8</f>
        <v>0</v>
      </c>
      <c r="J7" s="449">
        <f>landbouw!J8</f>
        <v>747.26417889177185</v>
      </c>
      <c r="K7" s="449">
        <f>landbouw!K8</f>
        <v>0</v>
      </c>
      <c r="L7" s="449">
        <f>landbouw!L8</f>
        <v>0</v>
      </c>
      <c r="M7" s="449">
        <f>landbouw!M8</f>
        <v>0</v>
      </c>
      <c r="N7" s="449">
        <f>landbouw!N8</f>
        <v>0</v>
      </c>
      <c r="O7" s="449">
        <f>landbouw!O8</f>
        <v>0</v>
      </c>
      <c r="P7" s="450">
        <f>landbouw!P8</f>
        <v>0</v>
      </c>
      <c r="Q7" s="448">
        <f t="shared" si="0"/>
        <v>16341.408269330612</v>
      </c>
    </row>
    <row r="8" spans="1:17">
      <c r="A8" s="448" t="s">
        <v>617</v>
      </c>
      <c r="B8" s="449">
        <f>industrie!B18</f>
        <v>2330.0827811599183</v>
      </c>
      <c r="C8" s="449">
        <f>industrie!C18</f>
        <v>0</v>
      </c>
      <c r="D8" s="449">
        <f>industrie!D18</f>
        <v>1959.4794217541785</v>
      </c>
      <c r="E8" s="449">
        <f>industrie!E18</f>
        <v>10.145078072569902</v>
      </c>
      <c r="F8" s="449">
        <f>industrie!F18</f>
        <v>813.59840703447958</v>
      </c>
      <c r="G8" s="449">
        <f>industrie!G18</f>
        <v>0</v>
      </c>
      <c r="H8" s="449">
        <f>industrie!H18</f>
        <v>0</v>
      </c>
      <c r="I8" s="449">
        <f>industrie!I18</f>
        <v>0</v>
      </c>
      <c r="J8" s="449">
        <f>industrie!J18</f>
        <v>3.4914037852599771</v>
      </c>
      <c r="K8" s="449">
        <f>industrie!K18</f>
        <v>0</v>
      </c>
      <c r="L8" s="449">
        <f>industrie!L18</f>
        <v>0</v>
      </c>
      <c r="M8" s="449">
        <f>industrie!M18</f>
        <v>0</v>
      </c>
      <c r="N8" s="449">
        <f>industrie!N18</f>
        <v>126.02666807294231</v>
      </c>
      <c r="O8" s="449">
        <f>industrie!O18</f>
        <v>0</v>
      </c>
      <c r="P8" s="450">
        <f>industrie!P18</f>
        <v>0</v>
      </c>
      <c r="Q8" s="448">
        <f t="shared" si="0"/>
        <v>5242.8237598793476</v>
      </c>
    </row>
    <row r="9" spans="1:17" s="454" customFormat="1">
      <c r="A9" s="452" t="s">
        <v>543</v>
      </c>
      <c r="B9" s="453">
        <f>transport!B14</f>
        <v>320.38247455086093</v>
      </c>
      <c r="C9" s="453">
        <f>transport!C14</f>
        <v>0</v>
      </c>
      <c r="D9" s="453">
        <f>transport!D14</f>
        <v>595.1783843693953</v>
      </c>
      <c r="E9" s="453">
        <f>transport!E14</f>
        <v>232.03702844336277</v>
      </c>
      <c r="F9" s="453">
        <f>transport!F14</f>
        <v>0</v>
      </c>
      <c r="G9" s="453">
        <f>transport!G14</f>
        <v>114182.83993278028</v>
      </c>
      <c r="H9" s="453">
        <f>transport!H14</f>
        <v>29082.236153825594</v>
      </c>
      <c r="I9" s="453">
        <f>transport!I14</f>
        <v>0</v>
      </c>
      <c r="J9" s="453">
        <f>transport!J14</f>
        <v>0</v>
      </c>
      <c r="K9" s="453">
        <f>transport!K14</f>
        <v>0</v>
      </c>
      <c r="L9" s="453">
        <f>transport!L14</f>
        <v>0</v>
      </c>
      <c r="M9" s="453">
        <f>transport!M14</f>
        <v>8617.8564405855923</v>
      </c>
      <c r="N9" s="453">
        <f>transport!N14</f>
        <v>0</v>
      </c>
      <c r="O9" s="453">
        <f>transport!O14</f>
        <v>0</v>
      </c>
      <c r="P9" s="453">
        <f>transport!P14</f>
        <v>0</v>
      </c>
      <c r="Q9" s="452">
        <f>SUM(B9:P9)</f>
        <v>153030.53041455508</v>
      </c>
    </row>
    <row r="10" spans="1:17">
      <c r="A10" s="448" t="s">
        <v>533</v>
      </c>
      <c r="B10" s="449">
        <f>transport!B54</f>
        <v>20.2927898605883</v>
      </c>
      <c r="C10" s="449">
        <f>transport!C54</f>
        <v>0</v>
      </c>
      <c r="D10" s="449">
        <f>transport!D54</f>
        <v>0</v>
      </c>
      <c r="E10" s="449">
        <f>transport!E54</f>
        <v>0</v>
      </c>
      <c r="F10" s="449">
        <f>transport!F54</f>
        <v>0</v>
      </c>
      <c r="G10" s="449">
        <f>transport!G54</f>
        <v>1270.3899946732627</v>
      </c>
      <c r="H10" s="449">
        <f>transport!H54</f>
        <v>0</v>
      </c>
      <c r="I10" s="449">
        <f>transport!I54</f>
        <v>0</v>
      </c>
      <c r="J10" s="449">
        <f>transport!J54</f>
        <v>0</v>
      </c>
      <c r="K10" s="449">
        <f>transport!K54</f>
        <v>0</v>
      </c>
      <c r="L10" s="449">
        <f>transport!L54</f>
        <v>0</v>
      </c>
      <c r="M10" s="449">
        <f>transport!M54</f>
        <v>72.942980554888621</v>
      </c>
      <c r="N10" s="449">
        <f>transport!N54</f>
        <v>0</v>
      </c>
      <c r="O10" s="449">
        <f>transport!O54</f>
        <v>0</v>
      </c>
      <c r="P10" s="450">
        <f>transport!P54</f>
        <v>0</v>
      </c>
      <c r="Q10" s="448">
        <f t="shared" si="0"/>
        <v>1363.6257650887396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574.80312087860102</v>
      </c>
      <c r="C14" s="456"/>
      <c r="D14" s="456">
        <f>'SEAP template'!E25</f>
        <v>1536.41335517829</v>
      </c>
      <c r="E14" s="456"/>
      <c r="F14" s="456"/>
      <c r="G14" s="456"/>
      <c r="H14" s="456"/>
      <c r="I14" s="456"/>
      <c r="J14" s="456"/>
      <c r="K14" s="456"/>
      <c r="L14" s="456"/>
      <c r="M14" s="456"/>
      <c r="N14" s="456"/>
      <c r="O14" s="456"/>
      <c r="P14" s="457"/>
      <c r="Q14" s="448">
        <f t="shared" si="0"/>
        <v>2111.2164760568912</v>
      </c>
    </row>
    <row r="15" spans="1:17" s="460" customFormat="1">
      <c r="A15" s="458" t="s">
        <v>537</v>
      </c>
      <c r="B15" s="459">
        <f ca="1">SUM(B4:B14)</f>
        <v>39728.462136972696</v>
      </c>
      <c r="C15" s="459">
        <f t="shared" ref="C15:Q15" ca="1" si="1">SUM(C4:C14)</f>
        <v>0</v>
      </c>
      <c r="D15" s="459">
        <f t="shared" ca="1" si="1"/>
        <v>63940.812667044753</v>
      </c>
      <c r="E15" s="459">
        <f t="shared" si="1"/>
        <v>1494.8577736387813</v>
      </c>
      <c r="F15" s="459">
        <f t="shared" ca="1" si="1"/>
        <v>36835.64984346024</v>
      </c>
      <c r="G15" s="459">
        <f t="shared" si="1"/>
        <v>115453.22992745353</v>
      </c>
      <c r="H15" s="459">
        <f t="shared" si="1"/>
        <v>29082.236153825594</v>
      </c>
      <c r="I15" s="459">
        <f t="shared" si="1"/>
        <v>0</v>
      </c>
      <c r="J15" s="459">
        <f t="shared" si="1"/>
        <v>891.12407216495694</v>
      </c>
      <c r="K15" s="459">
        <f t="shared" si="1"/>
        <v>0</v>
      </c>
      <c r="L15" s="459">
        <f t="shared" ca="1" si="1"/>
        <v>0</v>
      </c>
      <c r="M15" s="459">
        <f t="shared" si="1"/>
        <v>8690.7994211404803</v>
      </c>
      <c r="N15" s="459">
        <f t="shared" ca="1" si="1"/>
        <v>6764.6809270860776</v>
      </c>
      <c r="O15" s="459">
        <f t="shared" si="1"/>
        <v>429.33905014941308</v>
      </c>
      <c r="P15" s="459">
        <f t="shared" si="1"/>
        <v>905.26720930126157</v>
      </c>
      <c r="Q15" s="459">
        <f t="shared" ca="1" si="1"/>
        <v>304216.4591822378</v>
      </c>
    </row>
    <row r="17" spans="1:17">
      <c r="A17" s="461" t="s">
        <v>538</v>
      </c>
      <c r="B17" s="778">
        <f ca="1">huishoudens!B10</f>
        <v>0.19315932272021949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4084.8781641180622</v>
      </c>
      <c r="C22" s="449">
        <f t="shared" ref="C22:C32" ca="1" si="3">C4*$C$17</f>
        <v>0</v>
      </c>
      <c r="D22" s="449">
        <f t="shared" ref="D22:D32" si="4">D4*$D$17</f>
        <v>8479.5988978970781</v>
      </c>
      <c r="E22" s="449">
        <f t="shared" ref="E22:E32" si="5">E4*$E$17</f>
        <v>255.19564084019689</v>
      </c>
      <c r="F22" s="449">
        <f t="shared" ref="F22:F32" si="6">F4*$F$17</f>
        <v>6575.5750480251181</v>
      </c>
      <c r="G22" s="449">
        <f t="shared" ref="G22:G32" si="7">G4*$G$17</f>
        <v>0</v>
      </c>
      <c r="H22" s="449">
        <f t="shared" ref="H22:H32" si="8">H4*$H$17</f>
        <v>0</v>
      </c>
      <c r="I22" s="449">
        <f t="shared" ref="I22:I32" si="9">I4*$I$17</f>
        <v>0</v>
      </c>
      <c r="J22" s="449">
        <f t="shared" ref="J22:J32" si="10">J4*$J$17</f>
        <v>49.685850837056094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19444.933601717512</v>
      </c>
    </row>
    <row r="23" spans="1:17">
      <c r="A23" s="448" t="s">
        <v>155</v>
      </c>
      <c r="B23" s="449">
        <f t="shared" ca="1" si="2"/>
        <v>2217.7571274367378</v>
      </c>
      <c r="C23" s="449">
        <f t="shared" ca="1" si="3"/>
        <v>0</v>
      </c>
      <c r="D23" s="449">
        <f t="shared" ca="1" si="4"/>
        <v>2949.8875431913252</v>
      </c>
      <c r="E23" s="449">
        <f t="shared" si="5"/>
        <v>10.054143186846998</v>
      </c>
      <c r="F23" s="449">
        <f t="shared" ca="1" si="6"/>
        <v>558.42048726033772</v>
      </c>
      <c r="G23" s="449">
        <f t="shared" si="7"/>
        <v>0</v>
      </c>
      <c r="H23" s="449">
        <f t="shared" si="8"/>
        <v>0</v>
      </c>
      <c r="I23" s="449">
        <f t="shared" si="9"/>
        <v>0</v>
      </c>
      <c r="J23" s="449">
        <f t="shared" si="10"/>
        <v>4.5944416693661488E-3</v>
      </c>
      <c r="K23" s="449">
        <f t="shared" si="11"/>
        <v>0</v>
      </c>
      <c r="L23" s="449">
        <f t="shared" ca="1" si="12"/>
        <v>0</v>
      </c>
      <c r="M23" s="449">
        <f t="shared" si="13"/>
        <v>0</v>
      </c>
      <c r="N23" s="449">
        <f t="shared" ca="1" si="14"/>
        <v>0</v>
      </c>
      <c r="O23" s="449">
        <f t="shared" si="15"/>
        <v>0</v>
      </c>
      <c r="P23" s="450">
        <f t="shared" si="16"/>
        <v>0</v>
      </c>
      <c r="Q23" s="448">
        <f t="shared" ref="Q23:Q31" ca="1" si="17">SUM(B23:P23)</f>
        <v>5736.1238955169174</v>
      </c>
    </row>
    <row r="24" spans="1:17">
      <c r="A24" s="448" t="s">
        <v>193</v>
      </c>
      <c r="B24" s="449">
        <f t="shared" ca="1" si="2"/>
        <v>176.70562529226575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176.70562529226575</v>
      </c>
    </row>
    <row r="25" spans="1:17">
      <c r="A25" s="448" t="s">
        <v>111</v>
      </c>
      <c r="B25" s="449">
        <f t="shared" ca="1" si="2"/>
        <v>567.67152548794513</v>
      </c>
      <c r="C25" s="449">
        <f t="shared" ca="1" si="3"/>
        <v>0</v>
      </c>
      <c r="D25" s="449">
        <f t="shared" si="4"/>
        <v>660.16134307166237</v>
      </c>
      <c r="E25" s="449">
        <f t="shared" si="5"/>
        <v>19.10759240984277</v>
      </c>
      <c r="F25" s="449">
        <f t="shared" si="6"/>
        <v>2483.8921982402226</v>
      </c>
      <c r="G25" s="449">
        <f t="shared" si="7"/>
        <v>0</v>
      </c>
      <c r="H25" s="449">
        <f t="shared" si="8"/>
        <v>0</v>
      </c>
      <c r="I25" s="449">
        <f t="shared" si="9"/>
        <v>0</v>
      </c>
      <c r="J25" s="449">
        <f t="shared" si="10"/>
        <v>264.53151932768719</v>
      </c>
      <c r="K25" s="449">
        <f t="shared" si="11"/>
        <v>0</v>
      </c>
      <c r="L25" s="449">
        <f t="shared" si="12"/>
        <v>0</v>
      </c>
      <c r="M25" s="449">
        <f t="shared" si="13"/>
        <v>0</v>
      </c>
      <c r="N25" s="449">
        <f t="shared" si="14"/>
        <v>0</v>
      </c>
      <c r="O25" s="449">
        <f t="shared" si="15"/>
        <v>0</v>
      </c>
      <c r="P25" s="450">
        <f t="shared" si="16"/>
        <v>0</v>
      </c>
      <c r="Q25" s="448">
        <f t="shared" ca="1" si="17"/>
        <v>3995.3641785373602</v>
      </c>
    </row>
    <row r="26" spans="1:17">
      <c r="A26" s="448" t="s">
        <v>617</v>
      </c>
      <c r="B26" s="449">
        <f t="shared" ca="1" si="2"/>
        <v>450.07721189089523</v>
      </c>
      <c r="C26" s="449">
        <f t="shared" ca="1" si="3"/>
        <v>0</v>
      </c>
      <c r="D26" s="449">
        <f t="shared" si="4"/>
        <v>395.81484319434406</v>
      </c>
      <c r="E26" s="449">
        <f t="shared" si="5"/>
        <v>2.302932722473368</v>
      </c>
      <c r="F26" s="449">
        <f t="shared" si="6"/>
        <v>217.23077467820605</v>
      </c>
      <c r="G26" s="449">
        <f t="shared" si="7"/>
        <v>0</v>
      </c>
      <c r="H26" s="449">
        <f t="shared" si="8"/>
        <v>0</v>
      </c>
      <c r="I26" s="449">
        <f t="shared" si="9"/>
        <v>0</v>
      </c>
      <c r="J26" s="449">
        <f t="shared" si="10"/>
        <v>1.2359569399820318</v>
      </c>
      <c r="K26" s="449">
        <f t="shared" si="11"/>
        <v>0</v>
      </c>
      <c r="L26" s="449">
        <f t="shared" si="12"/>
        <v>0</v>
      </c>
      <c r="M26" s="449">
        <f t="shared" si="13"/>
        <v>0</v>
      </c>
      <c r="N26" s="449">
        <f t="shared" si="14"/>
        <v>0</v>
      </c>
      <c r="O26" s="449">
        <f t="shared" si="15"/>
        <v>0</v>
      </c>
      <c r="P26" s="450">
        <f t="shared" si="16"/>
        <v>0</v>
      </c>
      <c r="Q26" s="448">
        <f t="shared" ca="1" si="17"/>
        <v>1066.6617194259006</v>
      </c>
    </row>
    <row r="27" spans="1:17" s="454" customFormat="1">
      <c r="A27" s="452" t="s">
        <v>543</v>
      </c>
      <c r="B27" s="772">
        <f t="shared" ca="1" si="2"/>
        <v>61.884861795672258</v>
      </c>
      <c r="C27" s="453">
        <f t="shared" ca="1" si="3"/>
        <v>0</v>
      </c>
      <c r="D27" s="453">
        <f t="shared" si="4"/>
        <v>120.22603364261786</v>
      </c>
      <c r="E27" s="453">
        <f t="shared" si="5"/>
        <v>52.672405456643354</v>
      </c>
      <c r="F27" s="453">
        <f t="shared" si="6"/>
        <v>0</v>
      </c>
      <c r="G27" s="453">
        <f t="shared" si="7"/>
        <v>30486.818262052337</v>
      </c>
      <c r="H27" s="453">
        <f t="shared" si="8"/>
        <v>7241.4768023025727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37963.078365249843</v>
      </c>
    </row>
    <row r="28" spans="1:17" ht="16.5" customHeight="1">
      <c r="A28" s="448" t="s">
        <v>533</v>
      </c>
      <c r="B28" s="449">
        <f t="shared" ca="1" si="2"/>
        <v>3.9197415455749733</v>
      </c>
      <c r="C28" s="449">
        <f t="shared" ca="1" si="3"/>
        <v>0</v>
      </c>
      <c r="D28" s="449">
        <f t="shared" si="4"/>
        <v>0</v>
      </c>
      <c r="E28" s="449">
        <f t="shared" si="5"/>
        <v>0</v>
      </c>
      <c r="F28" s="449">
        <f t="shared" si="6"/>
        <v>0</v>
      </c>
      <c r="G28" s="449">
        <f t="shared" si="7"/>
        <v>339.19412857776115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343.11387012333614</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111.02858152637903</v>
      </c>
      <c r="C32" s="449">
        <f t="shared" ca="1" si="3"/>
        <v>0</v>
      </c>
      <c r="D32" s="449">
        <f t="shared" si="4"/>
        <v>310.35549774601458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421.38407927239359</v>
      </c>
    </row>
    <row r="33" spans="1:17" s="460" customFormat="1">
      <c r="A33" s="458" t="s">
        <v>537</v>
      </c>
      <c r="B33" s="459">
        <f ca="1">SUM(B22:B32)</f>
        <v>7673.9228390935314</v>
      </c>
      <c r="C33" s="459">
        <f t="shared" ref="C33:Q33" ca="1" si="19">SUM(C22:C32)</f>
        <v>0</v>
      </c>
      <c r="D33" s="459">
        <f t="shared" ca="1" si="19"/>
        <v>12916.044158743043</v>
      </c>
      <c r="E33" s="459">
        <f t="shared" si="19"/>
        <v>339.33271461600333</v>
      </c>
      <c r="F33" s="459">
        <f t="shared" ca="1" si="19"/>
        <v>9835.1185082038846</v>
      </c>
      <c r="G33" s="459">
        <f t="shared" si="19"/>
        <v>30826.012390630098</v>
      </c>
      <c r="H33" s="459">
        <f t="shared" si="19"/>
        <v>7241.4768023025727</v>
      </c>
      <c r="I33" s="459">
        <f t="shared" si="19"/>
        <v>0</v>
      </c>
      <c r="J33" s="459">
        <f t="shared" si="19"/>
        <v>315.45792154639469</v>
      </c>
      <c r="K33" s="459">
        <f t="shared" si="19"/>
        <v>0</v>
      </c>
      <c r="L33" s="459">
        <f t="shared" ca="1" si="19"/>
        <v>0</v>
      </c>
      <c r="M33" s="459">
        <f t="shared" si="19"/>
        <v>0</v>
      </c>
      <c r="N33" s="459">
        <f t="shared" ca="1" si="19"/>
        <v>0</v>
      </c>
      <c r="O33" s="459">
        <f t="shared" si="19"/>
        <v>0</v>
      </c>
      <c r="P33" s="459">
        <f t="shared" si="19"/>
        <v>0</v>
      </c>
      <c r="Q33" s="459">
        <f t="shared" ca="1" si="19"/>
        <v>69147.365335135546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5004.8293808933749</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5004.8293808933749</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0.19315932272021949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0.19315932272021949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2</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9.7945215316823084</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1</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52.539138306495019</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0.19315932272021949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0.19315932272021949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4626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6737.94</v>
      </c>
      <c r="C14" s="326"/>
      <c r="D14" s="326"/>
      <c r="E14" s="326"/>
      <c r="F14" s="326"/>
    </row>
    <row r="15" spans="1:6">
      <c r="A15" s="1312" t="s">
        <v>183</v>
      </c>
      <c r="B15" s="1313">
        <v>78</v>
      </c>
      <c r="C15" s="326"/>
      <c r="D15" s="326"/>
      <c r="E15" s="326"/>
      <c r="F15" s="326"/>
    </row>
    <row r="16" spans="1:6">
      <c r="A16" s="1312" t="s">
        <v>6</v>
      </c>
      <c r="B16" s="1313">
        <v>2532</v>
      </c>
      <c r="C16" s="326"/>
      <c r="D16" s="326"/>
      <c r="E16" s="326"/>
      <c r="F16" s="326"/>
    </row>
    <row r="17" spans="1:6">
      <c r="A17" s="1312" t="s">
        <v>7</v>
      </c>
      <c r="B17" s="1313">
        <v>2319</v>
      </c>
      <c r="C17" s="326"/>
      <c r="D17" s="326"/>
      <c r="E17" s="326"/>
      <c r="F17" s="326"/>
    </row>
    <row r="18" spans="1:6">
      <c r="A18" s="1312" t="s">
        <v>8</v>
      </c>
      <c r="B18" s="1313">
        <v>3275</v>
      </c>
      <c r="C18" s="326"/>
      <c r="D18" s="326"/>
      <c r="E18" s="326"/>
      <c r="F18" s="326"/>
    </row>
    <row r="19" spans="1:6">
      <c r="A19" s="1312" t="s">
        <v>9</v>
      </c>
      <c r="B19" s="1313">
        <v>3338</v>
      </c>
      <c r="C19" s="326"/>
      <c r="D19" s="326"/>
      <c r="E19" s="326"/>
      <c r="F19" s="326"/>
    </row>
    <row r="20" spans="1:6">
      <c r="A20" s="1312" t="s">
        <v>10</v>
      </c>
      <c r="B20" s="1313">
        <v>2163</v>
      </c>
      <c r="C20" s="326"/>
      <c r="D20" s="326"/>
      <c r="E20" s="326"/>
      <c r="F20" s="326"/>
    </row>
    <row r="21" spans="1:6">
      <c r="A21" s="1312" t="s">
        <v>11</v>
      </c>
      <c r="B21" s="1313">
        <v>5182</v>
      </c>
      <c r="C21" s="326"/>
      <c r="D21" s="326"/>
      <c r="E21" s="326"/>
      <c r="F21" s="326"/>
    </row>
    <row r="22" spans="1:6">
      <c r="A22" s="1312" t="s">
        <v>12</v>
      </c>
      <c r="B22" s="1313">
        <v>14215</v>
      </c>
      <c r="C22" s="326"/>
      <c r="D22" s="326"/>
      <c r="E22" s="326"/>
      <c r="F22" s="326"/>
    </row>
    <row r="23" spans="1:6">
      <c r="A23" s="1312" t="s">
        <v>13</v>
      </c>
      <c r="B23" s="1313">
        <v>399</v>
      </c>
      <c r="C23" s="326"/>
      <c r="D23" s="326"/>
      <c r="E23" s="326"/>
      <c r="F23" s="326"/>
    </row>
    <row r="24" spans="1:6">
      <c r="A24" s="1312" t="s">
        <v>14</v>
      </c>
      <c r="B24" s="1313">
        <v>14</v>
      </c>
      <c r="C24" s="326"/>
      <c r="D24" s="326"/>
      <c r="E24" s="326"/>
      <c r="F24" s="326"/>
    </row>
    <row r="25" spans="1:6">
      <c r="A25" s="1312" t="s">
        <v>15</v>
      </c>
      <c r="B25" s="1313">
        <v>1657</v>
      </c>
      <c r="C25" s="326"/>
      <c r="D25" s="326"/>
      <c r="E25" s="326"/>
      <c r="F25" s="326"/>
    </row>
    <row r="26" spans="1:6">
      <c r="A26" s="1312" t="s">
        <v>16</v>
      </c>
      <c r="B26" s="1313">
        <v>803</v>
      </c>
      <c r="C26" s="326"/>
      <c r="D26" s="326"/>
      <c r="E26" s="326"/>
      <c r="F26" s="326"/>
    </row>
    <row r="27" spans="1:6">
      <c r="A27" s="1312" t="s">
        <v>17</v>
      </c>
      <c r="B27" s="1313">
        <v>73</v>
      </c>
      <c r="C27" s="326"/>
      <c r="D27" s="326"/>
      <c r="E27" s="326"/>
      <c r="F27" s="326"/>
    </row>
    <row r="28" spans="1:6" s="43" customFormat="1">
      <c r="A28" s="1314" t="s">
        <v>18</v>
      </c>
      <c r="B28" s="1315">
        <v>143983</v>
      </c>
      <c r="C28" s="332"/>
      <c r="D28" s="332"/>
      <c r="E28" s="332"/>
      <c r="F28" s="332"/>
    </row>
    <row r="29" spans="1:6">
      <c r="A29" s="1314" t="s">
        <v>684</v>
      </c>
      <c r="B29" s="1315">
        <v>222</v>
      </c>
      <c r="C29" s="332"/>
      <c r="D29" s="332"/>
      <c r="E29" s="332"/>
      <c r="F29" s="332"/>
    </row>
    <row r="30" spans="1:6">
      <c r="A30" s="1307" t="s">
        <v>685</v>
      </c>
      <c r="B30" s="1316">
        <v>71</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4</v>
      </c>
      <c r="F36" s="1313">
        <v>122204.16650074899</v>
      </c>
    </row>
    <row r="37" spans="1:6">
      <c r="A37" s="1312" t="s">
        <v>24</v>
      </c>
      <c r="B37" s="1312" t="s">
        <v>27</v>
      </c>
      <c r="C37" s="1313">
        <v>0</v>
      </c>
      <c r="D37" s="1313">
        <v>0</v>
      </c>
      <c r="E37" s="1313">
        <v>0</v>
      </c>
      <c r="F37" s="1313">
        <v>0</v>
      </c>
    </row>
    <row r="38" spans="1:6">
      <c r="A38" s="1312" t="s">
        <v>24</v>
      </c>
      <c r="B38" s="1312" t="s">
        <v>28</v>
      </c>
      <c r="C38" s="1313">
        <v>1</v>
      </c>
      <c r="D38" s="1313">
        <v>17484.322146256</v>
      </c>
      <c r="E38" s="1313">
        <v>2</v>
      </c>
      <c r="F38" s="1313">
        <v>29777</v>
      </c>
    </row>
    <row r="39" spans="1:6">
      <c r="A39" s="1312" t="s">
        <v>29</v>
      </c>
      <c r="B39" s="1312" t="s">
        <v>30</v>
      </c>
      <c r="C39" s="1313">
        <v>2941</v>
      </c>
      <c r="D39" s="1313">
        <v>46487499.851414301</v>
      </c>
      <c r="E39" s="1313">
        <v>4237</v>
      </c>
      <c r="F39" s="1313">
        <v>16905256.513410699</v>
      </c>
    </row>
    <row r="40" spans="1:6">
      <c r="A40" s="1312" t="s">
        <v>29</v>
      </c>
      <c r="B40" s="1312" t="s">
        <v>28</v>
      </c>
      <c r="C40" s="1313">
        <v>0</v>
      </c>
      <c r="D40" s="1313">
        <v>0</v>
      </c>
      <c r="E40" s="1313">
        <v>0</v>
      </c>
      <c r="F40" s="1313">
        <v>0</v>
      </c>
    </row>
    <row r="41" spans="1:6">
      <c r="A41" s="1312" t="s">
        <v>31</v>
      </c>
      <c r="B41" s="1312" t="s">
        <v>32</v>
      </c>
      <c r="C41" s="1313">
        <v>76</v>
      </c>
      <c r="D41" s="1313">
        <v>1584802.1883896999</v>
      </c>
      <c r="E41" s="1313">
        <v>157</v>
      </c>
      <c r="F41" s="1313">
        <v>1168800.4995582099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8</v>
      </c>
      <c r="D44" s="1313">
        <v>155102.436198137</v>
      </c>
      <c r="E44" s="1313">
        <v>26</v>
      </c>
      <c r="F44" s="1313">
        <v>473335.432308288</v>
      </c>
    </row>
    <row r="45" spans="1:6">
      <c r="A45" s="1312" t="s">
        <v>31</v>
      </c>
      <c r="B45" s="1312" t="s">
        <v>36</v>
      </c>
      <c r="C45" s="1313">
        <v>4</v>
      </c>
      <c r="D45" s="1313">
        <v>79579.910791685994</v>
      </c>
      <c r="E45" s="1313">
        <v>4</v>
      </c>
      <c r="F45" s="1313">
        <v>83544.2997618878</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3</v>
      </c>
      <c r="D48" s="1313">
        <v>69224.459634871804</v>
      </c>
      <c r="E48" s="1313">
        <v>2</v>
      </c>
      <c r="F48" s="1313">
        <v>20981.745591056999</v>
      </c>
    </row>
    <row r="49" spans="1:6">
      <c r="A49" s="1312" t="s">
        <v>31</v>
      </c>
      <c r="B49" s="1312" t="s">
        <v>39</v>
      </c>
      <c r="C49" s="1313">
        <v>0</v>
      </c>
      <c r="D49" s="1313">
        <v>0</v>
      </c>
      <c r="E49" s="1313">
        <v>3</v>
      </c>
      <c r="F49" s="1313">
        <v>27229.487115603599</v>
      </c>
    </row>
    <row r="50" spans="1:6">
      <c r="A50" s="1312" t="s">
        <v>31</v>
      </c>
      <c r="B50" s="1312" t="s">
        <v>40</v>
      </c>
      <c r="C50" s="1313">
        <v>6</v>
      </c>
      <c r="D50" s="1313">
        <v>281257.14203342202</v>
      </c>
      <c r="E50" s="1313">
        <v>12</v>
      </c>
      <c r="F50" s="1313">
        <v>556191.31682487205</v>
      </c>
    </row>
    <row r="51" spans="1:6">
      <c r="A51" s="1312" t="s">
        <v>41</v>
      </c>
      <c r="B51" s="1312" t="s">
        <v>42</v>
      </c>
      <c r="C51" s="1313">
        <v>25</v>
      </c>
      <c r="D51" s="1313">
        <v>3619186.55675615</v>
      </c>
      <c r="E51" s="1313">
        <v>170</v>
      </c>
      <c r="F51" s="1313">
        <v>2938877.1791780698</v>
      </c>
    </row>
    <row r="52" spans="1:6">
      <c r="A52" s="1312" t="s">
        <v>41</v>
      </c>
      <c r="B52" s="1312" t="s">
        <v>28</v>
      </c>
      <c r="C52" s="1313">
        <v>0</v>
      </c>
      <c r="D52" s="1313">
        <v>0</v>
      </c>
      <c r="E52" s="1313">
        <v>0</v>
      </c>
      <c r="F52" s="1313">
        <v>0</v>
      </c>
    </row>
    <row r="53" spans="1:6">
      <c r="A53" s="1312" t="s">
        <v>43</v>
      </c>
      <c r="B53" s="1312" t="s">
        <v>44</v>
      </c>
      <c r="C53" s="1313">
        <v>79</v>
      </c>
      <c r="D53" s="1313">
        <v>1536413.35517829</v>
      </c>
      <c r="E53" s="1313">
        <v>199</v>
      </c>
      <c r="F53" s="1313">
        <v>574803.12087860098</v>
      </c>
    </row>
    <row r="54" spans="1:6">
      <c r="A54" s="1312" t="s">
        <v>45</v>
      </c>
      <c r="B54" s="1312" t="s">
        <v>46</v>
      </c>
      <c r="C54" s="1313">
        <v>0</v>
      </c>
      <c r="D54" s="1313">
        <v>0</v>
      </c>
      <c r="E54" s="1313">
        <v>1</v>
      </c>
      <c r="F54" s="1313">
        <v>914818</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45</v>
      </c>
      <c r="D57" s="1313">
        <v>1476033.14173928</v>
      </c>
      <c r="E57" s="1313">
        <v>85</v>
      </c>
      <c r="F57" s="1313">
        <v>1283214.1506558501</v>
      </c>
    </row>
    <row r="58" spans="1:6">
      <c r="A58" s="1312" t="s">
        <v>48</v>
      </c>
      <c r="B58" s="1312" t="s">
        <v>50</v>
      </c>
      <c r="C58" s="1313">
        <v>42</v>
      </c>
      <c r="D58" s="1313">
        <v>2192749.4466596502</v>
      </c>
      <c r="E58" s="1313">
        <v>55</v>
      </c>
      <c r="F58" s="1313">
        <v>900230.30460200505</v>
      </c>
    </row>
    <row r="59" spans="1:6">
      <c r="A59" s="1312" t="s">
        <v>48</v>
      </c>
      <c r="B59" s="1312" t="s">
        <v>51</v>
      </c>
      <c r="C59" s="1313">
        <v>93</v>
      </c>
      <c r="D59" s="1313">
        <v>2525460.7424076698</v>
      </c>
      <c r="E59" s="1313">
        <v>184</v>
      </c>
      <c r="F59" s="1313">
        <v>3360318.99442686</v>
      </c>
    </row>
    <row r="60" spans="1:6">
      <c r="A60" s="1312" t="s">
        <v>48</v>
      </c>
      <c r="B60" s="1312" t="s">
        <v>52</v>
      </c>
      <c r="C60" s="1313">
        <v>72</v>
      </c>
      <c r="D60" s="1313">
        <v>3533837.3742358601</v>
      </c>
      <c r="E60" s="1313">
        <v>97</v>
      </c>
      <c r="F60" s="1313">
        <v>2532790.0002049599</v>
      </c>
    </row>
    <row r="61" spans="1:6">
      <c r="A61" s="1312" t="s">
        <v>48</v>
      </c>
      <c r="B61" s="1312" t="s">
        <v>53</v>
      </c>
      <c r="C61" s="1313">
        <v>140</v>
      </c>
      <c r="D61" s="1313">
        <v>6138707.2760495404</v>
      </c>
      <c r="E61" s="1313">
        <v>297</v>
      </c>
      <c r="F61" s="1313">
        <v>3332549.3960992801</v>
      </c>
    </row>
    <row r="62" spans="1:6">
      <c r="A62" s="1312" t="s">
        <v>48</v>
      </c>
      <c r="B62" s="1312" t="s">
        <v>54</v>
      </c>
      <c r="C62" s="1313">
        <v>10</v>
      </c>
      <c r="D62" s="1313">
        <v>305309.116543632</v>
      </c>
      <c r="E62" s="1313">
        <v>13</v>
      </c>
      <c r="F62" s="1313">
        <v>72388.682375097706</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97229.924581314495</v>
      </c>
      <c r="E65" s="1313">
        <v>1</v>
      </c>
      <c r="F65" s="1313">
        <v>1210.8373272757001</v>
      </c>
    </row>
    <row r="66" spans="1:6">
      <c r="A66" s="1312" t="s">
        <v>55</v>
      </c>
      <c r="B66" s="1312" t="s">
        <v>57</v>
      </c>
      <c r="C66" s="1313">
        <v>0</v>
      </c>
      <c r="D66" s="1313">
        <v>0</v>
      </c>
      <c r="E66" s="1313">
        <v>15</v>
      </c>
      <c r="F66" s="1313">
        <v>349420.67683315702</v>
      </c>
    </row>
    <row r="67" spans="1:6">
      <c r="A67" s="1314" t="s">
        <v>55</v>
      </c>
      <c r="B67" s="1314" t="s">
        <v>58</v>
      </c>
      <c r="C67" s="1313">
        <v>0</v>
      </c>
      <c r="D67" s="1313">
        <v>0</v>
      </c>
      <c r="E67" s="1313">
        <v>0</v>
      </c>
      <c r="F67" s="1313">
        <v>0</v>
      </c>
    </row>
    <row r="68" spans="1:6">
      <c r="A68" s="1307" t="s">
        <v>55</v>
      </c>
      <c r="B68" s="1307" t="s">
        <v>59</v>
      </c>
      <c r="C68" s="1316">
        <v>5</v>
      </c>
      <c r="D68" s="1316">
        <v>133465.604553023</v>
      </c>
      <c r="E68" s="1316">
        <v>7</v>
      </c>
      <c r="F68" s="1316">
        <v>56323.7508452826</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111522466</v>
      </c>
      <c r="E73" s="447"/>
      <c r="F73" s="326"/>
    </row>
    <row r="74" spans="1:6">
      <c r="A74" s="1312" t="s">
        <v>63</v>
      </c>
      <c r="B74" s="1312" t="s">
        <v>638</v>
      </c>
      <c r="C74" s="1326" t="s">
        <v>640</v>
      </c>
      <c r="D74" s="1327">
        <v>13440690.634979021</v>
      </c>
      <c r="E74" s="447"/>
      <c r="F74" s="326"/>
    </row>
    <row r="75" spans="1:6">
      <c r="A75" s="1312" t="s">
        <v>64</v>
      </c>
      <c r="B75" s="1312" t="s">
        <v>637</v>
      </c>
      <c r="C75" s="1326" t="s">
        <v>641</v>
      </c>
      <c r="D75" s="1327">
        <v>41981522</v>
      </c>
      <c r="E75" s="447"/>
      <c r="F75" s="326"/>
    </row>
    <row r="76" spans="1:6">
      <c r="A76" s="1312" t="s">
        <v>64</v>
      </c>
      <c r="B76" s="1312" t="s">
        <v>638</v>
      </c>
      <c r="C76" s="1326" t="s">
        <v>642</v>
      </c>
      <c r="D76" s="1327">
        <v>3094173.6349790203</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378504.73004195897</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4242.4577495699177</v>
      </c>
      <c r="C91" s="326"/>
      <c r="D91" s="326"/>
      <c r="E91" s="326"/>
      <c r="F91" s="326"/>
    </row>
    <row r="92" spans="1:6">
      <c r="A92" s="1307" t="s">
        <v>68</v>
      </c>
      <c r="B92" s="1308">
        <v>762.37163132345711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1630</v>
      </c>
      <c r="C97" s="326"/>
      <c r="D97" s="326"/>
      <c r="E97" s="326"/>
      <c r="F97" s="326"/>
    </row>
    <row r="98" spans="1:6">
      <c r="A98" s="1312" t="s">
        <v>71</v>
      </c>
      <c r="B98" s="1313">
        <v>0</v>
      </c>
      <c r="C98" s="326"/>
      <c r="D98" s="326"/>
      <c r="E98" s="326"/>
      <c r="F98" s="326"/>
    </row>
    <row r="99" spans="1:6">
      <c r="A99" s="1312" t="s">
        <v>72</v>
      </c>
      <c r="B99" s="1313">
        <v>226</v>
      </c>
      <c r="C99" s="326"/>
      <c r="D99" s="326"/>
      <c r="E99" s="326"/>
      <c r="F99" s="326"/>
    </row>
    <row r="100" spans="1:6">
      <c r="A100" s="1312" t="s">
        <v>73</v>
      </c>
      <c r="B100" s="1313">
        <v>396</v>
      </c>
      <c r="C100" s="326"/>
      <c r="D100" s="326"/>
      <c r="E100" s="326"/>
      <c r="F100" s="326"/>
    </row>
    <row r="101" spans="1:6">
      <c r="A101" s="1312" t="s">
        <v>74</v>
      </c>
      <c r="B101" s="1313">
        <v>141</v>
      </c>
      <c r="C101" s="326"/>
      <c r="D101" s="326"/>
      <c r="E101" s="326"/>
      <c r="F101" s="326"/>
    </row>
    <row r="102" spans="1:6">
      <c r="A102" s="1312" t="s">
        <v>75</v>
      </c>
      <c r="B102" s="1313">
        <v>107</v>
      </c>
      <c r="C102" s="326"/>
      <c r="D102" s="326"/>
      <c r="E102" s="326"/>
      <c r="F102" s="326"/>
    </row>
    <row r="103" spans="1:6">
      <c r="A103" s="1312" t="s">
        <v>76</v>
      </c>
      <c r="B103" s="1313">
        <v>138</v>
      </c>
      <c r="C103" s="326"/>
      <c r="D103" s="326"/>
      <c r="E103" s="326"/>
      <c r="F103" s="326"/>
    </row>
    <row r="104" spans="1:6">
      <c r="A104" s="1312" t="s">
        <v>77</v>
      </c>
      <c r="B104" s="1313">
        <v>1413</v>
      </c>
      <c r="C104" s="326"/>
      <c r="D104" s="326"/>
      <c r="E104" s="326"/>
      <c r="F104" s="326"/>
    </row>
    <row r="105" spans="1:6">
      <c r="A105" s="1307" t="s">
        <v>78</v>
      </c>
      <c r="B105" s="1316">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2</v>
      </c>
      <c r="C110" s="326"/>
      <c r="D110" s="326"/>
      <c r="E110" s="326"/>
      <c r="F110" s="326"/>
    </row>
    <row r="111" spans="1:6">
      <c r="A111" s="1333" t="s">
        <v>629</v>
      </c>
      <c r="B111" s="1334">
        <v>1</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35</v>
      </c>
      <c r="C123" s="1313">
        <v>59</v>
      </c>
      <c r="D123" s="326"/>
      <c r="E123" s="326"/>
      <c r="F123" s="326"/>
    </row>
    <row r="124" spans="1:6" s="43" customFormat="1">
      <c r="A124" s="1314" t="s">
        <v>88</v>
      </c>
      <c r="B124" s="1335">
        <v>0</v>
      </c>
      <c r="C124" s="1335">
        <v>2</v>
      </c>
      <c r="D124" s="332"/>
      <c r="E124" s="332"/>
      <c r="F124" s="332"/>
    </row>
    <row r="125" spans="1:6">
      <c r="A125" s="1307" t="s">
        <v>786</v>
      </c>
      <c r="B125" s="1335">
        <v>3</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148</v>
      </c>
      <c r="C129" s="326"/>
      <c r="D129" s="326"/>
      <c r="E129" s="326"/>
      <c r="F129" s="326"/>
    </row>
    <row r="130" spans="1:6">
      <c r="A130" s="1312" t="s">
        <v>290</v>
      </c>
      <c r="B130" s="1313">
        <v>3</v>
      </c>
      <c r="C130" s="326"/>
      <c r="D130" s="326"/>
      <c r="E130" s="326"/>
      <c r="F130" s="326"/>
    </row>
    <row r="131" spans="1:6">
      <c r="A131" s="1312" t="s">
        <v>291</v>
      </c>
      <c r="B131" s="1313">
        <v>2</v>
      </c>
      <c r="C131" s="326"/>
      <c r="D131" s="326"/>
      <c r="E131" s="326"/>
      <c r="F131" s="326"/>
    </row>
    <row r="132" spans="1:6">
      <c r="A132" s="1307" t="s">
        <v>292</v>
      </c>
      <c r="B132" s="1308">
        <v>26</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39728.462136972703</v>
      </c>
      <c r="C3" s="43" t="s">
        <v>169</v>
      </c>
      <c r="D3" s="43"/>
      <c r="E3" s="154"/>
      <c r="F3" s="43"/>
      <c r="G3" s="43"/>
      <c r="H3" s="43"/>
      <c r="I3" s="43"/>
      <c r="J3" s="43"/>
      <c r="K3" s="96"/>
    </row>
    <row r="4" spans="1:11">
      <c r="A4" s="354" t="s">
        <v>170</v>
      </c>
      <c r="B4" s="49">
        <f>IF(ISERROR('SEAP template'!B78+'SEAP template'!C78),0,'SEAP template'!B78+'SEAP template'!C78)</f>
        <v>5004.8293808933749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0.19315932272021949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914.81799999999998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914.81799999999998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0.19315932272021949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176.70562529226575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16905.256513410699</v>
      </c>
      <c r="C5" s="17">
        <f>IF(ISERROR('Eigen informatie GS &amp; warmtenet'!B59),0,'Eigen informatie GS &amp; warmtenet'!B59)</f>
        <v>0</v>
      </c>
      <c r="D5" s="30">
        <f>(SUM(HH_hh_gas_kWh,HH_rest_gas_kWh)/1000)*0.903</f>
        <v>41978.212365827116</v>
      </c>
      <c r="E5" s="17">
        <f>B32*B41</f>
        <v>1124.2098715427176</v>
      </c>
      <c r="F5" s="17">
        <f>B36*B45</f>
        <v>24627.621902715797</v>
      </c>
      <c r="G5" s="18"/>
      <c r="H5" s="17"/>
      <c r="I5" s="17"/>
      <c r="J5" s="17">
        <f>B35*B44+C35*C44</f>
        <v>140.35551083914152</v>
      </c>
      <c r="K5" s="17"/>
      <c r="L5" s="17"/>
      <c r="M5" s="17"/>
      <c r="N5" s="17">
        <f>B34*B43+C34*C43</f>
        <v>6134.6769327607954</v>
      </c>
      <c r="O5" s="17">
        <f>B52*B53*B54</f>
        <v>414.64726785188964</v>
      </c>
      <c r="P5" s="17">
        <f>B60*B61*B62/1000-B60*B61*B62/1000/B63</f>
        <v>642.57151776878641</v>
      </c>
    </row>
    <row r="6" spans="1:16">
      <c r="A6" s="16" t="s">
        <v>603</v>
      </c>
      <c r="B6" s="780">
        <f>kWh_PV_kleiner_dan_10kW</f>
        <v>4242.4577495699177</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21147.714262980619</v>
      </c>
      <c r="C8" s="21">
        <f>C5</f>
        <v>0</v>
      </c>
      <c r="D8" s="21">
        <f>D5</f>
        <v>41978.212365827116</v>
      </c>
      <c r="E8" s="21">
        <f>E5</f>
        <v>1124.2098715427176</v>
      </c>
      <c r="F8" s="21">
        <f>F5</f>
        <v>24627.621902715797</v>
      </c>
      <c r="G8" s="21"/>
      <c r="H8" s="21"/>
      <c r="I8" s="21"/>
      <c r="J8" s="21">
        <f>J5</f>
        <v>140.35551083914152</v>
      </c>
      <c r="K8" s="21"/>
      <c r="L8" s="21">
        <f>L5</f>
        <v>0</v>
      </c>
      <c r="M8" s="21">
        <f>M5</f>
        <v>0</v>
      </c>
      <c r="N8" s="21">
        <f>N5</f>
        <v>6134.6769327607954</v>
      </c>
      <c r="O8" s="21">
        <f>O5</f>
        <v>414.64726785188964</v>
      </c>
      <c r="P8" s="21">
        <f>P5</f>
        <v>642.57151776878641</v>
      </c>
    </row>
    <row r="9" spans="1:16">
      <c r="B9" s="19"/>
      <c r="C9" s="19"/>
      <c r="D9" s="254"/>
      <c r="E9" s="19"/>
      <c r="F9" s="19"/>
      <c r="G9" s="19"/>
      <c r="H9" s="19"/>
      <c r="I9" s="19"/>
      <c r="J9" s="19"/>
      <c r="K9" s="19"/>
      <c r="L9" s="19"/>
      <c r="M9" s="19"/>
      <c r="N9" s="19"/>
      <c r="O9" s="19"/>
      <c r="P9" s="19"/>
    </row>
    <row r="10" spans="1:16">
      <c r="A10" s="24" t="s">
        <v>213</v>
      </c>
      <c r="B10" s="25">
        <f ca="1">'EF ele_warmte'!B12</f>
        <v>0.19315932272021949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4084.8781641180622</v>
      </c>
      <c r="C12" s="23">
        <f ca="1">C10*C8</f>
        <v>0</v>
      </c>
      <c r="D12" s="23">
        <f>D8*D10</f>
        <v>8479.5988978970781</v>
      </c>
      <c r="E12" s="23">
        <f>E10*E8</f>
        <v>255.19564084019689</v>
      </c>
      <c r="F12" s="23">
        <f>F10*F8</f>
        <v>6575.5750480251181</v>
      </c>
      <c r="G12" s="23"/>
      <c r="H12" s="23"/>
      <c r="I12" s="23"/>
      <c r="J12" s="23">
        <f>J10*J8</f>
        <v>49.685850837056094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4626</v>
      </c>
      <c r="C26" s="36"/>
      <c r="D26" s="225"/>
    </row>
    <row r="27" spans="1:5" s="15" customFormat="1">
      <c r="A27" s="227" t="s">
        <v>866</v>
      </c>
      <c r="B27" s="37">
        <f>SUM(HH_hh_gas_aantal,HH_rest_gas_aantal)</f>
        <v>2941</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2793.95</v>
      </c>
      <c r="C31" s="34" t="s">
        <v>110</v>
      </c>
      <c r="D31" s="171"/>
    </row>
    <row r="32" spans="1:5">
      <c r="A32" s="168" t="s">
        <v>72</v>
      </c>
      <c r="B32" s="33">
        <f>IF((B21*($B$26-($B$27-0.05*$B$27)-$B$60))&lt;0,0,(B21*($B$26-($B$27-0.05*$B$27)-$B$60)))</f>
        <v>28.115770646893051</v>
      </c>
      <c r="C32" s="34" t="s">
        <v>110</v>
      </c>
      <c r="D32" s="171"/>
    </row>
    <row r="33" spans="1:6">
      <c r="A33" s="168" t="s">
        <v>73</v>
      </c>
      <c r="B33" s="33">
        <f>IF((B22*($B$26-($B$27-0.05*$B$27)-$B$60))&lt;0,0,B22*($B$26-($B$27-0.05*$B$27)-$B$60))</f>
        <v>456.54443141059676</v>
      </c>
      <c r="C33" s="34" t="s">
        <v>110</v>
      </c>
      <c r="D33" s="171"/>
    </row>
    <row r="34" spans="1:6">
      <c r="A34" s="168" t="s">
        <v>74</v>
      </c>
      <c r="B34" s="33">
        <f>IF((B24*($B$26-($B$27-0.05*$B$27)-$B$60))&lt;0,0,B24*($B$26-($B$27-0.05*$B$27)-$B$60))</f>
        <v>87.525677190872941</v>
      </c>
      <c r="C34" s="33">
        <f>B26*C24</f>
        <v>947.89487754507331</v>
      </c>
      <c r="D34" s="230"/>
    </row>
    <row r="35" spans="1:6">
      <c r="A35" s="168" t="s">
        <v>76</v>
      </c>
      <c r="B35" s="33">
        <f>IF((B19*($B$26-($B$27-0.05*$B$27)-$B$60))&lt;0,0,B19*($B$26-($B$27-0.05*$B$27)-$B$60))</f>
        <v>12.221858470372487</v>
      </c>
      <c r="C35" s="33">
        <f>B35/2</f>
        <v>6.1109292351862434</v>
      </c>
      <c r="D35" s="230"/>
    </row>
    <row r="36" spans="1:6">
      <c r="A36" s="168" t="s">
        <v>77</v>
      </c>
      <c r="B36" s="33">
        <f>IF((B18*($B$26-($B$27-0.05*$B$27)-$B$60))&lt;0,0,B18*($B$26-($B$27-0.05*$B$27)-$B$60))</f>
        <v>1186.6422622812647</v>
      </c>
      <c r="C36" s="34" t="s">
        <v>110</v>
      </c>
      <c r="D36" s="171"/>
    </row>
    <row r="37" spans="1:6">
      <c r="A37" s="168" t="s">
        <v>78</v>
      </c>
      <c r="B37" s="33">
        <f>B60</f>
        <v>61</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209</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61</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11481.491528364051</v>
      </c>
      <c r="C5" s="17">
        <f>IF(ISERROR('Eigen informatie GS &amp; warmtenet'!B60),0,'Eigen informatie GS &amp; warmtenet'!B60)</f>
        <v>0</v>
      </c>
      <c r="D5" s="30">
        <f>SUM(D6:D12)</f>
        <v>14603.403679164976</v>
      </c>
      <c r="E5" s="17">
        <f>SUM(E6:E12)</f>
        <v>44.291379677740082</v>
      </c>
      <c r="F5" s="17">
        <f>SUM(F6:F12)</f>
        <v>2091.4624991023884</v>
      </c>
      <c r="G5" s="18"/>
      <c r="H5" s="17"/>
      <c r="I5" s="17"/>
      <c r="J5" s="17">
        <f>SUM(J6:J12)</f>
        <v>1.2978648783520194E-2</v>
      </c>
      <c r="K5" s="17"/>
      <c r="L5" s="17"/>
      <c r="M5" s="17"/>
      <c r="N5" s="17">
        <f>SUM(N6:N12)</f>
        <v>503.97732625234005</v>
      </c>
      <c r="O5" s="17">
        <f>B38*B39*B40</f>
        <v>14.691782297523464</v>
      </c>
      <c r="P5" s="17">
        <f>B46*B47*B48/1000-B46*B47*B48/1000/B49</f>
        <v>262.69569153247511</v>
      </c>
      <c r="R5" s="32"/>
    </row>
    <row r="6" spans="1:18">
      <c r="A6" s="32" t="s">
        <v>53</v>
      </c>
      <c r="B6" s="37">
        <f>B26</f>
        <v>3332.5493960992799</v>
      </c>
      <c r="C6" s="33"/>
      <c r="D6" s="37">
        <f>IF(ISERROR(TER_kantoor_gas_kWh/1000),0,TER_kantoor_gas_kWh/1000)*0.903</f>
        <v>5543.2526702727346</v>
      </c>
      <c r="E6" s="33">
        <f>$C$26*'E Balans VL '!I12/100/3.6*1000000</f>
        <v>0.79404829527103615</v>
      </c>
      <c r="F6" s="33">
        <f>$C$26*('E Balans VL '!L12+'E Balans VL '!N12)/100/3.6*1000000</f>
        <v>289.46456120148844</v>
      </c>
      <c r="G6" s="34"/>
      <c r="H6" s="33"/>
      <c r="I6" s="33"/>
      <c r="J6" s="33">
        <f>$C$26*('E Balans VL '!D12+'E Balans VL '!E12)/100/3.6*1000000</f>
        <v>0</v>
      </c>
      <c r="K6" s="33"/>
      <c r="L6" s="33"/>
      <c r="M6" s="33"/>
      <c r="N6" s="33">
        <f>$C$26*'E Balans VL '!Y12/100/3.6*1000000</f>
        <v>4.4544184922105492</v>
      </c>
      <c r="O6" s="33"/>
      <c r="P6" s="33"/>
      <c r="R6" s="32"/>
    </row>
    <row r="7" spans="1:18">
      <c r="A7" s="32" t="s">
        <v>52</v>
      </c>
      <c r="B7" s="37">
        <f t="shared" ref="B7:B12" si="0">B27</f>
        <v>2532.7900002049601</v>
      </c>
      <c r="C7" s="33"/>
      <c r="D7" s="37">
        <f>IF(ISERROR(TER_horeca_gas_kWh/1000),0,TER_horeca_gas_kWh/1000)*0.903</f>
        <v>3191.0551489349814</v>
      </c>
      <c r="E7" s="33">
        <f>$C$27*'E Balans VL '!I9/100/3.6*1000000</f>
        <v>0</v>
      </c>
      <c r="F7" s="33">
        <f>$C$27*('E Balans VL '!L9+'E Balans VL '!N9)/100/3.6*1000000</f>
        <v>206.37654806536034</v>
      </c>
      <c r="G7" s="34"/>
      <c r="H7" s="33"/>
      <c r="I7" s="33"/>
      <c r="J7" s="33">
        <f>$C$27*('E Balans VL '!D9+'E Balans VL '!E9)/100/3.6*1000000</f>
        <v>0</v>
      </c>
      <c r="K7" s="33"/>
      <c r="L7" s="33"/>
      <c r="M7" s="33"/>
      <c r="N7" s="33">
        <f>$C$27*'E Balans VL '!Y9/100/3.6*1000000</f>
        <v>0.70153567621690649</v>
      </c>
      <c r="O7" s="33"/>
      <c r="P7" s="33"/>
      <c r="R7" s="32"/>
    </row>
    <row r="8" spans="1:18">
      <c r="A8" s="6" t="s">
        <v>51</v>
      </c>
      <c r="B8" s="37">
        <f t="shared" si="0"/>
        <v>3360.3189944268602</v>
      </c>
      <c r="C8" s="33"/>
      <c r="D8" s="37">
        <f>IF(ISERROR(TER_handel_gas_kWh/1000),0,TER_handel_gas_kWh/1000)*0.903</f>
        <v>2280.491050394126</v>
      </c>
      <c r="E8" s="33">
        <f>$C$28*'E Balans VL '!I13/100/3.6*1000000</f>
        <v>26.861094969868994</v>
      </c>
      <c r="F8" s="33">
        <f>$C$28*('E Balans VL '!L13+'E Balans VL '!N13)/100/3.6*1000000</f>
        <v>333.82680313467648</v>
      </c>
      <c r="G8" s="34"/>
      <c r="H8" s="33"/>
      <c r="I8" s="33"/>
      <c r="J8" s="33">
        <f>$C$28*('E Balans VL '!D13+'E Balans VL '!E13)/100/3.6*1000000</f>
        <v>0</v>
      </c>
      <c r="K8" s="33"/>
      <c r="L8" s="33"/>
      <c r="M8" s="33"/>
      <c r="N8" s="33">
        <f>$C$28*'E Balans VL '!Y13/100/3.6*1000000</f>
        <v>1.2552791639189778</v>
      </c>
      <c r="O8" s="33"/>
      <c r="P8" s="33"/>
      <c r="R8" s="32"/>
    </row>
    <row r="9" spans="1:18">
      <c r="A9" s="32" t="s">
        <v>50</v>
      </c>
      <c r="B9" s="37">
        <f t="shared" si="0"/>
        <v>900.23030460200505</v>
      </c>
      <c r="C9" s="33"/>
      <c r="D9" s="37">
        <f>IF(ISERROR(TER_gezond_gas_kWh/1000),0,TER_gezond_gas_kWh/1000)*0.903</f>
        <v>1980.0527503336643</v>
      </c>
      <c r="E9" s="33">
        <f>$C$29*'E Balans VL '!I10/100/3.6*1000000</f>
        <v>0</v>
      </c>
      <c r="F9" s="33">
        <f>$C$29*('E Balans VL '!L10+'E Balans VL '!N10)/100/3.6*1000000</f>
        <v>82.070662144434976</v>
      </c>
      <c r="G9" s="34"/>
      <c r="H9" s="33"/>
      <c r="I9" s="33"/>
      <c r="J9" s="33">
        <f>$C$29*('E Balans VL '!D10+'E Balans VL '!E10)/100/3.6*1000000</f>
        <v>0</v>
      </c>
      <c r="K9" s="33"/>
      <c r="L9" s="33"/>
      <c r="M9" s="33"/>
      <c r="N9" s="33">
        <f>$C$29*'E Balans VL '!Y10/100/3.6*1000000</f>
        <v>6.5798767762115071</v>
      </c>
      <c r="O9" s="33"/>
      <c r="P9" s="33"/>
      <c r="R9" s="32"/>
    </row>
    <row r="10" spans="1:18">
      <c r="A10" s="32" t="s">
        <v>49</v>
      </c>
      <c r="B10" s="37">
        <f t="shared" si="0"/>
        <v>1283.2141506558501</v>
      </c>
      <c r="C10" s="33"/>
      <c r="D10" s="37">
        <f>IF(ISERROR(TER_ander_gas_kWh/1000),0,TER_ander_gas_kWh/1000)*0.903</f>
        <v>1332.8579269905699</v>
      </c>
      <c r="E10" s="33">
        <f>$C$30*'E Balans VL '!I14/100/3.6*1000000</f>
        <v>16.636236412600049</v>
      </c>
      <c r="F10" s="33">
        <f>$C$30*('E Balans VL '!L14+'E Balans VL '!N14)/100/3.6*1000000</f>
        <v>1176.887542839029</v>
      </c>
      <c r="G10" s="34"/>
      <c r="H10" s="33"/>
      <c r="I10" s="33"/>
      <c r="J10" s="33">
        <f>$C$30*('E Balans VL '!D14+'E Balans VL '!E14)/100/3.6*1000000</f>
        <v>1.2978648783520194E-2</v>
      </c>
      <c r="K10" s="33"/>
      <c r="L10" s="33"/>
      <c r="M10" s="33"/>
      <c r="N10" s="33">
        <f>$C$30*'E Balans VL '!Y14/100/3.6*1000000</f>
        <v>490.75824629770653</v>
      </c>
      <c r="O10" s="33"/>
      <c r="P10" s="33"/>
      <c r="R10" s="32"/>
    </row>
    <row r="11" spans="1:18">
      <c r="A11" s="32" t="s">
        <v>54</v>
      </c>
      <c r="B11" s="37">
        <f t="shared" si="0"/>
        <v>72.388682375097702</v>
      </c>
      <c r="C11" s="33"/>
      <c r="D11" s="37">
        <f>IF(ISERROR(TER_onderwijs_gas_kWh/1000),0,TER_onderwijs_gas_kWh/1000)*0.903</f>
        <v>275.69413223889973</v>
      </c>
      <c r="E11" s="33">
        <f>$C$31*'E Balans VL '!I11/100/3.6*1000000</f>
        <v>0</v>
      </c>
      <c r="F11" s="33">
        <f>$C$31*('E Balans VL '!L11+'E Balans VL '!N11)/100/3.6*1000000</f>
        <v>2.8363817173992087</v>
      </c>
      <c r="G11" s="34"/>
      <c r="H11" s="33"/>
      <c r="I11" s="33"/>
      <c r="J11" s="33">
        <f>$C$31*('E Balans VL '!D11+'E Balans VL '!E11)/100/3.6*1000000</f>
        <v>0</v>
      </c>
      <c r="K11" s="33"/>
      <c r="L11" s="33"/>
      <c r="M11" s="33"/>
      <c r="N11" s="33">
        <f>$C$31*'E Balans VL '!Y11/100/3.6*1000000</f>
        <v>0.22796984607553614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11481.491528364051</v>
      </c>
      <c r="C16" s="21">
        <f t="shared" ca="1" si="1"/>
        <v>0</v>
      </c>
      <c r="D16" s="21">
        <f t="shared" ca="1" si="1"/>
        <v>14603.403679164976</v>
      </c>
      <c r="E16" s="21">
        <f t="shared" si="1"/>
        <v>44.291379677740082</v>
      </c>
      <c r="F16" s="21">
        <f t="shared" ca="1" si="1"/>
        <v>2091.4624991023884</v>
      </c>
      <c r="G16" s="21">
        <f t="shared" si="1"/>
        <v>0</v>
      </c>
      <c r="H16" s="21">
        <f t="shared" si="1"/>
        <v>0</v>
      </c>
      <c r="I16" s="21">
        <f t="shared" si="1"/>
        <v>0</v>
      </c>
      <c r="J16" s="21">
        <f t="shared" si="1"/>
        <v>1.2978648783520194E-2</v>
      </c>
      <c r="K16" s="21">
        <f t="shared" si="1"/>
        <v>0</v>
      </c>
      <c r="L16" s="21">
        <f t="shared" ca="1" si="1"/>
        <v>0</v>
      </c>
      <c r="M16" s="21">
        <f t="shared" si="1"/>
        <v>0</v>
      </c>
      <c r="N16" s="21">
        <f t="shared" ca="1" si="1"/>
        <v>503.97732625234005</v>
      </c>
      <c r="O16" s="21">
        <f>O5</f>
        <v>14.691782297523464</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0.19315932272021949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2217.7571274367378</v>
      </c>
      <c r="C20" s="23">
        <f t="shared" ref="C20:P20" ca="1" si="2">C16*C18</f>
        <v>0</v>
      </c>
      <c r="D20" s="23">
        <f t="shared" ca="1" si="2"/>
        <v>2949.8875431913252</v>
      </c>
      <c r="E20" s="23">
        <f t="shared" si="2"/>
        <v>10.054143186846998</v>
      </c>
      <c r="F20" s="23">
        <f t="shared" ca="1" si="2"/>
        <v>558.42048726033772</v>
      </c>
      <c r="G20" s="23">
        <f t="shared" si="2"/>
        <v>0</v>
      </c>
      <c r="H20" s="23">
        <f t="shared" si="2"/>
        <v>0</v>
      </c>
      <c r="I20" s="23">
        <f t="shared" si="2"/>
        <v>0</v>
      </c>
      <c r="J20" s="23">
        <f t="shared" si="2"/>
        <v>4.5944416693661488E-3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3332.5493960992799</v>
      </c>
      <c r="C26" s="39">
        <f>IF(ISERROR(B26*3.6/1000000/'E Balans VL '!Z12*100),0,B26*3.6/1000000/'E Balans VL '!Z12*100)</f>
        <v>9.5610528564173028E-2</v>
      </c>
      <c r="D26" s="233" t="s">
        <v>841</v>
      </c>
      <c r="F26" s="6"/>
    </row>
    <row r="27" spans="1:18" ht="30">
      <c r="A27" s="228" t="s">
        <v>52</v>
      </c>
      <c r="B27" s="33">
        <f>IF(ISERROR(TER_horeca_ele_kWh/1000),0,TER_horeca_ele_kWh/1000)</f>
        <v>2532.7900002049601</v>
      </c>
      <c r="C27" s="39">
        <f>IF(ISERROR(B27*3.6/1000000/'E Balans VL '!Z9*100),0,B27*3.6/1000000/'E Balans VL '!Z9*100)</f>
        <v>0.18555309211274157</v>
      </c>
      <c r="D27" s="233" t="s">
        <v>841</v>
      </c>
      <c r="F27" s="6"/>
    </row>
    <row r="28" spans="1:18" ht="30">
      <c r="A28" s="168" t="s">
        <v>51</v>
      </c>
      <c r="B28" s="33">
        <f>IF(ISERROR(TER_handel_ele_kWh/1000),0,TER_handel_ele_kWh/1000)</f>
        <v>3360.3189944268602</v>
      </c>
      <c r="C28" s="39">
        <f>IF(ISERROR(B28*3.6/1000000/'E Balans VL '!Z13*100),0,B28*3.6/1000000/'E Balans VL '!Z13*100)</f>
        <v>0.10383669119333754</v>
      </c>
      <c r="D28" s="233" t="s">
        <v>841</v>
      </c>
      <c r="F28" s="6"/>
    </row>
    <row r="29" spans="1:18" ht="30">
      <c r="A29" s="228" t="s">
        <v>50</v>
      </c>
      <c r="B29" s="33">
        <f>IF(ISERROR(TER_gezond_ele_kWh/1000),0,TER_gezond_ele_kWh/1000)</f>
        <v>900.23030460200505</v>
      </c>
      <c r="C29" s="39">
        <f>IF(ISERROR(B29*3.6/1000000/'E Balans VL '!Z10*100),0,B29*3.6/1000000/'E Balans VL '!Z10*100)</f>
        <v>8.822810532662799E-2</v>
      </c>
      <c r="D29" s="233" t="s">
        <v>841</v>
      </c>
      <c r="F29" s="6"/>
    </row>
    <row r="30" spans="1:18" ht="30">
      <c r="A30" s="228" t="s">
        <v>49</v>
      </c>
      <c r="B30" s="33">
        <f>IF(ISERROR(TER_ander_ele_kWh/1000),0,TER_ander_ele_kWh/1000)</f>
        <v>1283.2141506558501</v>
      </c>
      <c r="C30" s="39">
        <f>IF(ISERROR(B30*3.6/1000000/'E Balans VL '!Z14*100),0,B30*3.6/1000000/'E Balans VL '!Z14*100)</f>
        <v>5.3154875563905225E-2</v>
      </c>
      <c r="D30" s="233" t="s">
        <v>841</v>
      </c>
      <c r="F30" s="6"/>
    </row>
    <row r="31" spans="1:18" ht="30">
      <c r="A31" s="228" t="s">
        <v>54</v>
      </c>
      <c r="B31" s="33">
        <f>IF(ISERROR(TER_onderwijs_ele_kWh/1000),0,TER_onderwijs_ele_kWh/1000)</f>
        <v>72.388682375097702</v>
      </c>
      <c r="C31" s="39">
        <f>IF(ISERROR(B31*3.6/1000000/'E Balans VL '!Z11*100),0,B31*3.6/1000000/'E Balans VL '!Z11*100)</f>
        <v>2.2242841288258791E-2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5</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2330.0827811599183</v>
      </c>
      <c r="C5" s="17">
        <f>IF(ISERROR('Eigen informatie GS &amp; warmtenet'!B61),0,'Eigen informatie GS &amp; warmtenet'!B61)</f>
        <v>0</v>
      </c>
      <c r="D5" s="30">
        <f>SUM(D6:D15)</f>
        <v>1959.4794217541785</v>
      </c>
      <c r="E5" s="17">
        <f>SUM(E6:E15)</f>
        <v>10.145078072569902</v>
      </c>
      <c r="F5" s="17">
        <f>SUM(F6:F15)</f>
        <v>813.59840703447958</v>
      </c>
      <c r="G5" s="18"/>
      <c r="H5" s="17"/>
      <c r="I5" s="17"/>
      <c r="J5" s="17">
        <f>SUM(J6:J15)</f>
        <v>3.4914037852599771</v>
      </c>
      <c r="K5" s="17"/>
      <c r="L5" s="17"/>
      <c r="M5" s="17"/>
      <c r="N5" s="17">
        <f>SUM(N6:N15)</f>
        <v>126.02666807294231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473.33543230828798</v>
      </c>
      <c r="C8" s="33"/>
      <c r="D8" s="37">
        <f>IF( ISERROR(IND_metaal_Gas_kWH/1000),0,IND_metaal_Gas_kWH/1000)*0.903</f>
        <v>140.05749988691773</v>
      </c>
      <c r="E8" s="33">
        <f>C30*'E Balans VL '!I18/100/3.6*1000000</f>
        <v>2.5802252617099191</v>
      </c>
      <c r="F8" s="33">
        <f>C30*'E Balans VL '!L18/100/3.6*1000000+C30*'E Balans VL '!N18/100/3.6*1000000</f>
        <v>30.482837995292797</v>
      </c>
      <c r="G8" s="34"/>
      <c r="H8" s="33"/>
      <c r="I8" s="33"/>
      <c r="J8" s="40">
        <f>C30*'E Balans VL '!D18/100/3.6*1000000+C30*'E Balans VL '!E18/100/3.6*1000000</f>
        <v>0.38771945576297662</v>
      </c>
      <c r="K8" s="33"/>
      <c r="L8" s="33"/>
      <c r="M8" s="33"/>
      <c r="N8" s="33">
        <f>C30*'E Balans VL '!Y18/100/3.6*1000000</f>
        <v>10.226099236435426</v>
      </c>
      <c r="O8" s="33"/>
      <c r="P8" s="33"/>
      <c r="R8" s="32"/>
    </row>
    <row r="9" spans="1:18">
      <c r="A9" s="6" t="s">
        <v>32</v>
      </c>
      <c r="B9" s="37">
        <f t="shared" si="0"/>
        <v>1168.8004995582098</v>
      </c>
      <c r="C9" s="33"/>
      <c r="D9" s="37">
        <f>IF( ISERROR(IND_andere_gas_kWh/1000),0,IND_andere_gas_kWh/1000)*0.903</f>
        <v>1431.0763761158992</v>
      </c>
      <c r="E9" s="33">
        <f>C31*'E Balans VL '!I19/100/3.6*1000000</f>
        <v>3.7730870599484057</v>
      </c>
      <c r="F9" s="33">
        <f>C31*'E Balans VL '!L19/100/3.6*1000000+C31*'E Balans VL '!N19/100/3.6*1000000</f>
        <v>755.75557817004619</v>
      </c>
      <c r="G9" s="34"/>
      <c r="H9" s="33"/>
      <c r="I9" s="33"/>
      <c r="J9" s="40">
        <f>C31*'E Balans VL '!D19/100/3.6*1000000+C31*'E Balans VL '!E19/100/3.6*1000000</f>
        <v>0</v>
      </c>
      <c r="K9" s="33"/>
      <c r="L9" s="33"/>
      <c r="M9" s="33"/>
      <c r="N9" s="33">
        <f>C31*'E Balans VL '!Y19/100/3.6*1000000</f>
        <v>47.229878104168108</v>
      </c>
      <c r="O9" s="33"/>
      <c r="P9" s="33"/>
      <c r="R9" s="32"/>
    </row>
    <row r="10" spans="1:18">
      <c r="A10" s="6" t="s">
        <v>40</v>
      </c>
      <c r="B10" s="37">
        <f t="shared" si="0"/>
        <v>556.19131682487205</v>
      </c>
      <c r="C10" s="33"/>
      <c r="D10" s="37">
        <f>IF( ISERROR(IND_voed_gas_kWh/1000),0,IND_voed_gas_kWh/1000)*0.903</f>
        <v>253.9751992561801</v>
      </c>
      <c r="E10" s="33">
        <f>C32*'E Balans VL '!I20/100/3.6*1000000</f>
        <v>1.1659133078506234</v>
      </c>
      <c r="F10" s="33">
        <f>C32*'E Balans VL '!L20/100/3.6*1000000+C32*'E Balans VL '!N20/100/3.6*1000000</f>
        <v>10.836528980614851</v>
      </c>
      <c r="G10" s="34"/>
      <c r="H10" s="33"/>
      <c r="I10" s="33"/>
      <c r="J10" s="40">
        <f>C32*'E Balans VL '!D20/100/3.6*1000000+C32*'E Balans VL '!E20/100/3.6*1000000</f>
        <v>0</v>
      </c>
      <c r="K10" s="33"/>
      <c r="L10" s="33"/>
      <c r="M10" s="33"/>
      <c r="N10" s="33">
        <f>C32*'E Balans VL '!Y20/100/3.6*1000000</f>
        <v>22.123748594972529</v>
      </c>
      <c r="O10" s="33"/>
      <c r="P10" s="33"/>
      <c r="R10" s="32"/>
    </row>
    <row r="11" spans="1:18">
      <c r="A11" s="6" t="s">
        <v>39</v>
      </c>
      <c r="B11" s="37">
        <f t="shared" si="0"/>
        <v>27.2294871156036</v>
      </c>
      <c r="C11" s="33"/>
      <c r="D11" s="37">
        <f>IF( ISERROR(IND_textiel_gas_kWh/1000),0,IND_textiel_gas_kWh/1000)*0.903</f>
        <v>0</v>
      </c>
      <c r="E11" s="33">
        <f>C33*'E Balans VL '!I21/100/3.6*1000000</f>
        <v>2.3397479747129128E-2</v>
      </c>
      <c r="F11" s="33">
        <f>C33*'E Balans VL '!L21/100/3.6*1000000+C33*'E Balans VL '!N21/100/3.6*1000000</f>
        <v>0.5708944583771578</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83.5442997618878</v>
      </c>
      <c r="C12" s="33"/>
      <c r="D12" s="37">
        <f>IF( ISERROR(IND_min_gas_kWh/1000),0,IND_min_gas_kWh/1000)*0.903</f>
        <v>71.860659444892448</v>
      </c>
      <c r="E12" s="33">
        <f>C34*'E Balans VL '!I22/100/3.6*1000000</f>
        <v>1.3672073852095015</v>
      </c>
      <c r="F12" s="33">
        <f>C34*'E Balans VL '!L22/100/3.6*1000000+C34*'E Balans VL '!N22/100/3.6*1000000</f>
        <v>12.751728071865799</v>
      </c>
      <c r="G12" s="34"/>
      <c r="H12" s="33"/>
      <c r="I12" s="33"/>
      <c r="J12" s="40">
        <f>C34*'E Balans VL '!D22/100/3.6*1000000+C34*'E Balans VL '!E22/100/3.6*1000000</f>
        <v>2.9897635681756722</v>
      </c>
      <c r="K12" s="33"/>
      <c r="L12" s="33"/>
      <c r="M12" s="33"/>
      <c r="N12" s="33">
        <f>C34*'E Balans VL '!Y22/100/3.6*1000000</f>
        <v>45.784049402327412</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20.981745591056999</v>
      </c>
      <c r="C15" s="33"/>
      <c r="D15" s="37">
        <f>IF( ISERROR(IND_rest_gas_kWh/1000),0,IND_rest_gas_kWh/1000)*0.903</f>
        <v>62.509687050289244</v>
      </c>
      <c r="E15" s="33">
        <f>C37*'E Balans VL '!I15/100/3.6*1000000</f>
        <v>1.2352475781043233</v>
      </c>
      <c r="F15" s="33">
        <f>C37*'E Balans VL '!L15/100/3.6*1000000+C37*'E Balans VL '!N15/100/3.6*1000000</f>
        <v>3.2008393582827348</v>
      </c>
      <c r="G15" s="34"/>
      <c r="H15" s="33"/>
      <c r="I15" s="33"/>
      <c r="J15" s="40">
        <f>C37*'E Balans VL '!D15/100/3.6*1000000+C37*'E Balans VL '!E15/100/3.6*1000000</f>
        <v>0.11392076132132778</v>
      </c>
      <c r="K15" s="33"/>
      <c r="L15" s="33"/>
      <c r="M15" s="33"/>
      <c r="N15" s="33">
        <f>C37*'E Balans VL '!Y15/100/3.6*1000000</f>
        <v>0.6628927350388335</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2330.0827811599183</v>
      </c>
      <c r="C18" s="21">
        <f>C5+C16</f>
        <v>0</v>
      </c>
      <c r="D18" s="21">
        <f>MAX((D5+D16),0)</f>
        <v>1959.4794217541785</v>
      </c>
      <c r="E18" s="21">
        <f>MAX((E5+E16),0)</f>
        <v>10.145078072569902</v>
      </c>
      <c r="F18" s="21">
        <f>MAX((F5+F16),0)</f>
        <v>813.59840703447958</v>
      </c>
      <c r="G18" s="21"/>
      <c r="H18" s="21"/>
      <c r="I18" s="21"/>
      <c r="J18" s="21">
        <f>MAX((J5+J16),0)</f>
        <v>3.4914037852599771</v>
      </c>
      <c r="K18" s="21"/>
      <c r="L18" s="21">
        <f>MAX((L5+L16),0)</f>
        <v>0</v>
      </c>
      <c r="M18" s="21"/>
      <c r="N18" s="21">
        <f>MAX((N5+N16),0)</f>
        <v>126.02666807294231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0.19315932272021949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450.07721189089523</v>
      </c>
      <c r="C22" s="23">
        <f ca="1">C18*C20</f>
        <v>0</v>
      </c>
      <c r="D22" s="23">
        <f>D18*D20</f>
        <v>395.81484319434406</v>
      </c>
      <c r="E22" s="23">
        <f>E18*E20</f>
        <v>2.302932722473368</v>
      </c>
      <c r="F22" s="23">
        <f>F18*F20</f>
        <v>217.23077467820605</v>
      </c>
      <c r="G22" s="23"/>
      <c r="H22" s="23"/>
      <c r="I22" s="23"/>
      <c r="J22" s="23">
        <f>J18*J20</f>
        <v>1.2359569399820318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473.33543230828798</v>
      </c>
      <c r="C30" s="39">
        <f>IF(ISERROR(B30*3.6/1000000/'E Balans VL '!Z18*100),0,B30*3.6/1000000/'E Balans VL '!Z18*100)</f>
        <v>2.8502961828603637E-2</v>
      </c>
      <c r="D30" s="233" t="s">
        <v>841</v>
      </c>
    </row>
    <row r="31" spans="1:18" ht="30">
      <c r="A31" s="6" t="s">
        <v>32</v>
      </c>
      <c r="B31" s="37">
        <f>IF( ISERROR(IND_ander_ele_kWh/1000),0,IND_ander_ele_kWh/1000)</f>
        <v>1168.8004995582098</v>
      </c>
      <c r="C31" s="39">
        <f>IF(ISERROR(B31*3.6/1000000/'E Balans VL '!Z19*100),0,B31*3.6/1000000/'E Balans VL '!Z19*100)</f>
        <v>4.7619352047497197E-2</v>
      </c>
      <c r="D31" s="233" t="s">
        <v>841</v>
      </c>
    </row>
    <row r="32" spans="1:18" ht="30">
      <c r="A32" s="168" t="s">
        <v>40</v>
      </c>
      <c r="B32" s="37">
        <f>IF( ISERROR(IND_voed_ele_kWh/1000),0,IND_voed_ele_kWh/1000)</f>
        <v>556.19131682487205</v>
      </c>
      <c r="C32" s="39">
        <f>IF(ISERROR(B32*3.6/1000000/'E Balans VL '!Z20*100),0,B32*3.6/1000000/'E Balans VL '!Z20*100)</f>
        <v>1.6081729250516527E-2</v>
      </c>
      <c r="D32" s="233" t="s">
        <v>841</v>
      </c>
    </row>
    <row r="33" spans="1:5" ht="30">
      <c r="A33" s="168" t="s">
        <v>39</v>
      </c>
      <c r="B33" s="37">
        <f>IF( ISERROR(IND_textiel_ele_kWh/1000),0,IND_textiel_ele_kWh/1000)</f>
        <v>27.2294871156036</v>
      </c>
      <c r="C33" s="39">
        <f>IF(ISERROR(B33*3.6/1000000/'E Balans VL '!Z21*100),0,B33*3.6/1000000/'E Balans VL '!Z21*100)</f>
        <v>4.4779865544744739E-3</v>
      </c>
      <c r="D33" s="233" t="s">
        <v>841</v>
      </c>
    </row>
    <row r="34" spans="1:5" ht="30">
      <c r="A34" s="168" t="s">
        <v>36</v>
      </c>
      <c r="B34" s="37">
        <f>IF( ISERROR(IND_min_ele_kWh/1000),0,IND_min_ele_kWh/1000)</f>
        <v>83.5442997618878</v>
      </c>
      <c r="C34" s="39">
        <f>IF(ISERROR(B34*3.6/1000000/'E Balans VL '!Z22*100),0,B34*3.6/1000000/'E Balans VL '!Z22*100)</f>
        <v>3.5672639683920225E-2</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20.981745591056999</v>
      </c>
      <c r="C37" s="39">
        <f>IF(ISERROR(B37*3.6/1000000/'E Balans VL '!Z15*100),0,B37*3.6/1000000/'E Balans VL '!Z15*100)</f>
        <v>1.7227602332929042E-4</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2938.87717917807</v>
      </c>
      <c r="C5" s="17">
        <f>'Eigen informatie GS &amp; warmtenet'!B62</f>
        <v>0</v>
      </c>
      <c r="D5" s="30">
        <f>IF(ISERROR(SUM(LB_lb_gas_kWh,LB_rest_gas_kWh)/1000),0,SUM(LB_lb_gas_kWh,LB_rest_gas_kWh)/1000)*0.903</f>
        <v>3268.1254607508035</v>
      </c>
      <c r="E5" s="17">
        <f>B17*'E Balans VL '!I25/3.6*1000000/100</f>
        <v>84.174415902391061</v>
      </c>
      <c r="F5" s="17">
        <f>B17*('E Balans VL '!L25/3.6*1000000+'E Balans VL '!N25/3.6*1000000)/100</f>
        <v>9302.9670346075745</v>
      </c>
      <c r="G5" s="18"/>
      <c r="H5" s="17"/>
      <c r="I5" s="17"/>
      <c r="J5" s="17">
        <f>('E Balans VL '!D25+'E Balans VL '!E25)/3.6*1000000*landbouw!B17/100</f>
        <v>747.26417889177185</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2938.87717917807</v>
      </c>
      <c r="C8" s="21">
        <f>C5+C6</f>
        <v>0</v>
      </c>
      <c r="D8" s="21">
        <f>MAX((D5+D6),0)</f>
        <v>3268.1254607508035</v>
      </c>
      <c r="E8" s="21">
        <f>MAX((E5+E6),0)</f>
        <v>84.174415902391061</v>
      </c>
      <c r="F8" s="21">
        <f>MAX((F5+F6),0)</f>
        <v>9302.9670346075745</v>
      </c>
      <c r="G8" s="21"/>
      <c r="H8" s="21"/>
      <c r="I8" s="21"/>
      <c r="J8" s="21">
        <f>MAX((J5+J6),0)</f>
        <v>747.26417889177185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0.19315932272021949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567.67152548794513</v>
      </c>
      <c r="C12" s="23">
        <f ca="1">C8*C10</f>
        <v>0</v>
      </c>
      <c r="D12" s="23">
        <f>D8*D10</f>
        <v>660.16134307166237</v>
      </c>
      <c r="E12" s="23">
        <f>E8*E10</f>
        <v>19.10759240984277</v>
      </c>
      <c r="F12" s="23">
        <f>F8*F10</f>
        <v>2483.8921982402226</v>
      </c>
      <c r="G12" s="23"/>
      <c r="H12" s="23"/>
      <c r="I12" s="23"/>
      <c r="J12" s="23">
        <f>J8*J10</f>
        <v>264.53151932768719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0.40696781941863441</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899.50036129859745</v>
      </c>
      <c r="C26" s="243">
        <f>B26*'GWP N2O_CH4'!B5</f>
        <v>18889.507587270546</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221.47844885669411</v>
      </c>
      <c r="C27" s="243">
        <f>B27*'GWP N2O_CH4'!B5</f>
        <v>4651.0474259905768</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13.001981671411757</v>
      </c>
      <c r="C28" s="243">
        <f>B28*'GWP N2O_CH4'!B4</f>
        <v>4030.6143181376447</v>
      </c>
      <c r="D28" s="50"/>
    </row>
    <row r="29" spans="1:4">
      <c r="A29" s="41" t="s">
        <v>272</v>
      </c>
      <c r="B29" s="243">
        <f>B34*'ha_N2O bodem landbouw'!B4</f>
        <v>43.942839940425699</v>
      </c>
      <c r="C29" s="243">
        <f>B29*'GWP N2O_CH4'!B4</f>
        <v>13622.280381531968</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9.9830267772557223E-3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1.1533769083830994E-3</v>
      </c>
      <c r="C5" s="434" t="s">
        <v>210</v>
      </c>
      <c r="D5" s="419">
        <f>SUM(D6:D11)</f>
        <v>2.1426421837298232E-3</v>
      </c>
      <c r="E5" s="419">
        <f>SUM(E6:E11)</f>
        <v>8.3533330239610594E-4</v>
      </c>
      <c r="F5" s="432" t="s">
        <v>210</v>
      </c>
      <c r="G5" s="419">
        <f>SUM(G6:G11)</f>
        <v>0.41105822375800899</v>
      </c>
      <c r="H5" s="419">
        <f>SUM(H6:H11)</f>
        <v>0.10469605015377213</v>
      </c>
      <c r="I5" s="434" t="s">
        <v>210</v>
      </c>
      <c r="J5" s="434" t="s">
        <v>210</v>
      </c>
      <c r="K5" s="434" t="s">
        <v>210</v>
      </c>
      <c r="L5" s="434" t="s">
        <v>210</v>
      </c>
      <c r="M5" s="419">
        <f>SUM(M6:M11)</f>
        <v>3.1024283186108136E-2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7.820184396080572E-4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1.3038486055469817E-3</v>
      </c>
      <c r="E6" s="886">
        <f>vkm_GW_PW*SUMIFS(TableVerdeelsleutelVkm[LPG],TableVerdeelsleutelVkm[Voertuigtype],"Lichte voertuigen")*SUMIFS(TableECFTransport[EnergieConsumptieFactor (PJ per km)],TableECFTransport[Index],CONCATENATE($A6,"_LPG_LPG"))</f>
        <v>5.1692294173377013E-4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0.15534832932286441</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6.3943017672013519E-2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1.3452877428485666E-2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3.2700969442184538E-6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0.12962870404601901</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9.564722046495949E-7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7.4430609654919013E-3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3.6733556470034084E-4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8.3879357818284156E-4</v>
      </c>
      <c r="E8" s="422">
        <f>vkm_NGW_PW*SUMIFS(TableVerdeelsleutelVkm[LPG],TableVerdeelsleutelVkm[Voertuigtype],"Lichte voertuigen")*SUMIFS(TableECFTransport[EnergieConsumptieFactor (PJ per km)],TableECFTransport[Index],CONCATENATE($A8,"_LPG_LPG"))</f>
        <v>3.1841036066233575E-4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8.765203004018185E-2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4.0751810235918992E-2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7.9218086544797159E-3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7.5280713048284461E-7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3.8429160348943711E-2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2.6577363497636009E-7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2.2065361376508497E-3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320.38247455086093</v>
      </c>
      <c r="C14" s="21"/>
      <c r="D14" s="21">
        <f t="shared" ref="D14:M14" si="0">((D5)*10^9/3600)+D12</f>
        <v>595.1783843693953</v>
      </c>
      <c r="E14" s="21">
        <f t="shared" si="0"/>
        <v>232.03702844336277</v>
      </c>
      <c r="F14" s="21"/>
      <c r="G14" s="21">
        <f t="shared" si="0"/>
        <v>114182.83993278028</v>
      </c>
      <c r="H14" s="21">
        <f t="shared" si="0"/>
        <v>29082.236153825594</v>
      </c>
      <c r="I14" s="21"/>
      <c r="J14" s="21"/>
      <c r="K14" s="21"/>
      <c r="L14" s="21"/>
      <c r="M14" s="21">
        <f t="shared" si="0"/>
        <v>8617.8564405855923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0.19315932272021949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61.884861795672258</v>
      </c>
      <c r="C18" s="23"/>
      <c r="D18" s="23">
        <f t="shared" ref="D18:M18" si="1">D14*D16</f>
        <v>120.22603364261786</v>
      </c>
      <c r="E18" s="23">
        <f t="shared" si="1"/>
        <v>52.672405456643354</v>
      </c>
      <c r="F18" s="23"/>
      <c r="G18" s="23">
        <f t="shared" si="1"/>
        <v>30486.818262052337</v>
      </c>
      <c r="H18" s="23">
        <f t="shared" si="1"/>
        <v>7241.4768023025727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7.3054043498117877E-5</v>
      </c>
      <c r="C50" s="315">
        <f t="shared" ref="C50:P50" si="2">SUM(C51:C52)</f>
        <v>0</v>
      </c>
      <c r="D50" s="315">
        <f t="shared" si="2"/>
        <v>0</v>
      </c>
      <c r="E50" s="315">
        <f t="shared" si="2"/>
        <v>0</v>
      </c>
      <c r="F50" s="315">
        <f t="shared" si="2"/>
        <v>0</v>
      </c>
      <c r="G50" s="315">
        <f t="shared" si="2"/>
        <v>4.5734039808237462E-3</v>
      </c>
      <c r="H50" s="315">
        <f t="shared" si="2"/>
        <v>0</v>
      </c>
      <c r="I50" s="315">
        <f t="shared" si="2"/>
        <v>0</v>
      </c>
      <c r="J50" s="315">
        <f t="shared" si="2"/>
        <v>0</v>
      </c>
      <c r="K50" s="315">
        <f t="shared" si="2"/>
        <v>0</v>
      </c>
      <c r="L50" s="315">
        <f t="shared" si="2"/>
        <v>0</v>
      </c>
      <c r="M50" s="315">
        <f t="shared" si="2"/>
        <v>2.6259472999759904E-4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7.3054043498117877E-5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4.5734039808237462E-3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2.6259472999759904E-4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20.2927898605883</v>
      </c>
      <c r="C54" s="21">
        <f t="shared" ref="C54:P54" si="3">(C50)*10^9/3600</f>
        <v>0</v>
      </c>
      <c r="D54" s="21">
        <f t="shared" si="3"/>
        <v>0</v>
      </c>
      <c r="E54" s="21">
        <f t="shared" si="3"/>
        <v>0</v>
      </c>
      <c r="F54" s="21">
        <f t="shared" si="3"/>
        <v>0</v>
      </c>
      <c r="G54" s="21">
        <f t="shared" si="3"/>
        <v>1270.3899946732627</v>
      </c>
      <c r="H54" s="21">
        <f t="shared" si="3"/>
        <v>0</v>
      </c>
      <c r="I54" s="21">
        <f t="shared" si="3"/>
        <v>0</v>
      </c>
      <c r="J54" s="21">
        <f t="shared" si="3"/>
        <v>0</v>
      </c>
      <c r="K54" s="21">
        <f t="shared" si="3"/>
        <v>0</v>
      </c>
      <c r="L54" s="21">
        <f t="shared" si="3"/>
        <v>0</v>
      </c>
      <c r="M54" s="21">
        <f t="shared" si="3"/>
        <v>72.942980554888621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0.19315932272021949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3.9197415455749733</v>
      </c>
      <c r="C58" s="23">
        <f t="shared" ref="C58:P58" ca="1" si="4">C54*C56</f>
        <v>0</v>
      </c>
      <c r="D58" s="23">
        <f t="shared" si="4"/>
        <v>0</v>
      </c>
      <c r="E58" s="23">
        <f t="shared" si="4"/>
        <v>0</v>
      </c>
      <c r="F58" s="23">
        <f t="shared" si="4"/>
        <v>0</v>
      </c>
      <c r="G58" s="23">
        <f t="shared" si="4"/>
        <v>339.19412857776115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5004.8293808933749</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5004.8293808933749</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2021-06-29T14:16:30Z</dcterms:modified>
</cp:coreProperties>
</file>