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S35" i="18"/>
  <c r="F6" i="17" s="1"/>
  <c r="R35" i="18"/>
  <c r="Q35" i="18"/>
  <c r="P35" i="18"/>
  <c r="D6" i="17" s="1"/>
  <c r="O35" i="18"/>
  <c r="N35" i="18"/>
  <c r="M35" i="18"/>
  <c r="W34" i="18"/>
  <c r="V34" i="18"/>
  <c r="U34" i="18"/>
  <c r="T34" i="18"/>
  <c r="S34" i="18"/>
  <c r="R34" i="18"/>
  <c r="Q34" i="18"/>
  <c r="P34" i="18"/>
  <c r="O34" i="18"/>
  <c r="N34" i="18"/>
  <c r="B13" i="15" s="1"/>
  <c r="M34" i="18"/>
  <c r="W33" i="18"/>
  <c r="V33" i="18"/>
  <c r="U33" i="18"/>
  <c r="T33" i="18"/>
  <c r="S33" i="18"/>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4" i="13"/>
  <c r="B36" i="13"/>
  <c r="B35" i="13"/>
  <c r="B33" i="13"/>
  <c r="B32" i="13"/>
  <c r="F16" i="16"/>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7" i="49"/>
  <c r="C22" i="59"/>
  <c r="C29" i="20"/>
  <c r="C18" i="15"/>
  <c r="C20" i="15" s="1"/>
  <c r="D40" i="14" s="1"/>
  <c r="C10" i="13"/>
  <c r="C12" i="13" s="1"/>
  <c r="D41" i="14" s="1"/>
  <c r="D46" i="14" s="1"/>
  <c r="D61" i="14" s="1"/>
  <c r="D63" i="14" s="1"/>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<sst xmlns="http://schemas.openxmlformats.org/spreadsheetml/2006/main" count="2465" uniqueCount="893">
  <si>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</si>
  <si>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</si>
  <si>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</si>
  <si>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</si>
  <si>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</si>
  <si>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</si>
  <si>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</si>
  <si>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</si>
  <si>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</si>
  <si>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</si>
  <si>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</si>
  <si>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</si>
  <si>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</si>
  <si>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</si>
  <si>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</si>
  <si>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</si>
  <si>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</si>
  <si>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</si>
  <si>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</si>
  <si>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</si>
  <si>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</si>
  <si>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</si>
  <si>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</si>
  <si>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</si>
  <si>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</si>
  <si>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</si>
  <si>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</si>
  <si>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</si>
  <si>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</si>
  <si>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</si>
  <si>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</si>
  <si>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</si>
  <si>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</si>
  <si>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</si>
  <si>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</si>
  <si>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</si>
  <si>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</si>
  <si>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</si>
  <si>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</si>
  <si>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</si>
  <si>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</si>
  <si>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</si>
  <si>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</si>
  <si>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</si>
  <si>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</si>
  <si>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</si>
  <si>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</si>
  <si>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</si>
  <si>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</si>
  <si>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</si>
  <si>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</si>
  <si>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</si>
  <si>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</si>
  <si>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</si>
  <si>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</si>
  <si>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</si>
  <si>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</si>
  <si>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</si>
  <si>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</si>
  <si>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</si>
  <si>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</si>
  <si>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</si>
  <si>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</si>
  <si>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</si>
  <si>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</si>
  <si>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</si>
  <si>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</si>
  <si>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</si>
  <si>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</si>
  <si>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</si>
  <si>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</si>
  <si>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</si>
  <si>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</si>
  <si>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</si>
  <si>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</si>
  <si>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</si>
  <si>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</si>
  <si>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</si>
  <si>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</si>
  <si>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</si>
  <si>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</si>
  <si>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</si>
  <si>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</si>
  <si>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</si>
  <si>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</si>
  <si>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</si>
  <si>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</si>
  <si>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</si>
  <si>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</si>
  <si>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</si>
  <si>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</si>
  <si>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</si>
  <si>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</si>
  <si>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</si>
  <si>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</si>
  <si>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</si>
  <si>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</si>
  <si>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</si>
  <si>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</si>
  <si>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</si>
  <si>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</si>
  <si>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</si>
  <si>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</si>
  <si>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</si>
  <si>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</si>
  <si>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</si>
  <si>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</si>
  <si>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</si>
  <si>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</si>
  <si>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</si>
  <si>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</si>
  <si>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</si>
  <si>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</si>
  <si>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</si>
  <si>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</si>
  <si>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</si>
  <si>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</si>
  <si>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</si>
  <si>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</si>
  <si>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</si>
  <si>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</si>
  <si>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</si>
  <si>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</si>
  <si>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</si>
  <si>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</si>
  <si>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</si>
  <si>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</si>
  <si>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</si>
  <si>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</si>
  <si>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</si>
  <si>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</si>
  <si>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</si>
  <si>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</si>
  <si>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</si>
  <si>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</si>
  <si>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</si>
  <si>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</si>
  <si>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</si>
  <si>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</si>
  <si>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</si>
  <si>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</si>
  <si>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</si>
  <si>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</si>
  <si>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</si>
  <si>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</si>
  <si>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</si>
  <si>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</si>
  <si>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</si>
  <si>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</si>
  <si>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</si>
  <si>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</si>
  <si>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</si>
  <si>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</si>
  <si>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</si>
  <si>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</si>
  <si>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</si>
  <si>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</si>
  <si>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</si>
  <si>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</si>
  <si>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</si>
  <si>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</si>
  <si>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</si>
  <si>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</si>
  <si>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</si>
  <si>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</si>
  <si>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</si>
  <si>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</si>
  <si>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</si>
  <si>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</si>
  <si>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</si>
  <si>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</si>
  <si>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</si>
  <si>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</si>
  <si>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</si>
  <si>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</si>
  <si>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</si>
  <si>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</si>
  <si>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</si>
  <si>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</si>
  <si>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</si>
  <si>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</si>
  <si>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</si>
  <si>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</si>
  <si>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</si>
  <si>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</si>
  <si>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</si>
  <si>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</si>
  <si>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</si>
  <si>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</si>
  <si>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</si>
  <si>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</si>
  <si>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</si>
  <si>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</si>
  <si>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</si>
  <si>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</si>
  <si>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</si>
  <si>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</si>
  <si>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</si>
  <si>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</si>
  <si>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</si>
  <si>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</si>
  <si>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</si>
  <si>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</si>
  <si>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</si>
  <si>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</si>
  <si>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</si>
  <si>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</si>
  <si>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</si>
  <si>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</si>
  <si>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</si>
  <si>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</si>
  <si>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</si>
  <si>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</si>
  <si>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</si>
  <si>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</si>
  <si>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</si>
  <si>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</si>
  <si>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</si>
  <si>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</si>
  <si>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</si>
  <si>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</si>
  <si>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</si>
  <si>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</si>
  <si>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</si>
  <si>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</si>
  <si>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</si>
  <si>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</si>
  <si>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</si>
  <si>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</si>
  <si>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</si>
  <si>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</si>
  <si>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</si>
  <si>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</si>
  <si>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</si>
  <si>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</si>
  <si>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</si>
  <si>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</si>
  <si>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</si>
  <si>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</si>
  <si>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</si>
  <si>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</si>
  <si>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</si>
  <si>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</si>
  <si>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</si>
  <si>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</si>
  <si>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</si>
  <si>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</si>
  <si>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</si>
  <si>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</si>
  <si>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</si>
  <si>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</si>
  <si>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</si>
  <si>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</si>
  <si>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</si>
  <si>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</si>
  <si>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</si>
  <si>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</si>
  <si>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</si>
  <si>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</si>
  <si>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</si>
  <si>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</si>
  <si>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</si>
  <si>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</si>
  <si>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</si>
  <si>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</si>
  <si>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</si>
  <si>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</si>
  <si>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</si>
  <si>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</si>
  <si>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</si>
  <si>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</si>
  <si>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</si>
  <si>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</si>
  <si>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</si>
  <si>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</si>
  <si>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</si>
  <si>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</si>
  <si>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</si>
  <si>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</si>
  <si>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</si>
  <si>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</si>
  <si>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</si>
  <si>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</si>
  <si>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</si>
  <si>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</si>
  <si>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</si>
  <si>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</si>
  <si>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</si>
  <si>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</si>
  <si>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</si>
  <si>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</si>
  <si>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</si>
  <si>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</si>
  <si>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</si>
  <si>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</si>
  <si>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</si>
  <si>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</si>
  <si>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</si>
  <si>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</si>
  <si>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</si>
  <si>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</si>
  <si>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</si>
  <si>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</si>
  <si>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</si>
  <si>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</si>
  <si>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</si>
  <si>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</si>
  <si>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</si>
  <si>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</si>
  <si>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</si>
  <si>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</si>
  <si>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</si>
  <si>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</si>
  <si>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</si>
  <si>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</si>
  <si>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</si>
  <si>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</si>
  <si>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</si>
  <si>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</si>
  <si>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</si>
  <si>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</si>
  <si>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</si>
  <si>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</si>
  <si>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</si>
  <si>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</si>
  <si>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</si>
  <si>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</si>
  <si>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</si>
  <si>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</si>
  <si>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</si>
  <si>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</si>
  <si>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</si>
  <si>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</si>
  <si>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</si>
  <si>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</si>
  <si>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</si>
  <si>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</si>
  <si>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</si>
  <si>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</si>
  <si>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</si>
  <si>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</si>
  <si>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</si>
  <si>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</si>
  <si>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</si>
  <si>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</si>
  <si>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</si>
  <si>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</si>
  <si>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</si>
  <si>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</si>
  <si>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</si>
  <si>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</si>
  <si>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</si>
  <si>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</si>
  <si>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</si>
  <si>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</si>
  <si>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</si>
  <si>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</si>
  <si>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</si>
  <si>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</si>
  <si>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</si>
  <si>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</si>
  <si>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</si>
  <si>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</si>
  <si>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</si>
  <si>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</si>
  <si>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</si>
  <si>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</si>
  <si>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</si>
  <si>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</si>
  <si>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</si>
  <si>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</si>
  <si>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</si>
  <si>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</si>
  <si>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</si>
  <si>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</si>
  <si>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</si>
  <si>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</si>
  <si>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</si>
  <si>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</si>
  <si>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</si>
  <si>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</si>
  <si>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</si>
  <si>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</si>
  <si>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</si>
  <si>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</si>
  <si>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</si>
  <si>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</si>
  <si>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</si>
  <si>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</si>
  <si>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</si>
  <si>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</si>
  <si>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</si>
  <si>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</si>
  <si>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</si>
  <si>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</si>
  <si>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</si>
  <si>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</si>
  <si>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</si>
  <si>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</si>
  <si>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</si>
  <si>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</si>
  <si>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</si>
  <si>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</si>
  <si>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</si>
  <si>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</si>
  <si>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</si>
  <si>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</si>
  <si>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</si>
  <si>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</si>
  <si>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</si>
  <si>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</si>
  <si>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</si>
  <si>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</si>
  <si>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</si>
  <si>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</si>
  <si>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</si>
  <si>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</si>
  <si>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</si>
  <si>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</si>
  <si>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</si>
  <si>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</si>
  <si>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</si>
  <si>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</si>
  <si>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</si>
  <si>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</si>
  <si>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</si>
  <si>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</si>
  <si>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</si>
  <si>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</si>
  <si>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</si>
  <si>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</si>
  <si>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</si>
  <si>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</si>
  <si>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</si>
  <si>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</si>
  <si>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</si>
  <si>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</si>
  <si>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</si>
  <si>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</si>
  <si>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</si>
  <si>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</si>
  <si>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</si>
  <si>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</si>
  <si>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</si>
  <si>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</si>
  <si>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</si>
  <si>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</si>
  <si>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</si>
  <si>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</si>
  <si>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</si>
  <si>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</si>
  <si>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</si>
  <si>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</si>
  <si>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</si>
  <si>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</si>
  <si>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</si>
  <si>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</si>
  <si>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</si>
  <si>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</si>
  <si>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</si>
  <si>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</si>
  <si>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</si>
  <si>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</si>
  <si>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</si>
  <si>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</si>
  <si>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</si>
  <si>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</si>
  <si>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</si>
  <si>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</si>
  <si>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</si>
  <si>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</si>
  <si>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</si>
  <si>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</si>
  <si>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</si>
  <si>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</si>
  <si>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</si>
  <si>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</si>
  <si>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</si>
  <si>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</si>
  <si>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</si>
  <si>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</si>
  <si>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</si>
  <si>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</si>
  <si>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</si>
  <si>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</si>
  <si>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</si>
  <si>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</si>
  <si>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</si>
  <si>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</si>
  <si>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</si>
  <si>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</si>
  <si>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</si>
  <si>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</si>
  <si>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</si>
  <si>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</si>
  <si>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</si>
  <si>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</si>
  <si>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</si>
  <si>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</si>
  <si>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</si>
  <si>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</si>
  <si>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</si>
  <si>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</si>
  <si>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</si>
  <si>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</si>
  <si>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</si>
  <si>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</si>
  <si>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</si>
  <si>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</si>
  <si>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</si>
  <si>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</si>
  <si>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</si>
  <si>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</si>
  <si>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</si>
  <si>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</si>
  <si>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</si>
  <si>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</si>
  <si>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</si>
  <si>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</si>
  <si>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</si>
  <si>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</si>
  <si>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</si>
  <si>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</si>
  <si>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</si>
  <si>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</si>
  <si>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</si>
  <si>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</si>
  <si>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</si>
  <si>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</si>
  <si>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</si>
  <si>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</si>
  <si>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</si>
  <si>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</si>
  <si>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</si>
  <si>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</si>
  <si>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</si>
  <si>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</si>
  <si>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</si>
  <si>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</si>
  <si>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</si>
  <si>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</si>
  <si>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</si>
  <si>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</si>
  <si>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</si>
  <si>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</si>
  <si>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</si>
  <si>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</si>
  <si>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</si>
  <si>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</si>
  <si>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</si>
  <si>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</si>
  <si>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</si>
  <si>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</si>
  <si>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</si>
  <si>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</si>
  <si>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</si>
  <si>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</si>
  <si>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</si>
  <si>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</si>
  <si>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</si>
  <si>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</si>
  <si>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</si>
  <si>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</si>
  <si>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</si>
  <si>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</si>
  <si>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</si>
  <si>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</si>
  <si>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</si>
  <si>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</si>
  <si>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</si>
  <si>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</si>
  <si>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</si>
  <si>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</si>
  <si>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</si>
  <si>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</si>
  <si>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</si>
  <si>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</si>
  <si>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</si>
  <si>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</si>
  <si>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</si>
  <si>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</si>
  <si>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</si>
  <si>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</si>
  <si>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</si>
  <si>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</si>
  <si>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</si>
  <si>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</si>
  <si>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</si>
  <si>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</si>
  <si>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</si>
  <si>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</si>
  <si>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</si>
  <si>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</si>
  <si>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</si>
  <si>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</si>
  <si>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</si>
  <si>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</si>
  <si>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</si>
  <si>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</si>
  <si>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</si>
  <si>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</si>
  <si>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</si>
  <si>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</si>
  <si>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</si>
  <si>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</si>
  <si>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</si>
  <si>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</si>
  <si>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</si>
  <si>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</si>
  <si>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</si>
  <si>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</si>
  <si>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</si>
  <si>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</si>
  <si>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</si>
  <si>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</si>
  <si>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</si>
  <si>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</si>
  <si>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</si>
  <si>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</si>
  <si>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</si>
  <si>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</si>
  <si>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</si>
  <si>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</si>
  <si>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</si>
  <si>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</si>
  <si>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</si>
  <si>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</si>
  <si>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</si>
  <si>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</si>
  <si>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</si>
  <si>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</si>
  <si>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</si>
  <si>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</si>
  <si>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</si>
  <si>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</si>
  <si>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</si>
  <si>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</si>
  <si>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</si>
  <si>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</si>
  <si>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</si>
  <si>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</si>
  <si>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</si>
  <si>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</si>
  <si>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</si>
  <si>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</si>
  <si>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</si>
  <si>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</si>
  <si>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</si>
  <si>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</si>
  <si>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</si>
  <si>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</si>
  <si>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</si>
  <si>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</si>
  <si>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</si>
  <si>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</si>
  <si>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</si>
  <si>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</si>
  <si>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</si>
  <si>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</si>
  <si>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</si>
  <si>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</si>
  <si>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</si>
  <si>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</si>
  <si>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</si>
  <si>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</si>
  <si>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</si>
  <si>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</si>
  <si>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</si>
  <si>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</si>
  <si>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</si>
  <si>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</si>
  <si>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</si>
  <si>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</si>
  <si>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</si>
  <si>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</si>
  <si>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</si>
  <si>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</si>
  <si>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</si>
  <si>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</si>
  <si>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</si>
  <si>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</si>
  <si>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</si>
  <si>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</si>
  <si>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</si>
  <si>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</si>
  <si>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</si>
  <si>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</si>
  <si>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</si>
  <si>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</si>
  <si>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</si>
  <si>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</si>
  <si>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</si>
  <si>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</si>
  <si>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</si>
  <si>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</si>
  <si>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</si>
  <si>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</si>
  <si>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</si>
  <si>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</si>
  <si>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</si>
  <si>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</si>
  <si>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</si>
  <si>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</si>
  <si>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</si>
  <si>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</si>
  <si>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</si>
  <si>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</si>
  <si>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</si>
  <si>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</si>
  <si>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</si>
  <si>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</si>
  <si>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</si>
  <si>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</si>
  <si>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</si>
  <si>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</si>
  <si>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</si>
  <si>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</si>
  <si>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</si>
  <si>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</si>
  <si>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</si>
  <si>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</si>
  <si>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</si>
  <si>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</si>
  <si>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</si>
  <si>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</si>
  <si>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</si>
  <si>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</si>
  <si>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</si>
  <si>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</si>
  <si>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</si>
  <si>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</si>
  <si>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</si>
  <si>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</si>
  <si>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</si>
  <si>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</si>
  <si>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</si>
  <si>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</si>
  <si>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</si>
  <si>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</si>
  <si>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</si>
  <si>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</si>
  <si>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</si>
  <si>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</si>
  <si>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</si>
  <si>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</si>
  <si>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</si>
  <si>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</si>
  <si>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</si>
  <si>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</si>
  <si>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</si>
  <si>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</si>
  <si>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</si>
  <si>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</si>
  <si>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</si>
  <si>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</si>
  <si>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</si>
  <si>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</si>
  <si>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</si>
  <si>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</si>
  <si>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</si>
  <si>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</si>
  <si>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</si>
  <si>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</si>
  <si>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</si>
  <si>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</si>
  <si>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</si>
  <si>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</si>
  <si>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</si>
  <si>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</si>
  <si>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</si>
  <si>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</si>
  <si>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</si>
  <si>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</si>
  <si>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</si>
  <si>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</si>
  <si>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</si>
  <si>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</si>
  <si>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</si>
  <si>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</si>
  <si>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</si>
  <si>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</si>
  <si>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</si>
  <si>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</si>
  <si>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</si>
  <si>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</si>
  <si>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</si>
  <si>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</si>
  <si>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</si>
  <si>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</si>
  <si>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</si>
  <si>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</si>
  <si>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</si>
  <si>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</si>
  <si>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</si>
  <si>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</si>
  <si>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</si>
  <si>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</si>
  <si>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</si>
  <si>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</si>
  <si>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</si>
  <si>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</si>
  <si>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</si>
  <si>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</si>
  <si>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</si>
  <si>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</si>
  <si>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</si>
  <si>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</si>
  <si>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</si>
  <si>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</si>
  <si>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</si>
  <si>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</si>
  <si>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</si>
  <si>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</si>
  <si>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</si>
  <si>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</si>
  <si>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</si>
  <si>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</si>
  <si>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</si>
  <si>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</si>
  <si>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</si>
  <si>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</si>
  <si>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</si>
  <si>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</si>
  <si>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</si>
  <si>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</si>
  <si>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</si>
  <si>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</si>
  <si>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</si>
  <si>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</si>
  <si>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</si>
  <si>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</si>
  <si>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</si>
  <si>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</si>
  <si>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</si>
  <si>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</si>
  <si>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</si>
  <si>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</si>
  <si>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</si>
  <si>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</si>
  <si>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</si>
  <si>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</si>
  <si>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</si>
  <si>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</si>
  <si>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</si>
  <si>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</si>
  <si>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</si>
  <si>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</si>
  <si>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</si>
  <si>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</si>
  <si>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</si>
  <si>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</si>
  <si>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</si>
  <si>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</si>
  <si>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</si>
  <si>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</si>
  <si>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</si>
  <si>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</si>
  <si>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</si>
  <si>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</si>
  <si>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</si>
  <si>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</si>
  <si>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</si>
  <si>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</si>
  <si>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</si>
  <si>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</si>
  <si>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</si>
  <si>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</si>
  <si>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</si>
  <si>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</si>
  <si>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</si>
  <si>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31005</t>
  </si>
  <si>
    <t>BRUGGE</t>
  </si>
  <si>
    <t>referentietaak LNE (2017); Jaarverslag De Lijn</t>
  </si>
  <si>
    <t>waterkracht</t>
  </si>
  <si>
    <t>Sweetee bvba</t>
  </si>
  <si>
    <t>Hoge Hul 34-38 , 8000 Brugge</t>
  </si>
  <si>
    <t>WKK-0489 Sweetee</t>
  </si>
  <si>
    <t>interne verbrandingsmotor</t>
  </si>
  <si>
    <t>WKK interne verbrandinsgmotor (gas)</t>
  </si>
  <si>
    <t>IMEWO</t>
  </si>
  <si>
    <t>Eric Claus</t>
  </si>
  <si>
    <t>Sint-Jansstraat 10 , 8000 Brugge</t>
  </si>
  <si>
    <t>WKK-0580 Eric Claus</t>
  </si>
  <si>
    <t>stirlingmotor</t>
  </si>
  <si>
    <t>S&amp;R Brugge NV</t>
  </si>
  <si>
    <t>Doornstraat 110 , 8200 Sint-Andries</t>
  </si>
  <si>
    <t>WKK-0662 S&amp;R Brugge</t>
  </si>
  <si>
    <t>Huisbrouwerij De Halve Maan</t>
  </si>
  <si>
    <t>Brugge</t>
  </si>
  <si>
    <t>WKK-0747</t>
  </si>
  <si>
    <t>Interne verbrandingsmotor</t>
  </si>
  <si>
    <t>Walplein 26</t>
  </si>
  <si>
    <t>IMEWO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</si>
</sst>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987790.34727458935</c:v>
                </c:pt>
                <c:pt idx="1">
                  <c:v>751205.49076665961</c:v>
                </c:pt>
                <c:pt idx="2">
                  <c:v>7820.4632944089599</c:v>
                </c:pt>
                <c:pt idx="3">
                  <c:v>25936.339756111138</c:v>
                </c:pt>
                <c:pt idx="4">
                  <c:v>294311.33917339763</c:v>
                </c:pt>
                <c:pt idx="5">
                  <c:v>735824.53992799565</c:v>
                </c:pt>
                <c:pt idx="6">
                  <c:v>22803.295502435882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987790.34727458935</c:v>
                </c:pt>
                <c:pt idx="1">
                  <c:v>751205.49076665961</c:v>
                </c:pt>
                <c:pt idx="2">
                  <c:v>7820.4632944089599</c:v>
                </c:pt>
                <c:pt idx="3">
                  <c:v>25936.339756111138</c:v>
                </c:pt>
                <c:pt idx="4">
                  <c:v>294311.33917339763</c:v>
                </c:pt>
                <c:pt idx="5">
                  <c:v>735824.53992799565</c:v>
                </c:pt>
                <c:pt idx="6">
                  <c:v>22803.295502435882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185237.20848833688</c:v>
                </c:pt>
                <c:pt idx="1">
                  <c:v>135521.63415465612</c:v>
                </c:pt>
                <c:pt idx="2">
                  <c:v>1150.7415475239345</c:v>
                </c:pt>
                <c:pt idx="3">
                  <c:v>6060.5025420415523</c:v>
                </c:pt>
                <c:pt idx="4">
                  <c:v>54005.450171029566</c:v>
                </c:pt>
                <c:pt idx="5">
                  <c:v>182382.26406783418</c:v>
                </c:pt>
                <c:pt idx="6">
                  <c:v>5635.5872361863258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185237.20848833688</c:v>
                </c:pt>
                <c:pt idx="1">
                  <c:v>135521.63415465612</c:v>
                </c:pt>
                <c:pt idx="2">
                  <c:v>1150.7415475239345</c:v>
                </c:pt>
                <c:pt idx="3">
                  <c:v>6060.5025420415523</c:v>
                </c:pt>
                <c:pt idx="4">
                  <c:v>54005.450171029566</c:v>
                </c:pt>
                <c:pt idx="5">
                  <c:v>182382.26406783418</c:v>
                </c:pt>
                <c:pt idx="6">
                  <c:v>5635.5872361863258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31005</v>
      </c>
      <c r="B6" s="386"/>
      <c r="C6" s="387"/>
    </row>
    <row r="7" spans="1:7" s="384" customFormat="1" ht="15.75" customHeight="1">
      <c r="A7" s="388" t="str">
        <f>txtMunicipality</f>
        <v>BRUGGE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314632.69978546398</v>
      </c>
      <c r="D10" s="683">
        <f ca="1">tertiair!C16</f>
        <v>552.857142857143</v>
      </c>
      <c r="E10" s="683">
        <f ca="1">tertiair!D16</f>
        <v>375245.65681586019</v>
      </c>
      <c r="F10" s="683">
        <f>tertiair!E16</f>
        <v>1059.9649042454664</v>
      </c>
      <c r="G10" s="683">
        <f ca="1">tertiair!F16</f>
        <v>53283.128935671695</v>
      </c>
      <c r="H10" s="683">
        <f>tertiair!G16</f>
        <v>0</v>
      </c>
      <c r="I10" s="683">
        <f>tertiair!H16</f>
        <v>0</v>
      </c>
      <c r="J10" s="683">
        <f>tertiair!I16</f>
        <v>0</v>
      </c>
      <c r="K10" s="683">
        <f>tertiair!J16</f>
        <v>0.32611950461789979</v>
      </c>
      <c r="L10" s="683">
        <f>tertiair!K16</f>
        <v>0</v>
      </c>
      <c r="M10" s="683">
        <f ca="1">tertiair!L16</f>
        <v>0</v>
      </c>
      <c r="N10" s="683">
        <f>tertiair!M16</f>
        <v>0</v>
      </c>
      <c r="O10" s="683">
        <f ca="1">tertiair!N16</f>
        <v>12591.892775251436</v>
      </c>
      <c r="P10" s="683">
        <f>tertiair!O16</f>
        <v>83.253433019299621</v>
      </c>
      <c r="Q10" s="684">
        <f>tertiair!P16</f>
        <v>1576.1741491948503</v>
      </c>
      <c r="R10" s="686">
        <f ca="1">SUM(C10:Q10)</f>
        <v>759025.95406106859</v>
      </c>
      <c r="S10" s="67"/>
    </row>
    <row r="11" spans="1:19" s="445" customFormat="1">
      <c r="A11" s="804" t="s">
        <v>220</v>
      </c>
      <c r="B11" s="809"/>
      <c r="C11" s="683">
        <f>huishoudens!B8</f>
        <v>182537.02216994093</v>
      </c>
      <c r="D11" s="683">
        <f>huishoudens!C8</f>
        <v>0</v>
      </c>
      <c r="E11" s="683">
        <f>huishoudens!D8</f>
        <v>573997.29940402601</v>
      </c>
      <c r="F11" s="683">
        <f>huishoudens!E8</f>
        <v>6932.7703644889152</v>
      </c>
      <c r="G11" s="683">
        <f>huishoudens!F8</f>
        <v>151873.46384059792</v>
      </c>
      <c r="H11" s="683">
        <f>huishoudens!G8</f>
        <v>0</v>
      </c>
      <c r="I11" s="683">
        <f>huishoudens!H8</f>
        <v>0</v>
      </c>
      <c r="J11" s="683">
        <f>huishoudens!I8</f>
        <v>0</v>
      </c>
      <c r="K11" s="683">
        <f>huishoudens!J8</f>
        <v>865.54348139908598</v>
      </c>
      <c r="L11" s="683">
        <f>huishoudens!K8</f>
        <v>0</v>
      </c>
      <c r="M11" s="683">
        <f>huishoudens!L8</f>
        <v>0</v>
      </c>
      <c r="N11" s="683">
        <f>huishoudens!M8</f>
        <v>0</v>
      </c>
      <c r="O11" s="683">
        <f>huishoudens!N8</f>
        <v>67687.881092849741</v>
      </c>
      <c r="P11" s="683">
        <f>huishoudens!O8</f>
        <v>2095.0598796727058</v>
      </c>
      <c r="Q11" s="684">
        <f>huishoudens!P8</f>
        <v>1801.3070416141391</v>
      </c>
      <c r="R11" s="686">
        <f>SUM(C11:Q11)</f>
        <v>987790.34727458935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92332.864108430105</v>
      </c>
      <c r="D13" s="683">
        <f>industrie!C18</f>
        <v>0</v>
      </c>
      <c r="E13" s="683">
        <f>industrie!D18</f>
        <v>174417.30361926398</v>
      </c>
      <c r="F13" s="683">
        <f>industrie!E18</f>
        <v>1345.8567604875898</v>
      </c>
      <c r="G13" s="683">
        <f>industrie!F18</f>
        <v>17771.161245816595</v>
      </c>
      <c r="H13" s="683">
        <f>industrie!G18</f>
        <v>0</v>
      </c>
      <c r="I13" s="683">
        <f>industrie!H18</f>
        <v>0</v>
      </c>
      <c r="J13" s="683">
        <f>industrie!I18</f>
        <v>0</v>
      </c>
      <c r="K13" s="683">
        <f>industrie!J18</f>
        <v>385.40169287861875</v>
      </c>
      <c r="L13" s="683">
        <f>industrie!K18</f>
        <v>0</v>
      </c>
      <c r="M13" s="683">
        <f>industrie!L18</f>
        <v>0</v>
      </c>
      <c r="N13" s="683">
        <f>industrie!M18</f>
        <v>0</v>
      </c>
      <c r="O13" s="683">
        <f>industrie!N18</f>
        <v>8058.7517465206738</v>
      </c>
      <c r="P13" s="683">
        <f>industrie!O18</f>
        <v>0</v>
      </c>
      <c r="Q13" s="684">
        <f>industrie!P18</f>
        <v>0</v>
      </c>
      <c r="R13" s="686">
        <f>SUM(C13:Q13)</f>
        <v>294311.33917339763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589502.58606383507</v>
      </c>
      <c r="D16" s="719">
        <f t="shared" ref="D16:R16" ca="1" si="0">SUM(D9:D15)</f>
        <v>552.857142857143</v>
      </c>
      <c r="E16" s="719">
        <f t="shared" ca="1" si="0"/>
        <v>1123660.2598391501</v>
      </c>
      <c r="F16" s="719">
        <f t="shared" si="0"/>
        <v>9338.5920292219707</v>
      </c>
      <c r="G16" s="719">
        <f t="shared" ca="1" si="0"/>
        <v>222927.75402208621</v>
      </c>
      <c r="H16" s="719">
        <f t="shared" si="0"/>
        <v>0</v>
      </c>
      <c r="I16" s="719">
        <f t="shared" si="0"/>
        <v>0</v>
      </c>
      <c r="J16" s="719">
        <f t="shared" si="0"/>
        <v>0</v>
      </c>
      <c r="K16" s="719">
        <f t="shared" si="0"/>
        <v>1251.2712937823226</v>
      </c>
      <c r="L16" s="719">
        <f t="shared" si="0"/>
        <v>0</v>
      </c>
      <c r="M16" s="719">
        <f t="shared" ca="1" si="0"/>
        <v>0</v>
      </c>
      <c r="N16" s="719">
        <f t="shared" si="0"/>
        <v>0</v>
      </c>
      <c r="O16" s="719">
        <f t="shared" ca="1" si="0"/>
        <v>88338.52561462186</v>
      </c>
      <c r="P16" s="719">
        <f t="shared" si="0"/>
        <v>2178.3133126920056</v>
      </c>
      <c r="Q16" s="719">
        <f t="shared" si="0"/>
        <v>3377.4811908089896</v>
      </c>
      <c r="R16" s="719">
        <f t="shared" ca="1" si="0"/>
        <v>2041127.6405090555</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1160.7035389126502</v>
      </c>
      <c r="D19" s="683">
        <f>transport!C54</f>
        <v>0</v>
      </c>
      <c r="E19" s="683">
        <f>transport!D54</f>
        <v>0</v>
      </c>
      <c r="F19" s="683">
        <f>transport!E54</f>
        <v>0</v>
      </c>
      <c r="G19" s="683">
        <f>transport!F54</f>
        <v>0</v>
      </c>
      <c r="H19" s="683">
        <f>transport!G54</f>
        <v>20467.39921990392</v>
      </c>
      <c r="I19" s="683">
        <f>transport!H54</f>
        <v>0</v>
      </c>
      <c r="J19" s="683">
        <f>transport!I54</f>
        <v>0</v>
      </c>
      <c r="K19" s="683">
        <f>transport!J54</f>
        <v>0</v>
      </c>
      <c r="L19" s="683">
        <f>transport!K54</f>
        <v>0</v>
      </c>
      <c r="M19" s="683">
        <f>transport!L54</f>
        <v>0</v>
      </c>
      <c r="N19" s="683">
        <f>transport!M54</f>
        <v>1175.1927436193114</v>
      </c>
      <c r="O19" s="683">
        <f>transport!N54</f>
        <v>0</v>
      </c>
      <c r="P19" s="683">
        <f>transport!O54</f>
        <v>0</v>
      </c>
      <c r="Q19" s="684">
        <f>transport!P54</f>
        <v>0</v>
      </c>
      <c r="R19" s="686">
        <f>SUM(C19:Q19)</f>
        <v>22803.295502435882</v>
      </c>
      <c r="S19" s="67"/>
    </row>
    <row r="20" spans="1:19" s="445" customFormat="1">
      <c r="A20" s="804" t="s">
        <v>302</v>
      </c>
      <c r="B20" s="809"/>
      <c r="C20" s="683">
        <f>transport!B14</f>
        <v>1652.3080307575867</v>
      </c>
      <c r="D20" s="683">
        <f>transport!C14</f>
        <v>0</v>
      </c>
      <c r="E20" s="683">
        <f>transport!D14</f>
        <v>2911.4097505047089</v>
      </c>
      <c r="F20" s="683">
        <f>transport!E14</f>
        <v>1167.1796151070544</v>
      </c>
      <c r="G20" s="683">
        <f>transport!F14</f>
        <v>0</v>
      </c>
      <c r="H20" s="683">
        <f>transport!G14</f>
        <v>545466.96524788323</v>
      </c>
      <c r="I20" s="683">
        <f>transport!H14</f>
        <v>143158.23714830785</v>
      </c>
      <c r="J20" s="683">
        <f>transport!I14</f>
        <v>0</v>
      </c>
      <c r="K20" s="683">
        <f>transport!J14</f>
        <v>0</v>
      </c>
      <c r="L20" s="683">
        <f>transport!K14</f>
        <v>0</v>
      </c>
      <c r="M20" s="683">
        <f>transport!L14</f>
        <v>0</v>
      </c>
      <c r="N20" s="683">
        <f>transport!M14</f>
        <v>41468.440135435252</v>
      </c>
      <c r="O20" s="683">
        <f>transport!N14</f>
        <v>0</v>
      </c>
      <c r="P20" s="683">
        <f>transport!O14</f>
        <v>0</v>
      </c>
      <c r="Q20" s="684">
        <f>transport!P14</f>
        <v>0</v>
      </c>
      <c r="R20" s="686">
        <f>SUM(C20:Q20)</f>
        <v>735824.53992799565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2813.0115696702369</v>
      </c>
      <c r="D22" s="807">
        <f t="shared" ref="D22:R22" si="1">SUM(D18:D21)</f>
        <v>0</v>
      </c>
      <c r="E22" s="807">
        <f t="shared" si="1"/>
        <v>2911.4097505047089</v>
      </c>
      <c r="F22" s="807">
        <f t="shared" si="1"/>
        <v>1167.1796151070544</v>
      </c>
      <c r="G22" s="807">
        <f t="shared" si="1"/>
        <v>0</v>
      </c>
      <c r="H22" s="807">
        <f t="shared" si="1"/>
        <v>565934.36446778709</v>
      </c>
      <c r="I22" s="807">
        <f t="shared" si="1"/>
        <v>143158.23714830785</v>
      </c>
      <c r="J22" s="807">
        <f t="shared" si="1"/>
        <v>0</v>
      </c>
      <c r="K22" s="807">
        <f t="shared" si="1"/>
        <v>0</v>
      </c>
      <c r="L22" s="807">
        <f t="shared" si="1"/>
        <v>0</v>
      </c>
      <c r="M22" s="807">
        <f t="shared" si="1"/>
        <v>0</v>
      </c>
      <c r="N22" s="807">
        <f t="shared" si="1"/>
        <v>42643.632879054567</v>
      </c>
      <c r="O22" s="807">
        <f t="shared" si="1"/>
        <v>0</v>
      </c>
      <c r="P22" s="807">
        <f t="shared" si="1"/>
        <v>0</v>
      </c>
      <c r="Q22" s="807">
        <f t="shared" si="1"/>
        <v>0</v>
      </c>
      <c r="R22" s="807">
        <f t="shared" si="1"/>
        <v>758627.83543043153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4318.4787066465196</v>
      </c>
      <c r="D24" s="683">
        <f>+landbouw!C8</f>
        <v>57.857142857142861</v>
      </c>
      <c r="E24" s="683">
        <f>+landbouw!D8</f>
        <v>6668.1890239827926</v>
      </c>
      <c r="F24" s="683">
        <f>+landbouw!E8</f>
        <v>123.68853836230997</v>
      </c>
      <c r="G24" s="683">
        <f>+landbouw!F8</f>
        <v>13670.072819723338</v>
      </c>
      <c r="H24" s="683">
        <f>+landbouw!G8</f>
        <v>0</v>
      </c>
      <c r="I24" s="683">
        <f>+landbouw!H8</f>
        <v>0</v>
      </c>
      <c r="J24" s="683">
        <f>+landbouw!I8</f>
        <v>0</v>
      </c>
      <c r="K24" s="683">
        <f>+landbouw!J8</f>
        <v>1098.0535245390336</v>
      </c>
      <c r="L24" s="683">
        <f>+landbouw!K8</f>
        <v>0</v>
      </c>
      <c r="M24" s="683">
        <f>+landbouw!L8</f>
        <v>0</v>
      </c>
      <c r="N24" s="683">
        <f>+landbouw!M8</f>
        <v>0</v>
      </c>
      <c r="O24" s="683">
        <f>+landbouw!N8</f>
        <v>0</v>
      </c>
      <c r="P24" s="683">
        <f>+landbouw!O8</f>
        <v>0</v>
      </c>
      <c r="Q24" s="684">
        <f>+landbouw!P8</f>
        <v>0</v>
      </c>
      <c r="R24" s="686">
        <f>SUM(C24:Q24)</f>
        <v>25936.339756111138</v>
      </c>
      <c r="S24" s="67"/>
    </row>
    <row r="25" spans="1:19" s="445" customFormat="1" ht="15" thickBot="1">
      <c r="A25" s="826" t="s">
        <v>696</v>
      </c>
      <c r="B25" s="939"/>
      <c r="C25" s="940">
        <f>IF(Onbekend_ele_kWh="---",0,Onbekend_ele_kWh)/1000+IF(REST_rest_ele_kWh="---",0,REST_rest_ele_kWh)/1000</f>
        <v>10437.2795054955</v>
      </c>
      <c r="D25" s="940"/>
      <c r="E25" s="940">
        <f>IF(onbekend_gas_kWh="---",0,onbekend_gas_kWh)/1000+IF(REST_rest_gas_kWh="---",0,REST_rest_gas_kWh)/1000</f>
        <v>24283.756160473298</v>
      </c>
      <c r="F25" s="940"/>
      <c r="G25" s="940"/>
      <c r="H25" s="940"/>
      <c r="I25" s="940"/>
      <c r="J25" s="940"/>
      <c r="K25" s="940"/>
      <c r="L25" s="940"/>
      <c r="M25" s="940"/>
      <c r="N25" s="940"/>
      <c r="O25" s="940"/>
      <c r="P25" s="940"/>
      <c r="Q25" s="941"/>
      <c r="R25" s="686">
        <f>SUM(C25:Q25)</f>
        <v>34721.035665968797</v>
      </c>
      <c r="S25" s="67"/>
    </row>
    <row r="26" spans="1:19" s="445" customFormat="1" ht="15.75" thickBot="1">
      <c r="A26" s="691" t="s">
        <v>697</v>
      </c>
      <c r="B26" s="812"/>
      <c r="C26" s="807">
        <f>SUM(C24:C25)</f>
        <v>14755.75821214202</v>
      </c>
      <c r="D26" s="807">
        <f t="shared" ref="D26:R26" si="2">SUM(D24:D25)</f>
        <v>57.857142857142861</v>
      </c>
      <c r="E26" s="807">
        <f t="shared" si="2"/>
        <v>30951.94518445609</v>
      </c>
      <c r="F26" s="807">
        <f t="shared" si="2"/>
        <v>123.68853836230997</v>
      </c>
      <c r="G26" s="807">
        <f t="shared" si="2"/>
        <v>13670.072819723338</v>
      </c>
      <c r="H26" s="807">
        <f t="shared" si="2"/>
        <v>0</v>
      </c>
      <c r="I26" s="807">
        <f t="shared" si="2"/>
        <v>0</v>
      </c>
      <c r="J26" s="807">
        <f t="shared" si="2"/>
        <v>0</v>
      </c>
      <c r="K26" s="807">
        <f t="shared" si="2"/>
        <v>1098.0535245390336</v>
      </c>
      <c r="L26" s="807">
        <f t="shared" si="2"/>
        <v>0</v>
      </c>
      <c r="M26" s="807">
        <f t="shared" si="2"/>
        <v>0</v>
      </c>
      <c r="N26" s="807">
        <f t="shared" si="2"/>
        <v>0</v>
      </c>
      <c r="O26" s="807">
        <f t="shared" si="2"/>
        <v>0</v>
      </c>
      <c r="P26" s="807">
        <f t="shared" si="2"/>
        <v>0</v>
      </c>
      <c r="Q26" s="807">
        <f t="shared" si="2"/>
        <v>0</v>
      </c>
      <c r="R26" s="807">
        <f t="shared" si="2"/>
        <v>60657.375422079931</v>
      </c>
      <c r="S26" s="67"/>
    </row>
    <row r="27" spans="1:19" s="445" customFormat="1" ht="17.25" thickTop="1" thickBot="1">
      <c r="A27" s="692" t="s">
        <v>115</v>
      </c>
      <c r="B27" s="799"/>
      <c r="C27" s="693">
        <f ca="1">C22+C16+C26</f>
        <v>607071.3558456474</v>
      </c>
      <c r="D27" s="693">
        <f t="shared" ref="D27:R27" ca="1" si="3">D22+D16+D26</f>
        <v>610.71428571428589</v>
      </c>
      <c r="E27" s="693">
        <f t="shared" ca="1" si="3"/>
        <v>1157523.614774111</v>
      </c>
      <c r="F27" s="693">
        <f t="shared" si="3"/>
        <v>10629.460182691335</v>
      </c>
      <c r="G27" s="693">
        <f t="shared" ca="1" si="3"/>
        <v>236597.82684180955</v>
      </c>
      <c r="H27" s="693">
        <f t="shared" si="3"/>
        <v>565934.36446778709</v>
      </c>
      <c r="I27" s="693">
        <f t="shared" si="3"/>
        <v>143158.23714830785</v>
      </c>
      <c r="J27" s="693">
        <f t="shared" si="3"/>
        <v>0</v>
      </c>
      <c r="K27" s="693">
        <f t="shared" si="3"/>
        <v>2349.3248183213564</v>
      </c>
      <c r="L27" s="693">
        <f t="shared" si="3"/>
        <v>0</v>
      </c>
      <c r="M27" s="693">
        <f t="shared" ca="1" si="3"/>
        <v>0</v>
      </c>
      <c r="N27" s="693">
        <f t="shared" si="3"/>
        <v>42643.632879054567</v>
      </c>
      <c r="O27" s="693">
        <f t="shared" ca="1" si="3"/>
        <v>88338.52561462186</v>
      </c>
      <c r="P27" s="693">
        <f t="shared" si="3"/>
        <v>2178.3133126920056</v>
      </c>
      <c r="Q27" s="693">
        <f t="shared" si="3"/>
        <v>3377.4811908089896</v>
      </c>
      <c r="R27" s="693">
        <f t="shared" ca="1" si="3"/>
        <v>2860412.8513615672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46296.607531117043</v>
      </c>
      <c r="D40" s="683">
        <f ca="1">tertiair!C20</f>
        <v>108.82258886653256</v>
      </c>
      <c r="E40" s="683">
        <f ca="1">tertiair!D20</f>
        <v>75799.62267680376</v>
      </c>
      <c r="F40" s="683">
        <f>tertiair!E20</f>
        <v>240.61203326372089</v>
      </c>
      <c r="G40" s="683">
        <f ca="1">tertiair!F20</f>
        <v>14226.595425824344</v>
      </c>
      <c r="H40" s="683">
        <f>tertiair!G20</f>
        <v>0</v>
      </c>
      <c r="I40" s="683">
        <f>tertiair!H20</f>
        <v>0</v>
      </c>
      <c r="J40" s="683">
        <f>tertiair!I20</f>
        <v>0</v>
      </c>
      <c r="K40" s="683">
        <f>tertiair!J20</f>
        <v>0.11544630463473653</v>
      </c>
      <c r="L40" s="683">
        <f>tertiair!K20</f>
        <v>0</v>
      </c>
      <c r="M40" s="683">
        <f ca="1">tertiair!L20</f>
        <v>0</v>
      </c>
      <c r="N40" s="683">
        <f>tertiair!M20</f>
        <v>0</v>
      </c>
      <c r="O40" s="683">
        <f ca="1">tertiair!N20</f>
        <v>0</v>
      </c>
      <c r="P40" s="683">
        <f>tertiair!O20</f>
        <v>0</v>
      </c>
      <c r="Q40" s="766">
        <f>tertiair!P20</f>
        <v>0</v>
      </c>
      <c r="R40" s="845">
        <f t="shared" ca="1" si="4"/>
        <v>136672.37570218006</v>
      </c>
    </row>
    <row r="41" spans="1:18">
      <c r="A41" s="817" t="s">
        <v>220</v>
      </c>
      <c r="B41" s="824"/>
      <c r="C41" s="683">
        <f ca="1">huishoudens!B12</f>
        <v>26859.397898129708</v>
      </c>
      <c r="D41" s="683">
        <f ca="1">huishoudens!C12</f>
        <v>0</v>
      </c>
      <c r="E41" s="683">
        <f>huishoudens!D12</f>
        <v>115947.45447961325</v>
      </c>
      <c r="F41" s="683">
        <f>huishoudens!E12</f>
        <v>1573.7388727389839</v>
      </c>
      <c r="G41" s="683">
        <f>huishoudens!F12</f>
        <v>40550.214845439645</v>
      </c>
      <c r="H41" s="683">
        <f>huishoudens!G12</f>
        <v>0</v>
      </c>
      <c r="I41" s="683">
        <f>huishoudens!H12</f>
        <v>0</v>
      </c>
      <c r="J41" s="683">
        <f>huishoudens!I12</f>
        <v>0</v>
      </c>
      <c r="K41" s="683">
        <f>huishoudens!J12</f>
        <v>306.40239241527644</v>
      </c>
      <c r="L41" s="683">
        <f>huishoudens!K12</f>
        <v>0</v>
      </c>
      <c r="M41" s="683">
        <f>huishoudens!L12</f>
        <v>0</v>
      </c>
      <c r="N41" s="683">
        <f>huishoudens!M12</f>
        <v>0</v>
      </c>
      <c r="O41" s="683">
        <f>huishoudens!N12</f>
        <v>0</v>
      </c>
      <c r="P41" s="683">
        <f>huishoudens!O12</f>
        <v>0</v>
      </c>
      <c r="Q41" s="766">
        <f>huishoudens!P12</f>
        <v>0</v>
      </c>
      <c r="R41" s="845">
        <f t="shared" ca="1" si="4"/>
        <v>185237.20848833688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13586.313103395501</v>
      </c>
      <c r="D43" s="683">
        <f ca="1">industrie!C22</f>
        <v>0</v>
      </c>
      <c r="E43" s="683">
        <f>industrie!D22</f>
        <v>35232.295331091329</v>
      </c>
      <c r="F43" s="683">
        <f>industrie!E22</f>
        <v>305.50948463068289</v>
      </c>
      <c r="G43" s="683">
        <f>industrie!F22</f>
        <v>4744.900052633031</v>
      </c>
      <c r="H43" s="683">
        <f>industrie!G22</f>
        <v>0</v>
      </c>
      <c r="I43" s="683">
        <f>industrie!H22</f>
        <v>0</v>
      </c>
      <c r="J43" s="683">
        <f>industrie!I22</f>
        <v>0</v>
      </c>
      <c r="K43" s="683">
        <f>industrie!J22</f>
        <v>136.43219927903104</v>
      </c>
      <c r="L43" s="683">
        <f>industrie!K22</f>
        <v>0</v>
      </c>
      <c r="M43" s="683">
        <f>industrie!L22</f>
        <v>0</v>
      </c>
      <c r="N43" s="683">
        <f>industrie!M22</f>
        <v>0</v>
      </c>
      <c r="O43" s="683">
        <f>industrie!N22</f>
        <v>0</v>
      </c>
      <c r="P43" s="683">
        <f>industrie!O22</f>
        <v>0</v>
      </c>
      <c r="Q43" s="766">
        <f>industrie!P22</f>
        <v>0</v>
      </c>
      <c r="R43" s="844">
        <f t="shared" ca="1" si="4"/>
        <v>54005.450171029566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86742.318532642254</v>
      </c>
      <c r="D46" s="719">
        <f t="shared" ref="D46:Q46" ca="1" si="5">SUM(D39:D45)</f>
        <v>108.82258886653256</v>
      </c>
      <c r="E46" s="719">
        <f t="shared" ca="1" si="5"/>
        <v>226979.37248750834</v>
      </c>
      <c r="F46" s="719">
        <f t="shared" si="5"/>
        <v>2119.8603906333874</v>
      </c>
      <c r="G46" s="719">
        <f t="shared" ca="1" si="5"/>
        <v>59521.710323897016</v>
      </c>
      <c r="H46" s="719">
        <f t="shared" si="5"/>
        <v>0</v>
      </c>
      <c r="I46" s="719">
        <f t="shared" si="5"/>
        <v>0</v>
      </c>
      <c r="J46" s="719">
        <f t="shared" si="5"/>
        <v>0</v>
      </c>
      <c r="K46" s="719">
        <f t="shared" si="5"/>
        <v>442.95003799894221</v>
      </c>
      <c r="L46" s="719">
        <f t="shared" si="5"/>
        <v>0</v>
      </c>
      <c r="M46" s="719">
        <f t="shared" ca="1" si="5"/>
        <v>0</v>
      </c>
      <c r="N46" s="719">
        <f t="shared" si="5"/>
        <v>0</v>
      </c>
      <c r="O46" s="719">
        <f t="shared" ca="1" si="5"/>
        <v>0</v>
      </c>
      <c r="P46" s="719">
        <f t="shared" si="5"/>
        <v>0</v>
      </c>
      <c r="Q46" s="719">
        <f t="shared" si="5"/>
        <v>0</v>
      </c>
      <c r="R46" s="719">
        <f ca="1">SUM(R39:R45)</f>
        <v>375915.03436154651</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170.79164447197817</v>
      </c>
      <c r="D49" s="683">
        <f ca="1">transport!C58</f>
        <v>0</v>
      </c>
      <c r="E49" s="683">
        <f>transport!D58</f>
        <v>0</v>
      </c>
      <c r="F49" s="683">
        <f>transport!E58</f>
        <v>0</v>
      </c>
      <c r="G49" s="683">
        <f>transport!F58</f>
        <v>0</v>
      </c>
      <c r="H49" s="683">
        <f>transport!G58</f>
        <v>5464.7955917143472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5635.5872361863258</v>
      </c>
    </row>
    <row r="50" spans="1:18">
      <c r="A50" s="820" t="s">
        <v>302</v>
      </c>
      <c r="B50" s="830"/>
      <c r="C50" s="689">
        <f ca="1">transport!B18</f>
        <v>243.12875448946261</v>
      </c>
      <c r="D50" s="689">
        <f>transport!C18</f>
        <v>0</v>
      </c>
      <c r="E50" s="689">
        <f>transport!D18</f>
        <v>588.10476960195126</v>
      </c>
      <c r="F50" s="689">
        <f>transport!E18</f>
        <v>264.94977262930132</v>
      </c>
      <c r="G50" s="689">
        <f>transport!F18</f>
        <v>0</v>
      </c>
      <c r="H50" s="689">
        <f>transport!G18</f>
        <v>145639.67972118483</v>
      </c>
      <c r="I50" s="689">
        <f>transport!H18</f>
        <v>35646.401049928652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182382.26406783418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413.92039896144081</v>
      </c>
      <c r="D52" s="719">
        <f t="shared" ref="D52:Q52" ca="1" si="6">SUM(D48:D51)</f>
        <v>0</v>
      </c>
      <c r="E52" s="719">
        <f t="shared" si="6"/>
        <v>588.10476960195126</v>
      </c>
      <c r="F52" s="719">
        <f t="shared" si="6"/>
        <v>264.94977262930132</v>
      </c>
      <c r="G52" s="719">
        <f t="shared" si="6"/>
        <v>0</v>
      </c>
      <c r="H52" s="719">
        <f t="shared" si="6"/>
        <v>151104.47531289919</v>
      </c>
      <c r="I52" s="719">
        <f t="shared" si="6"/>
        <v>35646.401049928652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188017.8513040205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635.44225997305784</v>
      </c>
      <c r="D54" s="689">
        <f ca="1">+landbouw!C12</f>
        <v>11.388410462776662</v>
      </c>
      <c r="E54" s="689">
        <f>+landbouw!D12</f>
        <v>1346.9741828445242</v>
      </c>
      <c r="F54" s="689">
        <f>+landbouw!E12</f>
        <v>28.077298208244365</v>
      </c>
      <c r="G54" s="689">
        <f>+landbouw!F12</f>
        <v>3649.9094428661315</v>
      </c>
      <c r="H54" s="689">
        <f>+landbouw!G12</f>
        <v>0</v>
      </c>
      <c r="I54" s="689">
        <f>+landbouw!H12</f>
        <v>0</v>
      </c>
      <c r="J54" s="689">
        <f>+landbouw!I12</f>
        <v>0</v>
      </c>
      <c r="K54" s="689">
        <f>+landbouw!J12</f>
        <v>388.71094768681786</v>
      </c>
      <c r="L54" s="689">
        <f>+landbouw!K12</f>
        <v>0</v>
      </c>
      <c r="M54" s="689">
        <f>+landbouw!L12</f>
        <v>0</v>
      </c>
      <c r="N54" s="689">
        <f>+landbouw!M12</f>
        <v>0</v>
      </c>
      <c r="O54" s="689">
        <f>+landbouw!N12</f>
        <v>0</v>
      </c>
      <c r="P54" s="689">
        <f>+landbouw!O12</f>
        <v>0</v>
      </c>
      <c r="Q54" s="690">
        <f>+landbouw!P12</f>
        <v>0</v>
      </c>
      <c r="R54" s="718">
        <f ca="1">SUM(C54:Q54)</f>
        <v>6060.5025420415523</v>
      </c>
    </row>
    <row r="55" spans="1:18" ht="15" thickBot="1">
      <c r="A55" s="820" t="s">
        <v>696</v>
      </c>
      <c r="B55" s="830"/>
      <c r="C55" s="689">
        <f ca="1">C25*'EF ele_warmte'!B12</f>
        <v>1535.7927935906837</v>
      </c>
      <c r="D55" s="689"/>
      <c r="E55" s="689">
        <f>E25*EF_CO2_aardgas</f>
        <v>4905.3187444156065</v>
      </c>
      <c r="F55" s="689"/>
      <c r="G55" s="689"/>
      <c r="H55" s="689"/>
      <c r="I55" s="689"/>
      <c r="J55" s="689"/>
      <c r="K55" s="689"/>
      <c r="L55" s="689"/>
      <c r="M55" s="689"/>
      <c r="N55" s="689"/>
      <c r="O55" s="689"/>
      <c r="P55" s="689"/>
      <c r="Q55" s="690"/>
      <c r="R55" s="718">
        <f ca="1">SUM(C55:Q55)</f>
        <v>6441.1115380062902</v>
      </c>
    </row>
    <row r="56" spans="1:18" ht="15.75" thickBot="1">
      <c r="A56" s="818" t="s">
        <v>697</v>
      </c>
      <c r="B56" s="831"/>
      <c r="C56" s="719">
        <f ca="1">SUM(C54:C55)</f>
        <v>2171.2350535637415</v>
      </c>
      <c r="D56" s="719">
        <f t="shared" ref="D56:Q56" ca="1" si="7">SUM(D54:D55)</f>
        <v>11.388410462776662</v>
      </c>
      <c r="E56" s="719">
        <f t="shared" si="7"/>
        <v>6252.2929272601305</v>
      </c>
      <c r="F56" s="719">
        <f t="shared" si="7"/>
        <v>28.077298208244365</v>
      </c>
      <c r="G56" s="719">
        <f t="shared" si="7"/>
        <v>3649.9094428661315</v>
      </c>
      <c r="H56" s="719">
        <f t="shared" si="7"/>
        <v>0</v>
      </c>
      <c r="I56" s="719">
        <f t="shared" si="7"/>
        <v>0</v>
      </c>
      <c r="J56" s="719">
        <f t="shared" si="7"/>
        <v>0</v>
      </c>
      <c r="K56" s="719">
        <f t="shared" si="7"/>
        <v>388.71094768681786</v>
      </c>
      <c r="L56" s="719">
        <f t="shared" si="7"/>
        <v>0</v>
      </c>
      <c r="M56" s="719">
        <f t="shared" si="7"/>
        <v>0</v>
      </c>
      <c r="N56" s="719">
        <f t="shared" si="7"/>
        <v>0</v>
      </c>
      <c r="O56" s="719">
        <f t="shared" si="7"/>
        <v>0</v>
      </c>
      <c r="P56" s="719">
        <f t="shared" si="7"/>
        <v>0</v>
      </c>
      <c r="Q56" s="720">
        <f t="shared" si="7"/>
        <v>0</v>
      </c>
      <c r="R56" s="721">
        <f ca="1">SUM(R54:R55)</f>
        <v>12501.614080047842</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89327.473985167439</v>
      </c>
      <c r="D61" s="727">
        <f t="shared" ref="D61:Q61" ca="1" si="8">D46+D52+D56</f>
        <v>120.21099932930922</v>
      </c>
      <c r="E61" s="727">
        <f t="shared" ca="1" si="8"/>
        <v>233819.77018437043</v>
      </c>
      <c r="F61" s="727">
        <f t="shared" si="8"/>
        <v>2412.887461470933</v>
      </c>
      <c r="G61" s="727">
        <f t="shared" ca="1" si="8"/>
        <v>63171.61976676315</v>
      </c>
      <c r="H61" s="727">
        <f t="shared" si="8"/>
        <v>151104.47531289919</v>
      </c>
      <c r="I61" s="727">
        <f t="shared" si="8"/>
        <v>35646.401049928652</v>
      </c>
      <c r="J61" s="727">
        <f t="shared" si="8"/>
        <v>0</v>
      </c>
      <c r="K61" s="727">
        <f t="shared" si="8"/>
        <v>831.66098568576012</v>
      </c>
      <c r="L61" s="727">
        <f t="shared" si="8"/>
        <v>0</v>
      </c>
      <c r="M61" s="727">
        <f t="shared" ca="1" si="8"/>
        <v>0</v>
      </c>
      <c r="N61" s="727">
        <f t="shared" si="8"/>
        <v>0</v>
      </c>
      <c r="O61" s="727">
        <f t="shared" ca="1" si="8"/>
        <v>0</v>
      </c>
      <c r="P61" s="727">
        <f t="shared" si="8"/>
        <v>0</v>
      </c>
      <c r="Q61" s="727">
        <f t="shared" si="8"/>
        <v>0</v>
      </c>
      <c r="R61" s="727">
        <f ca="1">R46+R52+R56</f>
        <v>576434.49974561483</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0.14714493300500847</v>
      </c>
      <c r="D63" s="773">
        <f t="shared" ca="1" si="9"/>
        <v>0.19683672404799166</v>
      </c>
      <c r="E63" s="965">
        <f t="shared" ca="1" si="9"/>
        <v>0.20200000000000001</v>
      </c>
      <c r="F63" s="773">
        <f t="shared" si="9"/>
        <v>0.22700000000000001</v>
      </c>
      <c r="G63" s="773">
        <f t="shared" ca="1" si="9"/>
        <v>0.26700000000000002</v>
      </c>
      <c r="H63" s="773">
        <f t="shared" si="9"/>
        <v>0.26700000000000007</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161232.31004406849</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41596.819788988418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70.976909413854358</v>
      </c>
      <c r="C76" s="740">
        <f>'lokale energieproductie'!B8*IFERROR(SUM(D76:H76)/SUM(D76:O76),0)</f>
        <v>345.27309058614566</v>
      </c>
      <c r="D76" s="948">
        <f>'lokale energieproductie'!C8</f>
        <v>405.61032863849772</v>
      </c>
      <c r="E76" s="949">
        <f>'lokale energieproductie'!D8</f>
        <v>0</v>
      </c>
      <c r="F76" s="949">
        <f>'lokale energieproductie'!E8</f>
        <v>0</v>
      </c>
      <c r="G76" s="949">
        <f>'lokale energieproductie'!F8</f>
        <v>0</v>
      </c>
      <c r="H76" s="949">
        <f>'lokale energieproductie'!G8</f>
        <v>0</v>
      </c>
      <c r="I76" s="949">
        <f>'lokale energieproductie'!I8</f>
        <v>0</v>
      </c>
      <c r="J76" s="949">
        <f>'lokale energieproductie'!J8</f>
        <v>83.380281690140848</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81.93328638497654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202900.10674247076</v>
      </c>
      <c r="C78" s="745">
        <f>SUM(C72:C77)</f>
        <v>345.27309058614566</v>
      </c>
      <c r="D78" s="746">
        <f t="shared" ref="D78:H78" si="10">SUM(D76:D77)</f>
        <v>405.61032863849772</v>
      </c>
      <c r="E78" s="746">
        <f t="shared" si="10"/>
        <v>0</v>
      </c>
      <c r="F78" s="746">
        <f t="shared" si="10"/>
        <v>0</v>
      </c>
      <c r="G78" s="746">
        <f t="shared" si="10"/>
        <v>0</v>
      </c>
      <c r="H78" s="746">
        <f t="shared" si="10"/>
        <v>0</v>
      </c>
      <c r="I78" s="746">
        <f>SUM(I76:I77)</f>
        <v>0</v>
      </c>
      <c r="J78" s="746">
        <f>SUM(J76:J77)</f>
        <v>83.380281690140848</v>
      </c>
      <c r="K78" s="746">
        <f t="shared" ref="K78:L78" si="11">SUM(K76:K77)</f>
        <v>0</v>
      </c>
      <c r="L78" s="746">
        <f t="shared" si="11"/>
        <v>0</v>
      </c>
      <c r="M78" s="746">
        <f>SUM(M76:M77)</f>
        <v>0</v>
      </c>
      <c r="N78" s="746">
        <f>SUM(N76:N77)</f>
        <v>0</v>
      </c>
      <c r="O78" s="855">
        <f>SUM(O76:O77)</f>
        <v>0</v>
      </c>
      <c r="P78" s="747">
        <v>0</v>
      </c>
      <c r="Q78" s="747">
        <f>SUM(Q76:Q77)</f>
        <v>81.93328638497654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104.13600608982493</v>
      </c>
      <c r="C87" s="758">
        <f>'lokale energieproductie'!B17*IFERROR(SUM(D87:H87)/SUM(D87:O87),0)</f>
        <v>506.578279624461</v>
      </c>
      <c r="D87" s="769">
        <f>'lokale energieproductie'!C17</f>
        <v>595.10395707578823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122.33400402414487</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120.21099932930923</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104.13600608982493</v>
      </c>
      <c r="C90" s="745">
        <f>SUM(C87:C89)</f>
        <v>506.578279624461</v>
      </c>
      <c r="D90" s="745">
        <f t="shared" ref="D90:H90" si="12">SUM(D87:D89)</f>
        <v>595.10395707578823</v>
      </c>
      <c r="E90" s="745">
        <f t="shared" si="12"/>
        <v>0</v>
      </c>
      <c r="F90" s="745">
        <f t="shared" si="12"/>
        <v>0</v>
      </c>
      <c r="G90" s="745">
        <f t="shared" si="12"/>
        <v>0</v>
      </c>
      <c r="H90" s="745">
        <f t="shared" si="12"/>
        <v>0</v>
      </c>
      <c r="I90" s="745">
        <f>SUM(I87:I89)</f>
        <v>0</v>
      </c>
      <c r="J90" s="745">
        <f>SUM(J87:J89)</f>
        <v>122.33400402414487</v>
      </c>
      <c r="K90" s="745">
        <f t="shared" ref="K90:L90" si="13">SUM(K87:K89)</f>
        <v>0</v>
      </c>
      <c r="L90" s="745">
        <f t="shared" si="13"/>
        <v>0</v>
      </c>
      <c r="M90" s="745">
        <f>SUM(M87:M89)</f>
        <v>0</v>
      </c>
      <c r="N90" s="745">
        <f>SUM(N87:N89)</f>
        <v>0</v>
      </c>
      <c r="O90" s="745">
        <f>SUM(O87:O89)</f>
        <v>0</v>
      </c>
      <c r="P90" s="745">
        <v>0</v>
      </c>
      <c r="Q90" s="745">
        <f>SUM(Q87:Q89)</f>
        <v>120.21099932930923</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182537.02216994093</v>
      </c>
      <c r="C4" s="449">
        <f>huishoudens!C8</f>
        <v>0</v>
      </c>
      <c r="D4" s="449">
        <f>huishoudens!D8</f>
        <v>573997.29940402601</v>
      </c>
      <c r="E4" s="449">
        <f>huishoudens!E8</f>
        <v>6932.7703644889152</v>
      </c>
      <c r="F4" s="449">
        <f>huishoudens!F8</f>
        <v>151873.46384059792</v>
      </c>
      <c r="G4" s="449">
        <f>huishoudens!G8</f>
        <v>0</v>
      </c>
      <c r="H4" s="449">
        <f>huishoudens!H8</f>
        <v>0</v>
      </c>
      <c r="I4" s="449">
        <f>huishoudens!I8</f>
        <v>0</v>
      </c>
      <c r="J4" s="449">
        <f>huishoudens!J8</f>
        <v>865.54348139908598</v>
      </c>
      <c r="K4" s="449">
        <f>huishoudens!K8</f>
        <v>0</v>
      </c>
      <c r="L4" s="449">
        <f>huishoudens!L8</f>
        <v>0</v>
      </c>
      <c r="M4" s="449">
        <f>huishoudens!M8</f>
        <v>0</v>
      </c>
      <c r="N4" s="449">
        <f>huishoudens!N8</f>
        <v>67687.881092849741</v>
      </c>
      <c r="O4" s="449">
        <f>huishoudens!O8</f>
        <v>2095.0598796727058</v>
      </c>
      <c r="P4" s="450">
        <f>huishoudens!P8</f>
        <v>1801.3070416141391</v>
      </c>
      <c r="Q4" s="451">
        <f>SUM(B4:P4)</f>
        <v>987790.34727458935</v>
      </c>
    </row>
    <row r="5" spans="1:17">
      <c r="A5" s="448" t="s">
        <v>155</v>
      </c>
      <c r="B5" s="449">
        <f ca="1">tertiair!B16</f>
        <v>306812.23649105499</v>
      </c>
      <c r="C5" s="449">
        <f ca="1">tertiair!C16</f>
        <v>552.857142857143</v>
      </c>
      <c r="D5" s="449">
        <f ca="1">tertiair!D16</f>
        <v>375245.65681586019</v>
      </c>
      <c r="E5" s="449">
        <f>tertiair!E16</f>
        <v>1059.9649042454664</v>
      </c>
      <c r="F5" s="449">
        <f ca="1">tertiair!F16</f>
        <v>53283.128935671695</v>
      </c>
      <c r="G5" s="449">
        <f>tertiair!G16</f>
        <v>0</v>
      </c>
      <c r="H5" s="449">
        <f>tertiair!H16</f>
        <v>0</v>
      </c>
      <c r="I5" s="449">
        <f>tertiair!I16</f>
        <v>0</v>
      </c>
      <c r="J5" s="449">
        <f>tertiair!J16</f>
        <v>0.32611950461789979</v>
      </c>
      <c r="K5" s="449">
        <f>tertiair!K16</f>
        <v>0</v>
      </c>
      <c r="L5" s="449">
        <f ca="1">tertiair!L16</f>
        <v>0</v>
      </c>
      <c r="M5" s="449">
        <f>tertiair!M16</f>
        <v>0</v>
      </c>
      <c r="N5" s="449">
        <f ca="1">tertiair!N16</f>
        <v>12591.892775251436</v>
      </c>
      <c r="O5" s="449">
        <f>tertiair!O16</f>
        <v>83.253433019299621</v>
      </c>
      <c r="P5" s="450">
        <f>tertiair!P16</f>
        <v>1576.1741491948503</v>
      </c>
      <c r="Q5" s="448">
        <f t="shared" ref="Q5:Q14" ca="1" si="0">SUM(B5:P5)</f>
        <v>751205.49076665961</v>
      </c>
    </row>
    <row r="6" spans="1:17">
      <c r="A6" s="448" t="s">
        <v>193</v>
      </c>
      <c r="B6" s="449">
        <f>'openbare verlichting'!B8</f>
        <v>7820.4632944089599</v>
      </c>
      <c r="C6" s="449"/>
      <c r="D6" s="449"/>
      <c r="E6" s="449"/>
      <c r="F6" s="449"/>
      <c r="G6" s="449"/>
      <c r="H6" s="449"/>
      <c r="I6" s="449"/>
      <c r="J6" s="449"/>
      <c r="K6" s="449"/>
      <c r="L6" s="449"/>
      <c r="M6" s="449"/>
      <c r="N6" s="449"/>
      <c r="O6" s="449"/>
      <c r="P6" s="450"/>
      <c r="Q6" s="448">
        <f t="shared" si="0"/>
        <v>7820.4632944089599</v>
      </c>
    </row>
    <row r="7" spans="1:17">
      <c r="A7" s="448" t="s">
        <v>111</v>
      </c>
      <c r="B7" s="449">
        <f>landbouw!B8</f>
        <v>4318.4787066465196</v>
      </c>
      <c r="C7" s="449">
        <f>landbouw!C8</f>
        <v>57.857142857142861</v>
      </c>
      <c r="D7" s="449">
        <f>landbouw!D8</f>
        <v>6668.1890239827926</v>
      </c>
      <c r="E7" s="449">
        <f>landbouw!E8</f>
        <v>123.68853836230997</v>
      </c>
      <c r="F7" s="449">
        <f>landbouw!F8</f>
        <v>13670.072819723338</v>
      </c>
      <c r="G7" s="449">
        <f>landbouw!G8</f>
        <v>0</v>
      </c>
      <c r="H7" s="449">
        <f>landbouw!H8</f>
        <v>0</v>
      </c>
      <c r="I7" s="449">
        <f>landbouw!I8</f>
        <v>0</v>
      </c>
      <c r="J7" s="449">
        <f>landbouw!J8</f>
        <v>1098.0535245390336</v>
      </c>
      <c r="K7" s="449">
        <f>landbouw!K8</f>
        <v>0</v>
      </c>
      <c r="L7" s="449">
        <f>landbouw!L8</f>
        <v>0</v>
      </c>
      <c r="M7" s="449">
        <f>landbouw!M8</f>
        <v>0</v>
      </c>
      <c r="N7" s="449">
        <f>landbouw!N8</f>
        <v>0</v>
      </c>
      <c r="O7" s="449">
        <f>landbouw!O8</f>
        <v>0</v>
      </c>
      <c r="P7" s="450">
        <f>landbouw!P8</f>
        <v>0</v>
      </c>
      <c r="Q7" s="448">
        <f t="shared" si="0"/>
        <v>25936.339756111138</v>
      </c>
    </row>
    <row r="8" spans="1:17">
      <c r="A8" s="448" t="s">
        <v>617</v>
      </c>
      <c r="B8" s="449">
        <f>industrie!B18</f>
        <v>92332.864108430105</v>
      </c>
      <c r="C8" s="449">
        <f>industrie!C18</f>
        <v>0</v>
      </c>
      <c r="D8" s="449">
        <f>industrie!D18</f>
        <v>174417.30361926398</v>
      </c>
      <c r="E8" s="449">
        <f>industrie!E18</f>
        <v>1345.8567604875898</v>
      </c>
      <c r="F8" s="449">
        <f>industrie!F18</f>
        <v>17771.161245816595</v>
      </c>
      <c r="G8" s="449">
        <f>industrie!G18</f>
        <v>0</v>
      </c>
      <c r="H8" s="449">
        <f>industrie!H18</f>
        <v>0</v>
      </c>
      <c r="I8" s="449">
        <f>industrie!I18</f>
        <v>0</v>
      </c>
      <c r="J8" s="449">
        <f>industrie!J18</f>
        <v>385.40169287861875</v>
      </c>
      <c r="K8" s="449">
        <f>industrie!K18</f>
        <v>0</v>
      </c>
      <c r="L8" s="449">
        <f>industrie!L18</f>
        <v>0</v>
      </c>
      <c r="M8" s="449">
        <f>industrie!M18</f>
        <v>0</v>
      </c>
      <c r="N8" s="449">
        <f>industrie!N18</f>
        <v>8058.7517465206738</v>
      </c>
      <c r="O8" s="449">
        <f>industrie!O18</f>
        <v>0</v>
      </c>
      <c r="P8" s="450">
        <f>industrie!P18</f>
        <v>0</v>
      </c>
      <c r="Q8" s="448">
        <f t="shared" si="0"/>
        <v>294311.33917339763</v>
      </c>
    </row>
    <row r="9" spans="1:17" s="454" customFormat="1">
      <c r="A9" s="452" t="s">
        <v>543</v>
      </c>
      <c r="B9" s="453">
        <f>transport!B14</f>
        <v>1652.3080307575867</v>
      </c>
      <c r="C9" s="453">
        <f>transport!C14</f>
        <v>0</v>
      </c>
      <c r="D9" s="453">
        <f>transport!D14</f>
        <v>2911.4097505047089</v>
      </c>
      <c r="E9" s="453">
        <f>transport!E14</f>
        <v>1167.1796151070544</v>
      </c>
      <c r="F9" s="453">
        <f>transport!F14</f>
        <v>0</v>
      </c>
      <c r="G9" s="453">
        <f>transport!G14</f>
        <v>545466.96524788323</v>
      </c>
      <c r="H9" s="453">
        <f>transport!H14</f>
        <v>143158.23714830785</v>
      </c>
      <c r="I9" s="453">
        <f>transport!I14</f>
        <v>0</v>
      </c>
      <c r="J9" s="453">
        <f>transport!J14</f>
        <v>0</v>
      </c>
      <c r="K9" s="453">
        <f>transport!K14</f>
        <v>0</v>
      </c>
      <c r="L9" s="453">
        <f>transport!L14</f>
        <v>0</v>
      </c>
      <c r="M9" s="453">
        <f>transport!M14</f>
        <v>41468.440135435252</v>
      </c>
      <c r="N9" s="453">
        <f>transport!N14</f>
        <v>0</v>
      </c>
      <c r="O9" s="453">
        <f>transport!O14</f>
        <v>0</v>
      </c>
      <c r="P9" s="453">
        <f>transport!P14</f>
        <v>0</v>
      </c>
      <c r="Q9" s="452">
        <f>SUM(B9:P9)</f>
        <v>735824.53992799565</v>
      </c>
    </row>
    <row r="10" spans="1:17">
      <c r="A10" s="448" t="s">
        <v>533</v>
      </c>
      <c r="B10" s="449">
        <f>transport!B54</f>
        <v>1160.7035389126502</v>
      </c>
      <c r="C10" s="449">
        <f>transport!C54</f>
        <v>0</v>
      </c>
      <c r="D10" s="449">
        <f>transport!D54</f>
        <v>0</v>
      </c>
      <c r="E10" s="449">
        <f>transport!E54</f>
        <v>0</v>
      </c>
      <c r="F10" s="449">
        <f>transport!F54</f>
        <v>0</v>
      </c>
      <c r="G10" s="449">
        <f>transport!G54</f>
        <v>20467.39921990392</v>
      </c>
      <c r="H10" s="449">
        <f>transport!H54</f>
        <v>0</v>
      </c>
      <c r="I10" s="449">
        <f>transport!I54</f>
        <v>0</v>
      </c>
      <c r="J10" s="449">
        <f>transport!J54</f>
        <v>0</v>
      </c>
      <c r="K10" s="449">
        <f>transport!K54</f>
        <v>0</v>
      </c>
      <c r="L10" s="449">
        <f>transport!L54</f>
        <v>0</v>
      </c>
      <c r="M10" s="449">
        <f>transport!M54</f>
        <v>1175.1927436193114</v>
      </c>
      <c r="N10" s="449">
        <f>transport!N54</f>
        <v>0</v>
      </c>
      <c r="O10" s="449">
        <f>transport!O54</f>
        <v>0</v>
      </c>
      <c r="P10" s="450">
        <f>transport!P54</f>
        <v>0</v>
      </c>
      <c r="Q10" s="448">
        <f t="shared" si="0"/>
        <v>22803.295502435882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10437.2795054955</v>
      </c>
      <c r="C14" s="456"/>
      <c r="D14" s="456">
        <f>'SEAP template'!E25</f>
        <v>24283.756160473298</v>
      </c>
      <c r="E14" s="456"/>
      <c r="F14" s="456"/>
      <c r="G14" s="456"/>
      <c r="H14" s="456"/>
      <c r="I14" s="456"/>
      <c r="J14" s="456"/>
      <c r="K14" s="456"/>
      <c r="L14" s="456"/>
      <c r="M14" s="456"/>
      <c r="N14" s="456"/>
      <c r="O14" s="456"/>
      <c r="P14" s="457"/>
      <c r="Q14" s="448">
        <f t="shared" si="0"/>
        <v>34721.035665968797</v>
      </c>
    </row>
    <row r="15" spans="1:17" s="460" customFormat="1">
      <c r="A15" s="458" t="s">
        <v>537</v>
      </c>
      <c r="B15" s="459">
        <f ca="1">SUM(B4:B14)</f>
        <v>607071.35584564728</v>
      </c>
      <c r="C15" s="459">
        <f t="shared" ref="C15:Q15" ca="1" si="1">SUM(C4:C14)</f>
        <v>610.71428571428589</v>
      </c>
      <c r="D15" s="459">
        <f t="shared" ca="1" si="1"/>
        <v>1157523.614774111</v>
      </c>
      <c r="E15" s="459">
        <f t="shared" si="1"/>
        <v>10629.460182691337</v>
      </c>
      <c r="F15" s="459">
        <f t="shared" ca="1" si="1"/>
        <v>236597.82684180955</v>
      </c>
      <c r="G15" s="459">
        <f t="shared" si="1"/>
        <v>565934.36446778709</v>
      </c>
      <c r="H15" s="459">
        <f t="shared" si="1"/>
        <v>143158.23714830785</v>
      </c>
      <c r="I15" s="459">
        <f t="shared" si="1"/>
        <v>0</v>
      </c>
      <c r="J15" s="459">
        <f t="shared" si="1"/>
        <v>2349.3248183213559</v>
      </c>
      <c r="K15" s="459">
        <f t="shared" si="1"/>
        <v>0</v>
      </c>
      <c r="L15" s="459">
        <f t="shared" ca="1" si="1"/>
        <v>0</v>
      </c>
      <c r="M15" s="459">
        <f t="shared" si="1"/>
        <v>42643.632879054567</v>
      </c>
      <c r="N15" s="459">
        <f t="shared" ca="1" si="1"/>
        <v>88338.52561462186</v>
      </c>
      <c r="O15" s="459">
        <f t="shared" si="1"/>
        <v>2178.3133126920056</v>
      </c>
      <c r="P15" s="459">
        <f t="shared" si="1"/>
        <v>3377.4811908089896</v>
      </c>
      <c r="Q15" s="459">
        <f t="shared" ca="1" si="1"/>
        <v>2860412.8513615672</v>
      </c>
    </row>
    <row r="17" spans="1:17">
      <c r="A17" s="461" t="s">
        <v>538</v>
      </c>
      <c r="B17" s="778">
        <f ca="1">huishoudens!B10</f>
        <v>0.1471449330050085</v>
      </c>
      <c r="C17" s="778">
        <f ca="1">huishoudens!C10</f>
        <v>0.19683672404799166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26859.397898129708</v>
      </c>
      <c r="C22" s="449">
        <f t="shared" ref="C22:C32" ca="1" si="3">C4*$C$17</f>
        <v>0</v>
      </c>
      <c r="D22" s="449">
        <f t="shared" ref="D22:D32" si="4">D4*$D$17</f>
        <v>115947.45447961325</v>
      </c>
      <c r="E22" s="449">
        <f t="shared" ref="E22:E32" si="5">E4*$E$17</f>
        <v>1573.7388727389839</v>
      </c>
      <c r="F22" s="449">
        <f t="shared" ref="F22:F32" si="6">F4*$F$17</f>
        <v>40550.214845439645</v>
      </c>
      <c r="G22" s="449">
        <f t="shared" ref="G22:G32" si="7">G4*$G$17</f>
        <v>0</v>
      </c>
      <c r="H22" s="449">
        <f t="shared" ref="H22:H32" si="8">H4*$H$17</f>
        <v>0</v>
      </c>
      <c r="I22" s="449">
        <f t="shared" ref="I22:I32" si="9">I4*$I$17</f>
        <v>0</v>
      </c>
      <c r="J22" s="449">
        <f t="shared" ref="J22:J32" si="10">J4*$J$17</f>
        <v>306.40239241527644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185237.20848833688</v>
      </c>
    </row>
    <row r="23" spans="1:17">
      <c r="A23" s="448" t="s">
        <v>155</v>
      </c>
      <c r="B23" s="449">
        <f t="shared" ca="1" si="2"/>
        <v>45145.86598359311</v>
      </c>
      <c r="C23" s="449">
        <f t="shared" ca="1" si="3"/>
        <v>108.82258886653256</v>
      </c>
      <c r="D23" s="449">
        <f t="shared" ca="1" si="4"/>
        <v>75799.62267680376</v>
      </c>
      <c r="E23" s="449">
        <f t="shared" si="5"/>
        <v>240.61203326372089</v>
      </c>
      <c r="F23" s="449">
        <f t="shared" ca="1" si="6"/>
        <v>14226.595425824344</v>
      </c>
      <c r="G23" s="449">
        <f t="shared" si="7"/>
        <v>0</v>
      </c>
      <c r="H23" s="449">
        <f t="shared" si="8"/>
        <v>0</v>
      </c>
      <c r="I23" s="449">
        <f t="shared" si="9"/>
        <v>0</v>
      </c>
      <c r="J23" s="449">
        <f t="shared" si="10"/>
        <v>0.11544630463473653</v>
      </c>
      <c r="K23" s="449">
        <f t="shared" si="11"/>
        <v>0</v>
      </c>
      <c r="L23" s="449">
        <f t="shared" ca="1" si="12"/>
        <v>0</v>
      </c>
      <c r="M23" s="449">
        <f t="shared" si="13"/>
        <v>0</v>
      </c>
      <c r="N23" s="449">
        <f t="shared" ca="1" si="14"/>
        <v>0</v>
      </c>
      <c r="O23" s="449">
        <f t="shared" si="15"/>
        <v>0</v>
      </c>
      <c r="P23" s="450">
        <f t="shared" si="16"/>
        <v>0</v>
      </c>
      <c r="Q23" s="448">
        <f t="shared" ref="Q23:Q31" ca="1" si="17">SUM(B23:P23)</f>
        <v>135521.63415465612</v>
      </c>
    </row>
    <row r="24" spans="1:17">
      <c r="A24" s="448" t="s">
        <v>193</v>
      </c>
      <c r="B24" s="449">
        <f t="shared" ca="1" si="2"/>
        <v>1150.7415475239345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1150.7415475239345</v>
      </c>
    </row>
    <row r="25" spans="1:17">
      <c r="A25" s="448" t="s">
        <v>111</v>
      </c>
      <c r="B25" s="449">
        <f t="shared" ca="1" si="2"/>
        <v>635.44225997305784</v>
      </c>
      <c r="C25" s="449">
        <f t="shared" ca="1" si="3"/>
        <v>11.388410462776662</v>
      </c>
      <c r="D25" s="449">
        <f t="shared" si="4"/>
        <v>1346.9741828445242</v>
      </c>
      <c r="E25" s="449">
        <f t="shared" si="5"/>
        <v>28.077298208244365</v>
      </c>
      <c r="F25" s="449">
        <f t="shared" si="6"/>
        <v>3649.9094428661315</v>
      </c>
      <c r="G25" s="449">
        <f t="shared" si="7"/>
        <v>0</v>
      </c>
      <c r="H25" s="449">
        <f t="shared" si="8"/>
        <v>0</v>
      </c>
      <c r="I25" s="449">
        <f t="shared" si="9"/>
        <v>0</v>
      </c>
      <c r="J25" s="449">
        <f t="shared" si="10"/>
        <v>388.71094768681786</v>
      </c>
      <c r="K25" s="449">
        <f t="shared" si="11"/>
        <v>0</v>
      </c>
      <c r="L25" s="449">
        <f t="shared" si="12"/>
        <v>0</v>
      </c>
      <c r="M25" s="449">
        <f t="shared" si="13"/>
        <v>0</v>
      </c>
      <c r="N25" s="449">
        <f t="shared" si="14"/>
        <v>0</v>
      </c>
      <c r="O25" s="449">
        <f t="shared" si="15"/>
        <v>0</v>
      </c>
      <c r="P25" s="450">
        <f t="shared" si="16"/>
        <v>0</v>
      </c>
      <c r="Q25" s="448">
        <f t="shared" ca="1" si="17"/>
        <v>6060.5025420415523</v>
      </c>
    </row>
    <row r="26" spans="1:17">
      <c r="A26" s="448" t="s">
        <v>617</v>
      </c>
      <c r="B26" s="449">
        <f t="shared" ca="1" si="2"/>
        <v>13586.313103395501</v>
      </c>
      <c r="C26" s="449">
        <f t="shared" ca="1" si="3"/>
        <v>0</v>
      </c>
      <c r="D26" s="449">
        <f t="shared" si="4"/>
        <v>35232.295331091329</v>
      </c>
      <c r="E26" s="449">
        <f t="shared" si="5"/>
        <v>305.50948463068289</v>
      </c>
      <c r="F26" s="449">
        <f t="shared" si="6"/>
        <v>4744.900052633031</v>
      </c>
      <c r="G26" s="449">
        <f t="shared" si="7"/>
        <v>0</v>
      </c>
      <c r="H26" s="449">
        <f t="shared" si="8"/>
        <v>0</v>
      </c>
      <c r="I26" s="449">
        <f t="shared" si="9"/>
        <v>0</v>
      </c>
      <c r="J26" s="449">
        <f t="shared" si="10"/>
        <v>136.43219927903104</v>
      </c>
      <c r="K26" s="449">
        <f t="shared" si="11"/>
        <v>0</v>
      </c>
      <c r="L26" s="449">
        <f t="shared" si="12"/>
        <v>0</v>
      </c>
      <c r="M26" s="449">
        <f t="shared" si="13"/>
        <v>0</v>
      </c>
      <c r="N26" s="449">
        <f t="shared" si="14"/>
        <v>0</v>
      </c>
      <c r="O26" s="449">
        <f t="shared" si="15"/>
        <v>0</v>
      </c>
      <c r="P26" s="450">
        <f t="shared" si="16"/>
        <v>0</v>
      </c>
      <c r="Q26" s="448">
        <f t="shared" ca="1" si="17"/>
        <v>54005.450171029566</v>
      </c>
    </row>
    <row r="27" spans="1:17" s="454" customFormat="1">
      <c r="A27" s="452" t="s">
        <v>543</v>
      </c>
      <c r="B27" s="772">
        <f t="shared" ca="1" si="2"/>
        <v>243.12875448946261</v>
      </c>
      <c r="C27" s="453">
        <f t="shared" ca="1" si="3"/>
        <v>0</v>
      </c>
      <c r="D27" s="453">
        <f t="shared" si="4"/>
        <v>588.10476960195126</v>
      </c>
      <c r="E27" s="453">
        <f t="shared" si="5"/>
        <v>264.94977262930132</v>
      </c>
      <c r="F27" s="453">
        <f t="shared" si="6"/>
        <v>0</v>
      </c>
      <c r="G27" s="453">
        <f t="shared" si="7"/>
        <v>145639.67972118483</v>
      </c>
      <c r="H27" s="453">
        <f t="shared" si="8"/>
        <v>35646.401049928652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182382.26406783418</v>
      </c>
    </row>
    <row r="28" spans="1:17" ht="16.5" customHeight="1">
      <c r="A28" s="448" t="s">
        <v>533</v>
      </c>
      <c r="B28" s="449">
        <f t="shared" ca="1" si="2"/>
        <v>170.79164447197817</v>
      </c>
      <c r="C28" s="449">
        <f t="shared" ca="1" si="3"/>
        <v>0</v>
      </c>
      <c r="D28" s="449">
        <f t="shared" si="4"/>
        <v>0</v>
      </c>
      <c r="E28" s="449">
        <f t="shared" si="5"/>
        <v>0</v>
      </c>
      <c r="F28" s="449">
        <f t="shared" si="6"/>
        <v>0</v>
      </c>
      <c r="G28" s="449">
        <f t="shared" si="7"/>
        <v>5464.7955917143472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5635.5872361863258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1535.7927935906837</v>
      </c>
      <c r="C32" s="449">
        <f t="shared" ca="1" si="3"/>
        <v>0</v>
      </c>
      <c r="D32" s="449">
        <f t="shared" si="4"/>
        <v>4905.3187444156065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6441.1115380062902</v>
      </c>
    </row>
    <row r="33" spans="1:17" s="460" customFormat="1">
      <c r="A33" s="458" t="s">
        <v>537</v>
      </c>
      <c r="B33" s="459">
        <f ca="1">SUM(B22:B32)</f>
        <v>89327.473985167424</v>
      </c>
      <c r="C33" s="459">
        <f t="shared" ref="C33:Q33" ca="1" si="19">SUM(C22:C32)</f>
        <v>120.21099932930922</v>
      </c>
      <c r="D33" s="459">
        <f t="shared" ca="1" si="19"/>
        <v>233819.7701843704</v>
      </c>
      <c r="E33" s="459">
        <f t="shared" si="19"/>
        <v>2412.887461470933</v>
      </c>
      <c r="F33" s="459">
        <f t="shared" ca="1" si="19"/>
        <v>63171.61976676315</v>
      </c>
      <c r="G33" s="459">
        <f t="shared" si="19"/>
        <v>151104.47531289919</v>
      </c>
      <c r="H33" s="459">
        <f t="shared" si="19"/>
        <v>35646.401049928652</v>
      </c>
      <c r="I33" s="459">
        <f t="shared" si="19"/>
        <v>0</v>
      </c>
      <c r="J33" s="459">
        <f t="shared" si="19"/>
        <v>831.66098568576012</v>
      </c>
      <c r="K33" s="459">
        <f t="shared" si="19"/>
        <v>0</v>
      </c>
      <c r="L33" s="459">
        <f t="shared" ca="1" si="19"/>
        <v>0</v>
      </c>
      <c r="M33" s="459">
        <f t="shared" si="19"/>
        <v>0</v>
      </c>
      <c r="N33" s="459">
        <f t="shared" ca="1" si="19"/>
        <v>0</v>
      </c>
      <c r="O33" s="459">
        <f t="shared" si="19"/>
        <v>0</v>
      </c>
      <c r="P33" s="459">
        <f t="shared" si="19"/>
        <v>0</v>
      </c>
      <c r="Q33" s="459">
        <f t="shared" ca="1" si="19"/>
        <v>576434.49974561483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161232.31004406849</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41596.819788988418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70.976909413854358</v>
      </c>
      <c r="C8" s="1016">
        <f>'SEAP template'!C76</f>
        <v>345.27309058614566</v>
      </c>
      <c r="D8" s="1016">
        <f>'SEAP template'!D76</f>
        <v>405.61032863849772</v>
      </c>
      <c r="E8" s="1016">
        <f>'SEAP template'!E76</f>
        <v>0</v>
      </c>
      <c r="F8" s="1016">
        <f>'SEAP template'!F76</f>
        <v>0</v>
      </c>
      <c r="G8" s="1016">
        <f>'SEAP template'!G76</f>
        <v>0</v>
      </c>
      <c r="H8" s="1016">
        <f>'SEAP template'!H76</f>
        <v>0</v>
      </c>
      <c r="I8" s="1016">
        <f>'SEAP template'!I76</f>
        <v>0</v>
      </c>
      <c r="J8" s="1016">
        <f>'SEAP template'!J76</f>
        <v>83.380281690140848</v>
      </c>
      <c r="K8" s="1016">
        <f>'SEAP template'!K76</f>
        <v>0</v>
      </c>
      <c r="L8" s="1016">
        <f>'SEAP template'!L76</f>
        <v>0</v>
      </c>
      <c r="M8" s="1016">
        <f>'SEAP template'!M76</f>
        <v>0</v>
      </c>
      <c r="N8" s="1016">
        <f>'SEAP template'!N76</f>
        <v>0</v>
      </c>
      <c r="O8" s="1016">
        <f>'SEAP template'!O76</f>
        <v>0</v>
      </c>
      <c r="P8" s="1017">
        <f>'SEAP template'!Q76</f>
        <v>81.93328638497654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202900.10674247076</v>
      </c>
      <c r="C10" s="1018">
        <f>SUM(C4:C9)</f>
        <v>345.27309058614566</v>
      </c>
      <c r="D10" s="1018">
        <f t="shared" ref="D10:H10" si="0">SUM(D8:D9)</f>
        <v>405.61032863849772</v>
      </c>
      <c r="E10" s="1018">
        <f t="shared" si="0"/>
        <v>0</v>
      </c>
      <c r="F10" s="1018">
        <f t="shared" si="0"/>
        <v>0</v>
      </c>
      <c r="G10" s="1018">
        <f t="shared" si="0"/>
        <v>0</v>
      </c>
      <c r="H10" s="1018">
        <f t="shared" si="0"/>
        <v>0</v>
      </c>
      <c r="I10" s="1018">
        <f>SUM(I8:I9)</f>
        <v>0</v>
      </c>
      <c r="J10" s="1018">
        <f>SUM(J8:J9)</f>
        <v>83.380281690140848</v>
      </c>
      <c r="K10" s="1018">
        <f t="shared" ref="K10:L10" si="1">SUM(K8:K9)</f>
        <v>0</v>
      </c>
      <c r="L10" s="1018">
        <f t="shared" si="1"/>
        <v>0</v>
      </c>
      <c r="M10" s="1018">
        <f>SUM(M8:M9)</f>
        <v>0</v>
      </c>
      <c r="N10" s="1018">
        <f>SUM(N8:N9)</f>
        <v>0</v>
      </c>
      <c r="O10" s="1018">
        <f>SUM(O8:O9)</f>
        <v>0</v>
      </c>
      <c r="P10" s="1018">
        <f>SUM(P8:P9)</f>
        <v>81.93328638497654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0.1471449330050085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104.13600608982493</v>
      </c>
      <c r="C17" s="1019">
        <f>'SEAP template'!C87</f>
        <v>506.578279624461</v>
      </c>
      <c r="D17" s="1017">
        <f>'SEAP template'!D87</f>
        <v>595.10395707578823</v>
      </c>
      <c r="E17" s="1017">
        <f>'SEAP template'!E87</f>
        <v>0</v>
      </c>
      <c r="F17" s="1017">
        <f>'SEAP template'!F87</f>
        <v>0</v>
      </c>
      <c r="G17" s="1017">
        <f>'SEAP template'!G87</f>
        <v>0</v>
      </c>
      <c r="H17" s="1017">
        <f>'SEAP template'!H87</f>
        <v>0</v>
      </c>
      <c r="I17" s="1017">
        <f>'SEAP template'!I87</f>
        <v>0</v>
      </c>
      <c r="J17" s="1017">
        <f>'SEAP template'!J87</f>
        <v>122.33400402414487</v>
      </c>
      <c r="K17" s="1017">
        <f>'SEAP template'!K87</f>
        <v>0</v>
      </c>
      <c r="L17" s="1017">
        <f>'SEAP template'!L87</f>
        <v>0</v>
      </c>
      <c r="M17" s="1017">
        <f>'SEAP template'!M87</f>
        <v>0</v>
      </c>
      <c r="N17" s="1017">
        <f>'SEAP template'!N87</f>
        <v>0</v>
      </c>
      <c r="O17" s="1017">
        <f>'SEAP template'!O87</f>
        <v>0</v>
      </c>
      <c r="P17" s="1017">
        <f>'SEAP template'!Q87</f>
        <v>120.21099932930923</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104.13600608982493</v>
      </c>
      <c r="C20" s="1018">
        <f>SUM(C17:C19)</f>
        <v>506.578279624461</v>
      </c>
      <c r="D20" s="1018">
        <f t="shared" ref="D20:H20" si="2">SUM(D17:D19)</f>
        <v>595.10395707578823</v>
      </c>
      <c r="E20" s="1018">
        <f t="shared" si="2"/>
        <v>0</v>
      </c>
      <c r="F20" s="1018">
        <f t="shared" si="2"/>
        <v>0</v>
      </c>
      <c r="G20" s="1018">
        <f t="shared" si="2"/>
        <v>0</v>
      </c>
      <c r="H20" s="1018">
        <f t="shared" si="2"/>
        <v>0</v>
      </c>
      <c r="I20" s="1018">
        <f>SUM(I17:I19)</f>
        <v>0</v>
      </c>
      <c r="J20" s="1018">
        <f>SUM(J17:J19)</f>
        <v>122.33400402414487</v>
      </c>
      <c r="K20" s="1018">
        <f t="shared" ref="K20:L20" si="3">SUM(K17:K19)</f>
        <v>0</v>
      </c>
      <c r="L20" s="1018">
        <f t="shared" si="3"/>
        <v>0</v>
      </c>
      <c r="M20" s="1018">
        <f>SUM(M17:M19)</f>
        <v>0</v>
      </c>
      <c r="N20" s="1018">
        <f>SUM(N17:N19)</f>
        <v>0</v>
      </c>
      <c r="O20" s="1018">
        <f>SUM(O17:O19)</f>
        <v>0</v>
      </c>
      <c r="P20" s="1018">
        <f>SUM(P17:P19)</f>
        <v>120.21099932930923</v>
      </c>
    </row>
    <row r="21" spans="1:16">
      <c r="B21" s="883"/>
    </row>
    <row r="22" spans="1:16">
      <c r="A22" s="461" t="s">
        <v>755</v>
      </c>
      <c r="B22" s="778" t="s">
        <v>753</v>
      </c>
      <c r="C22" s="778">
        <f ca="1">'EF ele_warmte'!B22</f>
        <v>0.19683672404799166</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0.1471449330050085</v>
      </c>
      <c r="C17" s="498">
        <f ca="1">'EF ele_warmte'!B22</f>
        <v>0.19683672404799166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4</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19.589043063364617</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0.1471449330050085</v>
      </c>
      <c r="C17" s="498">
        <f ca="1">'EF ele_warmte'!B22</f>
        <v>0.19683672404799166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0.1471449330050085</v>
      </c>
      <c r="C29" s="499">
        <f ca="1">'EF ele_warmte'!B22</f>
        <v>0.19683672404799166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54540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4400.3</v>
      </c>
      <c r="C14" s="326"/>
      <c r="D14" s="326"/>
      <c r="E14" s="326"/>
      <c r="F14" s="326"/>
    </row>
    <row r="15" spans="1:6">
      <c r="A15" s="1312" t="s">
        <v>183</v>
      </c>
      <c r="B15" s="1313">
        <v>1040</v>
      </c>
      <c r="C15" s="326"/>
      <c r="D15" s="326"/>
      <c r="E15" s="326"/>
      <c r="F15" s="326"/>
    </row>
    <row r="16" spans="1:6">
      <c r="A16" s="1312" t="s">
        <v>6</v>
      </c>
      <c r="B16" s="1313">
        <v>1439</v>
      </c>
      <c r="C16" s="326"/>
      <c r="D16" s="326"/>
      <c r="E16" s="326"/>
      <c r="F16" s="326"/>
    </row>
    <row r="17" spans="1:6">
      <c r="A17" s="1312" t="s">
        <v>7</v>
      </c>
      <c r="B17" s="1313">
        <v>1014</v>
      </c>
      <c r="C17" s="326"/>
      <c r="D17" s="326"/>
      <c r="E17" s="326"/>
      <c r="F17" s="326"/>
    </row>
    <row r="18" spans="1:6">
      <c r="A18" s="1312" t="s">
        <v>8</v>
      </c>
      <c r="B18" s="1313">
        <v>1449</v>
      </c>
      <c r="C18" s="326"/>
      <c r="D18" s="326"/>
      <c r="E18" s="326"/>
      <c r="F18" s="326"/>
    </row>
    <row r="19" spans="1:6">
      <c r="A19" s="1312" t="s">
        <v>9</v>
      </c>
      <c r="B19" s="1313">
        <v>1437</v>
      </c>
      <c r="C19" s="326"/>
      <c r="D19" s="326"/>
      <c r="E19" s="326"/>
      <c r="F19" s="326"/>
    </row>
    <row r="20" spans="1:6">
      <c r="A20" s="1312" t="s">
        <v>10</v>
      </c>
      <c r="B20" s="1313">
        <v>1450</v>
      </c>
      <c r="C20" s="326"/>
      <c r="D20" s="326"/>
      <c r="E20" s="326"/>
      <c r="F20" s="326"/>
    </row>
    <row r="21" spans="1:6">
      <c r="A21" s="1312" t="s">
        <v>11</v>
      </c>
      <c r="B21" s="1313">
        <v>2740</v>
      </c>
      <c r="C21" s="326"/>
      <c r="D21" s="326"/>
      <c r="E21" s="326"/>
      <c r="F21" s="326"/>
    </row>
    <row r="22" spans="1:6">
      <c r="A22" s="1312" t="s">
        <v>12</v>
      </c>
      <c r="B22" s="1313">
        <v>12042</v>
      </c>
      <c r="C22" s="326"/>
      <c r="D22" s="326"/>
      <c r="E22" s="326"/>
      <c r="F22" s="326"/>
    </row>
    <row r="23" spans="1:6">
      <c r="A23" s="1312" t="s">
        <v>13</v>
      </c>
      <c r="B23" s="1313">
        <v>155</v>
      </c>
      <c r="C23" s="326"/>
      <c r="D23" s="326"/>
      <c r="E23" s="326"/>
      <c r="F23" s="326"/>
    </row>
    <row r="24" spans="1:6">
      <c r="A24" s="1312" t="s">
        <v>14</v>
      </c>
      <c r="B24" s="1313">
        <v>8</v>
      </c>
      <c r="C24" s="326"/>
      <c r="D24" s="326"/>
      <c r="E24" s="326"/>
      <c r="F24" s="326"/>
    </row>
    <row r="25" spans="1:6">
      <c r="A25" s="1312" t="s">
        <v>15</v>
      </c>
      <c r="B25" s="1313">
        <v>834</v>
      </c>
      <c r="C25" s="326"/>
      <c r="D25" s="326"/>
      <c r="E25" s="326"/>
      <c r="F25" s="326"/>
    </row>
    <row r="26" spans="1:6">
      <c r="A26" s="1312" t="s">
        <v>16</v>
      </c>
      <c r="B26" s="1313">
        <v>922</v>
      </c>
      <c r="C26" s="326"/>
      <c r="D26" s="326"/>
      <c r="E26" s="326"/>
      <c r="F26" s="326"/>
    </row>
    <row r="27" spans="1:6">
      <c r="A27" s="1312" t="s">
        <v>17</v>
      </c>
      <c r="B27" s="1313">
        <v>192</v>
      </c>
      <c r="C27" s="326"/>
      <c r="D27" s="326"/>
      <c r="E27" s="326"/>
      <c r="F27" s="326"/>
    </row>
    <row r="28" spans="1:6" s="43" customFormat="1">
      <c r="A28" s="1314" t="s">
        <v>18</v>
      </c>
      <c r="B28" s="1315">
        <v>172913</v>
      </c>
      <c r="C28" s="332"/>
      <c r="D28" s="332"/>
      <c r="E28" s="332"/>
      <c r="F28" s="332"/>
    </row>
    <row r="29" spans="1:6">
      <c r="A29" s="1314" t="s">
        <v>684</v>
      </c>
      <c r="B29" s="1315">
        <v>299</v>
      </c>
      <c r="C29" s="332"/>
      <c r="D29" s="332"/>
      <c r="E29" s="332"/>
      <c r="F29" s="332"/>
    </row>
    <row r="30" spans="1:6">
      <c r="A30" s="1307" t="s">
        <v>685</v>
      </c>
      <c r="B30" s="1316">
        <v>80</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11</v>
      </c>
      <c r="F35" s="1313">
        <v>677810.12282700301</v>
      </c>
    </row>
    <row r="36" spans="1:6">
      <c r="A36" s="1312" t="s">
        <v>24</v>
      </c>
      <c r="B36" s="1312" t="s">
        <v>26</v>
      </c>
      <c r="C36" s="1313">
        <v>13</v>
      </c>
      <c r="D36" s="1313">
        <v>1962922.92134743</v>
      </c>
      <c r="E36" s="1313">
        <v>40</v>
      </c>
      <c r="F36" s="1313">
        <v>1074505.1365251299</v>
      </c>
    </row>
    <row r="37" spans="1:6">
      <c r="A37" s="1312" t="s">
        <v>24</v>
      </c>
      <c r="B37" s="1312" t="s">
        <v>27</v>
      </c>
      <c r="C37" s="1313">
        <v>0</v>
      </c>
      <c r="D37" s="1313">
        <v>0</v>
      </c>
      <c r="E37" s="1313">
        <v>0</v>
      </c>
      <c r="F37" s="1313">
        <v>0</v>
      </c>
    </row>
    <row r="38" spans="1:6">
      <c r="A38" s="1312" t="s">
        <v>24</v>
      </c>
      <c r="B38" s="1312" t="s">
        <v>28</v>
      </c>
      <c r="C38" s="1313">
        <v>1</v>
      </c>
      <c r="D38" s="1313">
        <v>20403.5879027394</v>
      </c>
      <c r="E38" s="1313">
        <v>1</v>
      </c>
      <c r="F38" s="1313">
        <v>113894.20052776999</v>
      </c>
    </row>
    <row r="39" spans="1:6">
      <c r="A39" s="1312" t="s">
        <v>29</v>
      </c>
      <c r="B39" s="1312" t="s">
        <v>30</v>
      </c>
      <c r="C39" s="1313">
        <v>45733</v>
      </c>
      <c r="D39" s="1313">
        <v>635621200.56886601</v>
      </c>
      <c r="E39" s="1313">
        <v>53982</v>
      </c>
      <c r="F39" s="1313">
        <v>161370457.97407058</v>
      </c>
    </row>
    <row r="40" spans="1:6">
      <c r="A40" s="1312" t="s">
        <v>29</v>
      </c>
      <c r="B40" s="1312" t="s">
        <v>28</v>
      </c>
      <c r="C40" s="1313">
        <v>1</v>
      </c>
      <c r="D40" s="1313">
        <v>34723.4666001472</v>
      </c>
      <c r="E40" s="1313">
        <v>0</v>
      </c>
      <c r="F40" s="1313">
        <v>0</v>
      </c>
    </row>
    <row r="41" spans="1:6">
      <c r="A41" s="1312" t="s">
        <v>31</v>
      </c>
      <c r="B41" s="1312" t="s">
        <v>32</v>
      </c>
      <c r="C41" s="1313">
        <v>573</v>
      </c>
      <c r="D41" s="1313">
        <v>27168733.024377301</v>
      </c>
      <c r="E41" s="1313">
        <v>1031</v>
      </c>
      <c r="F41" s="1313">
        <v>21713575.141442999</v>
      </c>
    </row>
    <row r="42" spans="1:6">
      <c r="A42" s="1312" t="s">
        <v>31</v>
      </c>
      <c r="B42" s="1312" t="s">
        <v>33</v>
      </c>
      <c r="C42" s="1313">
        <v>6</v>
      </c>
      <c r="D42" s="1313">
        <v>51574908.633157298</v>
      </c>
      <c r="E42" s="1313">
        <v>9</v>
      </c>
      <c r="F42" s="1313">
        <v>4384838.0243588397</v>
      </c>
    </row>
    <row r="43" spans="1:6">
      <c r="A43" s="1312" t="s">
        <v>31</v>
      </c>
      <c r="B43" s="1312" t="s">
        <v>34</v>
      </c>
      <c r="C43" s="1313">
        <v>0</v>
      </c>
      <c r="D43" s="1313">
        <v>0</v>
      </c>
      <c r="E43" s="1313">
        <v>0</v>
      </c>
      <c r="F43" s="1313">
        <v>0</v>
      </c>
    </row>
    <row r="44" spans="1:6">
      <c r="A44" s="1312" t="s">
        <v>31</v>
      </c>
      <c r="B44" s="1312" t="s">
        <v>35</v>
      </c>
      <c r="C44" s="1313">
        <v>64</v>
      </c>
      <c r="D44" s="1313">
        <v>26384769.823337901</v>
      </c>
      <c r="E44" s="1313">
        <v>120</v>
      </c>
      <c r="F44" s="1313">
        <v>25128527.7460992</v>
      </c>
    </row>
    <row r="45" spans="1:6">
      <c r="A45" s="1312" t="s">
        <v>31</v>
      </c>
      <c r="B45" s="1312" t="s">
        <v>36</v>
      </c>
      <c r="C45" s="1313">
        <v>8</v>
      </c>
      <c r="D45" s="1313">
        <v>30776044.378437798</v>
      </c>
      <c r="E45" s="1313">
        <v>21</v>
      </c>
      <c r="F45" s="1313">
        <v>10172739.0710016</v>
      </c>
    </row>
    <row r="46" spans="1:6">
      <c r="A46" s="1312" t="s">
        <v>31</v>
      </c>
      <c r="B46" s="1312" t="s">
        <v>37</v>
      </c>
      <c r="C46" s="1313">
        <v>0</v>
      </c>
      <c r="D46" s="1313">
        <v>0</v>
      </c>
      <c r="E46" s="1313">
        <v>0</v>
      </c>
      <c r="F46" s="1313">
        <v>0</v>
      </c>
    </row>
    <row r="47" spans="1:6">
      <c r="A47" s="1312" t="s">
        <v>31</v>
      </c>
      <c r="B47" s="1312" t="s">
        <v>38</v>
      </c>
      <c r="C47" s="1313">
        <v>48</v>
      </c>
      <c r="D47" s="1313">
        <v>1988118.8280420101</v>
      </c>
      <c r="E47" s="1313">
        <v>60</v>
      </c>
      <c r="F47" s="1313">
        <v>3776620.6160974102</v>
      </c>
    </row>
    <row r="48" spans="1:6">
      <c r="A48" s="1312" t="s">
        <v>31</v>
      </c>
      <c r="B48" s="1312" t="s">
        <v>28</v>
      </c>
      <c r="C48" s="1313">
        <v>2</v>
      </c>
      <c r="D48" s="1313">
        <v>20395.331930267799</v>
      </c>
      <c r="E48" s="1313">
        <v>2</v>
      </c>
      <c r="F48" s="1313">
        <v>4407.3129306784003</v>
      </c>
    </row>
    <row r="49" spans="1:6">
      <c r="A49" s="1312" t="s">
        <v>31</v>
      </c>
      <c r="B49" s="1312" t="s">
        <v>39</v>
      </c>
      <c r="C49" s="1313">
        <v>23</v>
      </c>
      <c r="D49" s="1313">
        <v>1079898.39703862</v>
      </c>
      <c r="E49" s="1313">
        <v>36</v>
      </c>
      <c r="F49" s="1313">
        <v>455983.02209996502</v>
      </c>
    </row>
    <row r="50" spans="1:6">
      <c r="A50" s="1312" t="s">
        <v>31</v>
      </c>
      <c r="B50" s="1312" t="s">
        <v>40</v>
      </c>
      <c r="C50" s="1313">
        <v>119</v>
      </c>
      <c r="D50" s="1313">
        <v>54160291.7379025</v>
      </c>
      <c r="E50" s="1313">
        <v>148</v>
      </c>
      <c r="F50" s="1313">
        <v>26696173.174399398</v>
      </c>
    </row>
    <row r="51" spans="1:6">
      <c r="A51" s="1312" t="s">
        <v>41</v>
      </c>
      <c r="B51" s="1312" t="s">
        <v>42</v>
      </c>
      <c r="C51" s="1313">
        <v>59</v>
      </c>
      <c r="D51" s="1313">
        <v>7496016.9542603297</v>
      </c>
      <c r="E51" s="1313">
        <v>203</v>
      </c>
      <c r="F51" s="1313">
        <v>4318478.7066465197</v>
      </c>
    </row>
    <row r="52" spans="1:6">
      <c r="A52" s="1312" t="s">
        <v>41</v>
      </c>
      <c r="B52" s="1312" t="s">
        <v>28</v>
      </c>
      <c r="C52" s="1313">
        <v>0</v>
      </c>
      <c r="D52" s="1313">
        <v>0</v>
      </c>
      <c r="E52" s="1313">
        <v>0</v>
      </c>
      <c r="F52" s="1313">
        <v>0</v>
      </c>
    </row>
    <row r="53" spans="1:6">
      <c r="A53" s="1312" t="s">
        <v>43</v>
      </c>
      <c r="B53" s="1312" t="s">
        <v>44</v>
      </c>
      <c r="C53" s="1313">
        <v>1609</v>
      </c>
      <c r="D53" s="1313">
        <v>24283756.160473298</v>
      </c>
      <c r="E53" s="1313">
        <v>2807</v>
      </c>
      <c r="F53" s="1313">
        <v>10437279.5054955</v>
      </c>
    </row>
    <row r="54" spans="1:6">
      <c r="A54" s="1312" t="s">
        <v>45</v>
      </c>
      <c r="B54" s="1312" t="s">
        <v>46</v>
      </c>
      <c r="C54" s="1313">
        <v>0</v>
      </c>
      <c r="D54" s="1313">
        <v>0</v>
      </c>
      <c r="E54" s="1313">
        <v>2</v>
      </c>
      <c r="F54" s="1313">
        <v>7820463.2944089603</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584</v>
      </c>
      <c r="D57" s="1313">
        <v>63059910.729061499</v>
      </c>
      <c r="E57" s="1313">
        <v>805</v>
      </c>
      <c r="F57" s="1313">
        <v>32243815.986602299</v>
      </c>
    </row>
    <row r="58" spans="1:6">
      <c r="A58" s="1312" t="s">
        <v>48</v>
      </c>
      <c r="B58" s="1312" t="s">
        <v>50</v>
      </c>
      <c r="C58" s="1313">
        <v>502</v>
      </c>
      <c r="D58" s="1313">
        <v>49862416.846759297</v>
      </c>
      <c r="E58" s="1313">
        <v>616</v>
      </c>
      <c r="F58" s="1313">
        <v>31862554.423725098</v>
      </c>
    </row>
    <row r="59" spans="1:6">
      <c r="A59" s="1312" t="s">
        <v>48</v>
      </c>
      <c r="B59" s="1312" t="s">
        <v>51</v>
      </c>
      <c r="C59" s="1313">
        <v>1394</v>
      </c>
      <c r="D59" s="1313">
        <v>54997429.597867101</v>
      </c>
      <c r="E59" s="1313">
        <v>2118</v>
      </c>
      <c r="F59" s="1313">
        <v>77444529.204489201</v>
      </c>
    </row>
    <row r="60" spans="1:6">
      <c r="A60" s="1312" t="s">
        <v>48</v>
      </c>
      <c r="B60" s="1312" t="s">
        <v>52</v>
      </c>
      <c r="C60" s="1313">
        <v>1215</v>
      </c>
      <c r="D60" s="1313">
        <v>87334508.840399995</v>
      </c>
      <c r="E60" s="1313">
        <v>1402</v>
      </c>
      <c r="F60" s="1313">
        <v>49044820.013719603</v>
      </c>
    </row>
    <row r="61" spans="1:6">
      <c r="A61" s="1312" t="s">
        <v>48</v>
      </c>
      <c r="B61" s="1312" t="s">
        <v>53</v>
      </c>
      <c r="C61" s="1313">
        <v>2025</v>
      </c>
      <c r="D61" s="1313">
        <v>103948623.93712801</v>
      </c>
      <c r="E61" s="1313">
        <v>3792</v>
      </c>
      <c r="F61" s="1313">
        <v>96017196.748314604</v>
      </c>
    </row>
    <row r="62" spans="1:6">
      <c r="A62" s="1312" t="s">
        <v>48</v>
      </c>
      <c r="B62" s="1312" t="s">
        <v>54</v>
      </c>
      <c r="C62" s="1313">
        <v>343</v>
      </c>
      <c r="D62" s="1313">
        <v>57348225.0165141</v>
      </c>
      <c r="E62" s="1313">
        <v>531</v>
      </c>
      <c r="F62" s="1313">
        <v>19812320.114204202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1</v>
      </c>
      <c r="D65" s="1313">
        <v>1824.7431242396999</v>
      </c>
      <c r="E65" s="1313">
        <v>3</v>
      </c>
      <c r="F65" s="1313">
        <v>67705.444577261806</v>
      </c>
    </row>
    <row r="66" spans="1:6">
      <c r="A66" s="1312" t="s">
        <v>55</v>
      </c>
      <c r="B66" s="1312" t="s">
        <v>57</v>
      </c>
      <c r="C66" s="1313">
        <v>11</v>
      </c>
      <c r="D66" s="1313">
        <v>1403371.8845392801</v>
      </c>
      <c r="E66" s="1313">
        <v>141</v>
      </c>
      <c r="F66" s="1313">
        <v>7325042.45349856</v>
      </c>
    </row>
    <row r="67" spans="1:6">
      <c r="A67" s="1314" t="s">
        <v>55</v>
      </c>
      <c r="B67" s="1314" t="s">
        <v>58</v>
      </c>
      <c r="C67" s="1313">
        <v>0</v>
      </c>
      <c r="D67" s="1313">
        <v>0</v>
      </c>
      <c r="E67" s="1313">
        <v>0</v>
      </c>
      <c r="F67" s="1313">
        <v>0</v>
      </c>
    </row>
    <row r="68" spans="1:6">
      <c r="A68" s="1307" t="s">
        <v>55</v>
      </c>
      <c r="B68" s="1307" t="s">
        <v>59</v>
      </c>
      <c r="C68" s="1316">
        <v>39</v>
      </c>
      <c r="D68" s="1316">
        <v>1792077.07608317</v>
      </c>
      <c r="E68" s="1316">
        <v>92</v>
      </c>
      <c r="F68" s="1316">
        <v>3371204.3026674702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552447542</v>
      </c>
      <c r="E73" s="447"/>
      <c r="F73" s="326"/>
    </row>
    <row r="74" spans="1:6">
      <c r="A74" s="1312" t="s">
        <v>63</v>
      </c>
      <c r="B74" s="1312" t="s">
        <v>638</v>
      </c>
      <c r="C74" s="1326" t="s">
        <v>640</v>
      </c>
      <c r="D74" s="1327">
        <v>55379436.39491263</v>
      </c>
      <c r="E74" s="447"/>
      <c r="F74" s="326"/>
    </row>
    <row r="75" spans="1:6">
      <c r="A75" s="1312" t="s">
        <v>64</v>
      </c>
      <c r="B75" s="1312" t="s">
        <v>637</v>
      </c>
      <c r="C75" s="1326" t="s">
        <v>641</v>
      </c>
      <c r="D75" s="1327">
        <v>146220003</v>
      </c>
      <c r="E75" s="447"/>
      <c r="F75" s="326"/>
    </row>
    <row r="76" spans="1:6">
      <c r="A76" s="1312" t="s">
        <v>64</v>
      </c>
      <c r="B76" s="1312" t="s">
        <v>638</v>
      </c>
      <c r="C76" s="1326" t="s">
        <v>642</v>
      </c>
      <c r="D76" s="1327">
        <v>5999687.3949126303</v>
      </c>
      <c r="E76" s="447"/>
      <c r="F76" s="326"/>
    </row>
    <row r="77" spans="1:6">
      <c r="A77" s="1312" t="s">
        <v>65</v>
      </c>
      <c r="B77" s="1312" t="s">
        <v>637</v>
      </c>
      <c r="C77" s="1326" t="s">
        <v>643</v>
      </c>
      <c r="D77" s="1327">
        <v>93701928</v>
      </c>
      <c r="E77" s="447"/>
      <c r="F77" s="326"/>
    </row>
    <row r="78" spans="1:6">
      <c r="A78" s="1307" t="s">
        <v>65</v>
      </c>
      <c r="B78" s="1307" t="s">
        <v>638</v>
      </c>
      <c r="C78" s="1307" t="s">
        <v>644</v>
      </c>
      <c r="D78" s="1328">
        <v>14888532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6098133.2101747403</v>
      </c>
      <c r="C83" s="447"/>
      <c r="D83" s="326"/>
      <c r="E83" s="326"/>
      <c r="F83" s="326"/>
    </row>
    <row r="84" spans="1:6">
      <c r="A84" s="1307" t="s">
        <v>330</v>
      </c>
      <c r="B84" s="1328">
        <v>236528.81391824601</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161232.31004406849</v>
      </c>
      <c r="C90" s="326"/>
      <c r="D90" s="326"/>
      <c r="E90" s="326"/>
      <c r="F90" s="326"/>
    </row>
    <row r="91" spans="1:6">
      <c r="A91" s="1312" t="s">
        <v>67</v>
      </c>
      <c r="B91" s="1313">
        <v>21166.564195870367</v>
      </c>
      <c r="C91" s="326"/>
      <c r="D91" s="326"/>
      <c r="E91" s="326"/>
      <c r="F91" s="326"/>
    </row>
    <row r="92" spans="1:6">
      <c r="A92" s="1307" t="s">
        <v>68</v>
      </c>
      <c r="B92" s="1308">
        <v>20430.255593118054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33975</v>
      </c>
      <c r="C97" s="326"/>
      <c r="D97" s="326"/>
      <c r="E97" s="326"/>
      <c r="F97" s="326"/>
    </row>
    <row r="98" spans="1:6">
      <c r="A98" s="1312" t="s">
        <v>71</v>
      </c>
      <c r="B98" s="1313">
        <v>8</v>
      </c>
      <c r="C98" s="326"/>
      <c r="D98" s="326"/>
      <c r="E98" s="326"/>
      <c r="F98" s="326"/>
    </row>
    <row r="99" spans="1:6">
      <c r="A99" s="1312" t="s">
        <v>72</v>
      </c>
      <c r="B99" s="1313">
        <v>191</v>
      </c>
      <c r="C99" s="326"/>
      <c r="D99" s="326"/>
      <c r="E99" s="326"/>
      <c r="F99" s="326"/>
    </row>
    <row r="100" spans="1:6">
      <c r="A100" s="1312" t="s">
        <v>73</v>
      </c>
      <c r="B100" s="1313">
        <v>3941</v>
      </c>
      <c r="C100" s="326"/>
      <c r="D100" s="326"/>
      <c r="E100" s="326"/>
      <c r="F100" s="326"/>
    </row>
    <row r="101" spans="1:6">
      <c r="A101" s="1312" t="s">
        <v>74</v>
      </c>
      <c r="B101" s="1313">
        <v>356</v>
      </c>
      <c r="C101" s="326"/>
      <c r="D101" s="326"/>
      <c r="E101" s="326"/>
      <c r="F101" s="326"/>
    </row>
    <row r="102" spans="1:6">
      <c r="A102" s="1312" t="s">
        <v>75</v>
      </c>
      <c r="B102" s="1313">
        <v>1147</v>
      </c>
      <c r="C102" s="326"/>
      <c r="D102" s="326"/>
      <c r="E102" s="326"/>
      <c r="F102" s="326"/>
    </row>
    <row r="103" spans="1:6">
      <c r="A103" s="1312" t="s">
        <v>76</v>
      </c>
      <c r="B103" s="1313">
        <v>613</v>
      </c>
      <c r="C103" s="326"/>
      <c r="D103" s="326"/>
      <c r="E103" s="326"/>
      <c r="F103" s="326"/>
    </row>
    <row r="104" spans="1:6">
      <c r="A104" s="1312" t="s">
        <v>77</v>
      </c>
      <c r="B104" s="1313">
        <v>8219</v>
      </c>
      <c r="C104" s="326"/>
      <c r="D104" s="326"/>
      <c r="E104" s="326"/>
      <c r="F104" s="326"/>
    </row>
    <row r="105" spans="1:6">
      <c r="A105" s="1307" t="s">
        <v>78</v>
      </c>
      <c r="B105" s="1316">
        <v>33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4</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8</v>
      </c>
      <c r="C121" s="1313">
        <v>0</v>
      </c>
      <c r="D121" s="326"/>
      <c r="E121" s="326"/>
      <c r="F121" s="326"/>
    </row>
    <row r="122" spans="1:6">
      <c r="A122" s="1312" t="s">
        <v>86</v>
      </c>
      <c r="B122" s="1313">
        <v>1</v>
      </c>
      <c r="C122" s="1313">
        <v>0</v>
      </c>
      <c r="D122" s="326"/>
      <c r="E122" s="326"/>
      <c r="F122" s="326"/>
    </row>
    <row r="123" spans="1:6">
      <c r="A123" s="1312" t="s">
        <v>87</v>
      </c>
      <c r="B123" s="1313">
        <v>98</v>
      </c>
      <c r="C123" s="1313">
        <v>219</v>
      </c>
      <c r="D123" s="326"/>
      <c r="E123" s="326"/>
      <c r="F123" s="326"/>
    </row>
    <row r="124" spans="1:6" s="43" customFormat="1">
      <c r="A124" s="1314" t="s">
        <v>88</v>
      </c>
      <c r="B124" s="1335">
        <v>7</v>
      </c>
      <c r="C124" s="1335">
        <v>9</v>
      </c>
      <c r="D124" s="332"/>
      <c r="E124" s="332"/>
      <c r="F124" s="332"/>
    </row>
    <row r="125" spans="1:6">
      <c r="A125" s="1307" t="s">
        <v>786</v>
      </c>
      <c r="B125" s="1335">
        <v>2</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828</v>
      </c>
      <c r="C129" s="326"/>
      <c r="D129" s="326"/>
      <c r="E129" s="326"/>
      <c r="F129" s="326"/>
    </row>
    <row r="130" spans="1:6">
      <c r="A130" s="1312" t="s">
        <v>290</v>
      </c>
      <c r="B130" s="1313">
        <v>17</v>
      </c>
      <c r="C130" s="326"/>
      <c r="D130" s="326"/>
      <c r="E130" s="326"/>
      <c r="F130" s="326"/>
    </row>
    <row r="131" spans="1:6">
      <c r="A131" s="1312" t="s">
        <v>291</v>
      </c>
      <c r="B131" s="1313">
        <v>19</v>
      </c>
      <c r="C131" s="326"/>
      <c r="D131" s="326"/>
      <c r="E131" s="326"/>
      <c r="F131" s="326"/>
    </row>
    <row r="132" spans="1:6">
      <c r="A132" s="1307" t="s">
        <v>292</v>
      </c>
      <c r="B132" s="1308">
        <v>66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607071.3558456474</v>
      </c>
      <c r="C3" s="43" t="s">
        <v>169</v>
      </c>
      <c r="D3" s="43"/>
      <c r="E3" s="154"/>
      <c r="F3" s="43"/>
      <c r="G3" s="43"/>
      <c r="H3" s="43"/>
      <c r="I3" s="43"/>
      <c r="J3" s="43"/>
      <c r="K3" s="96"/>
    </row>
    <row r="4" spans="1:11">
      <c r="A4" s="354" t="s">
        <v>170</v>
      </c>
      <c r="B4" s="49">
        <f>IF(ISERROR('SEAP template'!B78+'SEAP template'!C78),0,'SEAP template'!B78+'SEAP template'!C78)</f>
        <v>203245.37983305691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81.93328638497654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0.1471449330050085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120.21099932930923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610.71428571428589</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0.19683672404799166</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7820.4632944089599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7820.4632944089599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0.1471449330050085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1150.7415475239345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161370.45797407057</v>
      </c>
      <c r="C5" s="17">
        <f>IF(ISERROR('Eigen informatie GS &amp; warmtenet'!B59),0,'Eigen informatie GS &amp; warmtenet'!B59)</f>
        <v>0</v>
      </c>
      <c r="D5" s="30">
        <f>(SUM(HH_hh_gas_kWh,HH_rest_gas_kWh)/1000)*0.903</f>
        <v>573997.29940402601</v>
      </c>
      <c r="E5" s="17">
        <f>B32*B41</f>
        <v>6932.7703644889152</v>
      </c>
      <c r="F5" s="17">
        <f>B36*B45</f>
        <v>151873.46384059792</v>
      </c>
      <c r="G5" s="18"/>
      <c r="H5" s="17"/>
      <c r="I5" s="17"/>
      <c r="J5" s="17">
        <f>B35*B44+C35*C44</f>
        <v>865.54348139908598</v>
      </c>
      <c r="K5" s="17"/>
      <c r="L5" s="17"/>
      <c r="M5" s="17"/>
      <c r="N5" s="17">
        <f>B34*B43+C34*C43</f>
        <v>67687.881092849741</v>
      </c>
      <c r="O5" s="17">
        <f>B52*B53*B54</f>
        <v>2095.0598796727058</v>
      </c>
      <c r="P5" s="17">
        <f>B60*B61*B62/1000-B60*B61*B62/1000/B63</f>
        <v>1801.3070416141391</v>
      </c>
    </row>
    <row r="6" spans="1:16">
      <c r="A6" s="16" t="s">
        <v>603</v>
      </c>
      <c r="B6" s="780">
        <f>kWh_PV_kleiner_dan_10kW</f>
        <v>21166.564195870367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182537.02216994093</v>
      </c>
      <c r="C8" s="21">
        <f>C5</f>
        <v>0</v>
      </c>
      <c r="D8" s="21">
        <f>D5</f>
        <v>573997.29940402601</v>
      </c>
      <c r="E8" s="21">
        <f>E5</f>
        <v>6932.7703644889152</v>
      </c>
      <c r="F8" s="21">
        <f>F5</f>
        <v>151873.46384059792</v>
      </c>
      <c r="G8" s="21"/>
      <c r="H8" s="21"/>
      <c r="I8" s="21"/>
      <c r="J8" s="21">
        <f>J5</f>
        <v>865.54348139908598</v>
      </c>
      <c r="K8" s="21"/>
      <c r="L8" s="21">
        <f>L5</f>
        <v>0</v>
      </c>
      <c r="M8" s="21">
        <f>M5</f>
        <v>0</v>
      </c>
      <c r="N8" s="21">
        <f>N5</f>
        <v>67687.881092849741</v>
      </c>
      <c r="O8" s="21">
        <f>O5</f>
        <v>2095.0598796727058</v>
      </c>
      <c r="P8" s="21">
        <f>P5</f>
        <v>1801.3070416141391</v>
      </c>
    </row>
    <row r="9" spans="1:16">
      <c r="B9" s="19"/>
      <c r="C9" s="19"/>
      <c r="D9" s="254"/>
      <c r="E9" s="19"/>
      <c r="F9" s="19"/>
      <c r="G9" s="19"/>
      <c r="H9" s="19"/>
      <c r="I9" s="19"/>
      <c r="J9" s="19"/>
      <c r="K9" s="19"/>
      <c r="L9" s="19"/>
      <c r="M9" s="19"/>
      <c r="N9" s="19"/>
      <c r="O9" s="19"/>
      <c r="P9" s="19"/>
    </row>
    <row r="10" spans="1:16">
      <c r="A10" s="24" t="s">
        <v>213</v>
      </c>
      <c r="B10" s="25">
        <f ca="1">'EF ele_warmte'!B12</f>
        <v>0.1471449330050085</v>
      </c>
      <c r="C10" s="25">
        <f ca="1">'EF ele_warmte'!B22</f>
        <v>0.19683672404799166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26859.397898129708</v>
      </c>
      <c r="C12" s="23">
        <f ca="1">C10*C8</f>
        <v>0</v>
      </c>
      <c r="D12" s="23">
        <f>D8*D10</f>
        <v>115947.45447961325</v>
      </c>
      <c r="E12" s="23">
        <f>E10*E8</f>
        <v>1573.7388727389839</v>
      </c>
      <c r="F12" s="23">
        <f>F10*F8</f>
        <v>40550.214845439645</v>
      </c>
      <c r="G12" s="23"/>
      <c r="H12" s="23"/>
      <c r="I12" s="23"/>
      <c r="J12" s="23">
        <f>J10*J8</f>
        <v>306.40239241527644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54540</v>
      </c>
      <c r="C26" s="36"/>
      <c r="D26" s="225"/>
    </row>
    <row r="27" spans="1:5" s="15" customFormat="1">
      <c r="A27" s="227" t="s">
        <v>866</v>
      </c>
      <c r="B27" s="37">
        <f>SUM(HH_hh_gas_aantal,HH_rest_gas_aantal)</f>
        <v>45734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43447.3</v>
      </c>
      <c r="C31" s="34" t="s">
        <v>110</v>
      </c>
      <c r="D31" s="171"/>
    </row>
    <row r="32" spans="1:5">
      <c r="A32" s="168" t="s">
        <v>72</v>
      </c>
      <c r="B32" s="33">
        <f>IF((B21*($B$26-($B$27-0.05*$B$27)-$B$60))&lt;0,0,(B21*($B$26-($B$27-0.05*$B$27)-$B$60)))</f>
        <v>173.38415757554654</v>
      </c>
      <c r="C32" s="34" t="s">
        <v>110</v>
      </c>
      <c r="D32" s="171"/>
    </row>
    <row r="33" spans="1:6">
      <c r="A33" s="168" t="s">
        <v>73</v>
      </c>
      <c r="B33" s="33">
        <f>IF((B22*($B$26-($B$27-0.05*$B$27)-$B$60))&lt;0,0,B22*($B$26-($B$27-0.05*$B$27)-$B$60))</f>
        <v>2815.4153279337752</v>
      </c>
      <c r="C33" s="34" t="s">
        <v>110</v>
      </c>
      <c r="D33" s="171"/>
    </row>
    <row r="34" spans="1:6">
      <c r="A34" s="168" t="s">
        <v>74</v>
      </c>
      <c r="B34" s="33">
        <f>IF((B24*($B$26-($B$27-0.05*$B$27)-$B$60))&lt;0,0,B24*($B$26-($B$27-0.05*$B$27)-$B$60))</f>
        <v>539.75279555944587</v>
      </c>
      <c r="C34" s="33">
        <f>B26*C24</f>
        <v>11175.56995704892</v>
      </c>
      <c r="D34" s="230"/>
    </row>
    <row r="35" spans="1:6">
      <c r="A35" s="168" t="s">
        <v>76</v>
      </c>
      <c r="B35" s="33">
        <f>IF((B19*($B$26-($B$27-0.05*$B$27)-$B$60))&lt;0,0,B19*($B$26-($B$27-0.05*$B$27)-$B$60))</f>
        <v>75.369679938944202</v>
      </c>
      <c r="C35" s="33">
        <f>B35/2</f>
        <v>37.684839969472101</v>
      </c>
      <c r="D35" s="230"/>
    </row>
    <row r="36" spans="1:6">
      <c r="A36" s="168" t="s">
        <v>77</v>
      </c>
      <c r="B36" s="33">
        <f>IF((B18*($B$26-($B$27-0.05*$B$27)-$B$60))&lt;0,0,B18*($B$26-($B$27-0.05*$B$27)-$B$60))</f>
        <v>7317.7780389922827</v>
      </c>
      <c r="C36" s="34" t="s">
        <v>110</v>
      </c>
      <c r="D36" s="171"/>
    </row>
    <row r="37" spans="1:6">
      <c r="A37" s="168" t="s">
        <v>78</v>
      </c>
      <c r="B37" s="33">
        <f>B60</f>
        <v>171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1056</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171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306425.23649105499</v>
      </c>
      <c r="C5" s="17">
        <f>IF(ISERROR('Eigen informatie GS &amp; warmtenet'!B60),0,'Eigen informatie GS &amp; warmtenet'!B60)</f>
        <v>0</v>
      </c>
      <c r="D5" s="30">
        <f>SUM(D6:D12)</f>
        <v>376145.65681586019</v>
      </c>
      <c r="E5" s="17">
        <f>SUM(E6:E12)</f>
        <v>1059.9649042454664</v>
      </c>
      <c r="F5" s="17">
        <f>SUM(F6:F12)</f>
        <v>53283.128935671695</v>
      </c>
      <c r="G5" s="18"/>
      <c r="H5" s="17"/>
      <c r="I5" s="17"/>
      <c r="J5" s="17">
        <f>SUM(J6:J12)</f>
        <v>0.32611950461789979</v>
      </c>
      <c r="K5" s="17"/>
      <c r="L5" s="17"/>
      <c r="M5" s="17"/>
      <c r="N5" s="17">
        <f>SUM(N6:N12)</f>
        <v>12797.607060965722</v>
      </c>
      <c r="O5" s="17">
        <f>B38*B39*B40</f>
        <v>83.253433019299621</v>
      </c>
      <c r="P5" s="17">
        <f>B46*B47*B48/1000-B46*B47*B48/1000/B49</f>
        <v>1576.1741491948503</v>
      </c>
      <c r="R5" s="32"/>
    </row>
    <row r="6" spans="1:18">
      <c r="A6" s="32" t="s">
        <v>53</v>
      </c>
      <c r="B6" s="37">
        <f>B26</f>
        <v>96017.1967483146</v>
      </c>
      <c r="C6" s="33"/>
      <c r="D6" s="37">
        <f>IF(ISERROR(TER_kantoor_gas_kWh/1000),0,TER_kantoor_gas_kWh/1000)*0.903</f>
        <v>93865.607415226594</v>
      </c>
      <c r="E6" s="33">
        <f>$C$26*'E Balans VL '!I12/100/3.6*1000000</f>
        <v>22.878067909194026</v>
      </c>
      <c r="F6" s="33">
        <f>$C$26*('E Balans VL '!L12+'E Balans VL '!N12)/100/3.6*1000000</f>
        <v>8340.0341363521875</v>
      </c>
      <c r="G6" s="34"/>
      <c r="H6" s="33"/>
      <c r="I6" s="33"/>
      <c r="J6" s="33">
        <f>$C$26*('E Balans VL '!D12+'E Balans VL '!E12)/100/3.6*1000000</f>
        <v>0</v>
      </c>
      <c r="K6" s="33"/>
      <c r="L6" s="33"/>
      <c r="M6" s="33"/>
      <c r="N6" s="33">
        <f>$C$26*'E Balans VL '!Y12/100/3.6*1000000</f>
        <v>128.34041627905987</v>
      </c>
      <c r="O6" s="33"/>
      <c r="P6" s="33"/>
      <c r="R6" s="32"/>
    </row>
    <row r="7" spans="1:18">
      <c r="A7" s="32" t="s">
        <v>52</v>
      </c>
      <c r="B7" s="37">
        <f t="shared" ref="B7:B12" si="0">B27</f>
        <v>49044.820013719604</v>
      </c>
      <c r="C7" s="33"/>
      <c r="D7" s="37">
        <f>IF(ISERROR(TER_horeca_gas_kWh/1000),0,TER_horeca_gas_kWh/1000)*0.903</f>
        <v>78863.061482881196</v>
      </c>
      <c r="E7" s="33">
        <f>$C$27*'E Balans VL '!I9/100/3.6*1000000</f>
        <v>0</v>
      </c>
      <c r="F7" s="33">
        <f>$C$27*('E Balans VL '!L9+'E Balans VL '!N9)/100/3.6*1000000</f>
        <v>3996.2652466644604</v>
      </c>
      <c r="G7" s="34"/>
      <c r="H7" s="33"/>
      <c r="I7" s="33"/>
      <c r="J7" s="33">
        <f>$C$27*('E Balans VL '!D9+'E Balans VL '!E9)/100/3.6*1000000</f>
        <v>0</v>
      </c>
      <c r="K7" s="33"/>
      <c r="L7" s="33"/>
      <c r="M7" s="33"/>
      <c r="N7" s="33">
        <f>$C$27*'E Balans VL '!Y9/100/3.6*1000000</f>
        <v>13.584502059182551</v>
      </c>
      <c r="O7" s="33"/>
      <c r="P7" s="33"/>
      <c r="R7" s="32"/>
    </row>
    <row r="8" spans="1:18">
      <c r="A8" s="6" t="s">
        <v>51</v>
      </c>
      <c r="B8" s="37">
        <f t="shared" si="0"/>
        <v>77444.529204489198</v>
      </c>
      <c r="C8" s="33"/>
      <c r="D8" s="37">
        <f>IF(ISERROR(TER_handel_gas_kWh/1000),0,TER_handel_gas_kWh/1000)*0.903</f>
        <v>49662.678926873996</v>
      </c>
      <c r="E8" s="33">
        <f>$C$28*'E Balans VL '!I13/100/3.6*1000000</f>
        <v>619.06171923222018</v>
      </c>
      <c r="F8" s="33">
        <f>$C$28*('E Balans VL '!L13+'E Balans VL '!N13)/100/3.6*1000000</f>
        <v>7693.632553183912</v>
      </c>
      <c r="G8" s="34"/>
      <c r="H8" s="33"/>
      <c r="I8" s="33"/>
      <c r="J8" s="33">
        <f>$C$28*('E Balans VL '!D13+'E Balans VL '!E13)/100/3.6*1000000</f>
        <v>0</v>
      </c>
      <c r="K8" s="33"/>
      <c r="L8" s="33"/>
      <c r="M8" s="33"/>
      <c r="N8" s="33">
        <f>$C$28*'E Balans VL '!Y13/100/3.6*1000000</f>
        <v>28.930141463099719</v>
      </c>
      <c r="O8" s="33"/>
      <c r="P8" s="33"/>
      <c r="R8" s="32"/>
    </row>
    <row r="9" spans="1:18">
      <c r="A9" s="32" t="s">
        <v>50</v>
      </c>
      <c r="B9" s="37">
        <f t="shared" si="0"/>
        <v>31862.554423725098</v>
      </c>
      <c r="C9" s="33"/>
      <c r="D9" s="37">
        <f>IF(ISERROR(TER_gezond_gas_kWh/1000),0,TER_gezond_gas_kWh/1000)*0.903</f>
        <v>45025.762412623648</v>
      </c>
      <c r="E9" s="33">
        <f>$C$29*'E Balans VL '!I10/100/3.6*1000000</f>
        <v>0</v>
      </c>
      <c r="F9" s="33">
        <f>$C$29*('E Balans VL '!L10+'E Balans VL '!N10)/100/3.6*1000000</f>
        <v>2904.7910582440427</v>
      </c>
      <c r="G9" s="34"/>
      <c r="H9" s="33"/>
      <c r="I9" s="33"/>
      <c r="J9" s="33">
        <f>$C$29*('E Balans VL '!D10+'E Balans VL '!E10)/100/3.6*1000000</f>
        <v>0</v>
      </c>
      <c r="K9" s="33"/>
      <c r="L9" s="33"/>
      <c r="M9" s="33"/>
      <c r="N9" s="33">
        <f>$C$29*'E Balans VL '!Y10/100/3.6*1000000</f>
        <v>232.88671888926442</v>
      </c>
      <c r="O9" s="33"/>
      <c r="P9" s="33"/>
      <c r="R9" s="32"/>
    </row>
    <row r="10" spans="1:18">
      <c r="A10" s="32" t="s">
        <v>49</v>
      </c>
      <c r="B10" s="37">
        <f t="shared" si="0"/>
        <v>32243.815986602298</v>
      </c>
      <c r="C10" s="33"/>
      <c r="D10" s="37">
        <f>IF(ISERROR(TER_ander_gas_kWh/1000),0,TER_ander_gas_kWh/1000)*0.903</f>
        <v>56943.099388342533</v>
      </c>
      <c r="E10" s="33">
        <f>$C$30*'E Balans VL '!I14/100/3.6*1000000</f>
        <v>418.0251171040523</v>
      </c>
      <c r="F10" s="33">
        <f>$C$30*('E Balans VL '!L14+'E Balans VL '!N14)/100/3.6*1000000</f>
        <v>29572.106377436154</v>
      </c>
      <c r="G10" s="34"/>
      <c r="H10" s="33"/>
      <c r="I10" s="33"/>
      <c r="J10" s="33">
        <f>$C$30*('E Balans VL '!D14+'E Balans VL '!E14)/100/3.6*1000000</f>
        <v>0.32611950461789979</v>
      </c>
      <c r="K10" s="33"/>
      <c r="L10" s="33"/>
      <c r="M10" s="33"/>
      <c r="N10" s="33">
        <f>$C$30*'E Balans VL '!Y14/100/3.6*1000000</f>
        <v>12331.471391149558</v>
      </c>
      <c r="O10" s="33"/>
      <c r="P10" s="33"/>
      <c r="R10" s="32"/>
    </row>
    <row r="11" spans="1:18">
      <c r="A11" s="32" t="s">
        <v>54</v>
      </c>
      <c r="B11" s="37">
        <f t="shared" si="0"/>
        <v>19812.320114204202</v>
      </c>
      <c r="C11" s="33"/>
      <c r="D11" s="37">
        <f>IF(ISERROR(TER_onderwijs_gas_kWh/1000),0,TER_onderwijs_gas_kWh/1000)*0.903</f>
        <v>51785.447189912236</v>
      </c>
      <c r="E11" s="33">
        <f>$C$31*'E Balans VL '!I11/100/3.6*1000000</f>
        <v>0</v>
      </c>
      <c r="F11" s="33">
        <f>$C$31*('E Balans VL '!L11+'E Balans VL '!N11)/100/3.6*1000000</f>
        <v>776.29956379094199</v>
      </c>
      <c r="G11" s="34"/>
      <c r="H11" s="33"/>
      <c r="I11" s="33"/>
      <c r="J11" s="33">
        <f>$C$31*('E Balans VL '!D11+'E Balans VL '!E11)/100/3.6*1000000</f>
        <v>0</v>
      </c>
      <c r="K11" s="33"/>
      <c r="L11" s="33"/>
      <c r="M11" s="33"/>
      <c r="N11" s="33">
        <f>$C$31*'E Balans VL '!Y11/100/3.6*1000000</f>
        <v>62.393891125557104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387.00000000000006</v>
      </c>
      <c r="C13" s="243">
        <f ca="1">'lokale energieproductie'!O41+'lokale energieproductie'!O34</f>
        <v>552.857142857143</v>
      </c>
      <c r="D13" s="304">
        <f ca="1">('lokale energieproductie'!P34+'lokale energieproductie'!P41)*(-1)</f>
        <v>-900.00000000000023</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-205.71428571428572</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306812.23649105499</v>
      </c>
      <c r="C16" s="21">
        <f t="shared" ca="1" si="1"/>
        <v>552.857142857143</v>
      </c>
      <c r="D16" s="21">
        <f t="shared" ca="1" si="1"/>
        <v>375245.65681586019</v>
      </c>
      <c r="E16" s="21">
        <f t="shared" si="1"/>
        <v>1059.9649042454664</v>
      </c>
      <c r="F16" s="21">
        <f t="shared" ca="1" si="1"/>
        <v>53283.128935671695</v>
      </c>
      <c r="G16" s="21">
        <f t="shared" si="1"/>
        <v>0</v>
      </c>
      <c r="H16" s="21">
        <f t="shared" si="1"/>
        <v>0</v>
      </c>
      <c r="I16" s="21">
        <f t="shared" si="1"/>
        <v>0</v>
      </c>
      <c r="J16" s="21">
        <f t="shared" si="1"/>
        <v>0.32611950461789979</v>
      </c>
      <c r="K16" s="21">
        <f t="shared" si="1"/>
        <v>0</v>
      </c>
      <c r="L16" s="21">
        <f t="shared" ca="1" si="1"/>
        <v>0</v>
      </c>
      <c r="M16" s="21">
        <f t="shared" si="1"/>
        <v>0</v>
      </c>
      <c r="N16" s="21">
        <f t="shared" ca="1" si="1"/>
        <v>12591.892775251436</v>
      </c>
      <c r="O16" s="21">
        <f>O5</f>
        <v>83.253433019299621</v>
      </c>
      <c r="P16" s="21">
        <f>P5</f>
        <v>1576.1741491948503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0.1471449330050085</v>
      </c>
      <c r="C18" s="25">
        <f ca="1">'EF ele_warmte'!B22</f>
        <v>0.19683672404799166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45145.86598359311</v>
      </c>
      <c r="C20" s="23">
        <f t="shared" ref="C20:P20" ca="1" si="2">C16*C18</f>
        <v>108.82258886653256</v>
      </c>
      <c r="D20" s="23">
        <f t="shared" ca="1" si="2"/>
        <v>75799.62267680376</v>
      </c>
      <c r="E20" s="23">
        <f t="shared" si="2"/>
        <v>240.61203326372089</v>
      </c>
      <c r="F20" s="23">
        <f t="shared" ca="1" si="2"/>
        <v>14226.595425824344</v>
      </c>
      <c r="G20" s="23">
        <f t="shared" si="2"/>
        <v>0</v>
      </c>
      <c r="H20" s="23">
        <f t="shared" si="2"/>
        <v>0</v>
      </c>
      <c r="I20" s="23">
        <f t="shared" si="2"/>
        <v>0</v>
      </c>
      <c r="J20" s="23">
        <f t="shared" si="2"/>
        <v>0.11544630463473653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96017.1967483146</v>
      </c>
      <c r="C26" s="39">
        <f>IF(ISERROR(B26*3.6/1000000/'E Balans VL '!Z12*100),0,B26*3.6/1000000/'E Balans VL '!Z12*100)</f>
        <v>2.7547243390006351</v>
      </c>
      <c r="D26" s="233" t="s">
        <v>841</v>
      </c>
      <c r="F26" s="6"/>
    </row>
    <row r="27" spans="1:18" ht="30">
      <c r="A27" s="228" t="s">
        <v>52</v>
      </c>
      <c r="B27" s="33">
        <f>IF(ISERROR(TER_horeca_ele_kWh/1000),0,TER_horeca_ele_kWh/1000)</f>
        <v>49044.820013719604</v>
      </c>
      <c r="C27" s="39">
        <f>IF(ISERROR(B27*3.6/1000000/'E Balans VL '!Z9*100),0,B27*3.6/1000000/'E Balans VL '!Z9*100)</f>
        <v>3.5930408778154193</v>
      </c>
      <c r="D27" s="233" t="s">
        <v>841</v>
      </c>
      <c r="F27" s="6"/>
    </row>
    <row r="28" spans="1:18" ht="30">
      <c r="A28" s="168" t="s">
        <v>51</v>
      </c>
      <c r="B28" s="33">
        <f>IF(ISERROR(TER_handel_ele_kWh/1000),0,TER_handel_ele_kWh/1000)</f>
        <v>77444.529204489198</v>
      </c>
      <c r="C28" s="39">
        <f>IF(ISERROR(B28*3.6/1000000/'E Balans VL '!Z13*100),0,B28*3.6/1000000/'E Balans VL '!Z13*100)</f>
        <v>2.3931012731103936</v>
      </c>
      <c r="D28" s="233" t="s">
        <v>841</v>
      </c>
      <c r="F28" s="6"/>
    </row>
    <row r="29" spans="1:18" ht="30">
      <c r="A29" s="228" t="s">
        <v>50</v>
      </c>
      <c r="B29" s="33">
        <f>IF(ISERROR(TER_gezond_ele_kWh/1000),0,TER_gezond_ele_kWh/1000)</f>
        <v>31862.554423725098</v>
      </c>
      <c r="C29" s="39">
        <f>IF(ISERROR(B29*3.6/1000000/'E Balans VL '!Z10*100),0,B29*3.6/1000000/'E Balans VL '!Z10*100)</f>
        <v>3.1227262549383563</v>
      </c>
      <c r="D29" s="233" t="s">
        <v>841</v>
      </c>
      <c r="F29" s="6"/>
    </row>
    <row r="30" spans="1:18" ht="30">
      <c r="A30" s="228" t="s">
        <v>49</v>
      </c>
      <c r="B30" s="33">
        <f>IF(ISERROR(TER_ander_ele_kWh/1000),0,TER_ander_ele_kWh/1000)</f>
        <v>32243.815986602298</v>
      </c>
      <c r="C30" s="39">
        <f>IF(ISERROR(B30*3.6/1000000/'E Balans VL '!Z14*100),0,B30*3.6/1000000/'E Balans VL '!Z14*100)</f>
        <v>1.3356430223258693</v>
      </c>
      <c r="D30" s="233" t="s">
        <v>841</v>
      </c>
      <c r="F30" s="6"/>
    </row>
    <row r="31" spans="1:18" ht="30">
      <c r="A31" s="228" t="s">
        <v>54</v>
      </c>
      <c r="B31" s="33">
        <f>IF(ISERROR(TER_onderwijs_ele_kWh/1000),0,TER_onderwijs_ele_kWh/1000)</f>
        <v>19812.320114204202</v>
      </c>
      <c r="C31" s="39">
        <f>IF(ISERROR(B31*3.6/1000000/'E Balans VL '!Z11*100),0,B31*3.6/1000000/'E Balans VL '!Z11*100)</f>
        <v>6.0877236246535089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30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92332.864108430105</v>
      </c>
      <c r="C5" s="17">
        <f>IF(ISERROR('Eigen informatie GS &amp; warmtenet'!B61),0,'Eigen informatie GS &amp; warmtenet'!B61)</f>
        <v>0</v>
      </c>
      <c r="D5" s="30">
        <f>SUM(D6:D15)</f>
        <v>174417.30361926398</v>
      </c>
      <c r="E5" s="17">
        <f>SUM(E6:E15)</f>
        <v>1345.8567604875898</v>
      </c>
      <c r="F5" s="17">
        <f>SUM(F6:F15)</f>
        <v>17771.161245816595</v>
      </c>
      <c r="G5" s="18"/>
      <c r="H5" s="17"/>
      <c r="I5" s="17"/>
      <c r="J5" s="17">
        <f>SUM(J6:J15)</f>
        <v>385.40169287861875</v>
      </c>
      <c r="K5" s="17"/>
      <c r="L5" s="17"/>
      <c r="M5" s="17"/>
      <c r="N5" s="17">
        <f>SUM(N6:N15)</f>
        <v>8058.7517465206738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25128.5277460992</v>
      </c>
      <c r="C8" s="33"/>
      <c r="D8" s="37">
        <f>IF( ISERROR(IND_metaal_Gas_kWH/1000),0,IND_metaal_Gas_kWH/1000)*0.903</f>
        <v>23825.447150474127</v>
      </c>
      <c r="E8" s="33">
        <f>C30*'E Balans VL '!I18/100/3.6*1000000</f>
        <v>136.97952372564964</v>
      </c>
      <c r="F8" s="33">
        <f>C30*'E Balans VL '!L18/100/3.6*1000000+C30*'E Balans VL '!N18/100/3.6*1000000</f>
        <v>1618.279106233623</v>
      </c>
      <c r="G8" s="34"/>
      <c r="H8" s="33"/>
      <c r="I8" s="33"/>
      <c r="J8" s="40">
        <f>C30*'E Balans VL '!D18/100/3.6*1000000+C30*'E Balans VL '!E18/100/3.6*1000000</f>
        <v>20.583329361865406</v>
      </c>
      <c r="K8" s="33"/>
      <c r="L8" s="33"/>
      <c r="M8" s="33"/>
      <c r="N8" s="33">
        <f>C30*'E Balans VL '!Y18/100/3.6*1000000</f>
        <v>542.88523710130039</v>
      </c>
      <c r="O8" s="33"/>
      <c r="P8" s="33"/>
      <c r="R8" s="32"/>
    </row>
    <row r="9" spans="1:18">
      <c r="A9" s="6" t="s">
        <v>32</v>
      </c>
      <c r="B9" s="37">
        <f t="shared" si="0"/>
        <v>21713.575141442998</v>
      </c>
      <c r="C9" s="33"/>
      <c r="D9" s="37">
        <f>IF( ISERROR(IND_andere_gas_kWh/1000),0,IND_andere_gas_kWh/1000)*0.903</f>
        <v>24533.365921012704</v>
      </c>
      <c r="E9" s="33">
        <f>C31*'E Balans VL '!I19/100/3.6*1000000</f>
        <v>70.095118390489475</v>
      </c>
      <c r="F9" s="33">
        <f>C31*'E Balans VL '!L19/100/3.6*1000000+C31*'E Balans VL '!N19/100/3.6*1000000</f>
        <v>14040.168139355525</v>
      </c>
      <c r="G9" s="34"/>
      <c r="H9" s="33"/>
      <c r="I9" s="33"/>
      <c r="J9" s="40">
        <f>C31*'E Balans VL '!D19/100/3.6*1000000+C31*'E Balans VL '!E19/100/3.6*1000000</f>
        <v>0</v>
      </c>
      <c r="K9" s="33"/>
      <c r="L9" s="33"/>
      <c r="M9" s="33"/>
      <c r="N9" s="33">
        <f>C31*'E Balans VL '!Y19/100/3.6*1000000</f>
        <v>877.42049008678862</v>
      </c>
      <c r="O9" s="33"/>
      <c r="P9" s="33"/>
      <c r="R9" s="32"/>
    </row>
    <row r="10" spans="1:18">
      <c r="A10" s="6" t="s">
        <v>40</v>
      </c>
      <c r="B10" s="37">
        <f t="shared" si="0"/>
        <v>26696.173174399399</v>
      </c>
      <c r="C10" s="33"/>
      <c r="D10" s="37">
        <f>IF( ISERROR(IND_voed_gas_kWh/1000),0,IND_voed_gas_kWh/1000)*0.903</f>
        <v>48906.743439325961</v>
      </c>
      <c r="E10" s="33">
        <f>C32*'E Balans VL '!I20/100/3.6*1000000</f>
        <v>55.961721499721904</v>
      </c>
      <c r="F10" s="33">
        <f>C32*'E Balans VL '!L20/100/3.6*1000000+C32*'E Balans VL '!N20/100/3.6*1000000</f>
        <v>520.13371213233404</v>
      </c>
      <c r="G10" s="34"/>
      <c r="H10" s="33"/>
      <c r="I10" s="33"/>
      <c r="J10" s="40">
        <f>C32*'E Balans VL '!D20/100/3.6*1000000+C32*'E Balans VL '!E20/100/3.6*1000000</f>
        <v>0</v>
      </c>
      <c r="K10" s="33"/>
      <c r="L10" s="33"/>
      <c r="M10" s="33"/>
      <c r="N10" s="33">
        <f>C32*'E Balans VL '!Y20/100/3.6*1000000</f>
        <v>1061.8997562384282</v>
      </c>
      <c r="O10" s="33"/>
      <c r="P10" s="33"/>
      <c r="R10" s="32"/>
    </row>
    <row r="11" spans="1:18">
      <c r="A11" s="6" t="s">
        <v>39</v>
      </c>
      <c r="B11" s="37">
        <f t="shared" si="0"/>
        <v>455.98302209996501</v>
      </c>
      <c r="C11" s="33"/>
      <c r="D11" s="37">
        <f>IF( ISERROR(IND_textiel_gas_kWh/1000),0,IND_textiel_gas_kWh/1000)*0.903</f>
        <v>975.14825252587389</v>
      </c>
      <c r="E11" s="33">
        <f>C33*'E Balans VL '!I21/100/3.6*1000000</f>
        <v>0.39181250382439187</v>
      </c>
      <c r="F11" s="33">
        <f>C33*'E Balans VL '!L21/100/3.6*1000000+C33*'E Balans VL '!N21/100/3.6*1000000</f>
        <v>9.5601573149633872</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10172.739071001601</v>
      </c>
      <c r="C12" s="33"/>
      <c r="D12" s="37">
        <f>IF( ISERROR(IND_min_gas_kWh/1000),0,IND_min_gas_kWh/1000)*0.903</f>
        <v>27790.76807372933</v>
      </c>
      <c r="E12" s="33">
        <f>C34*'E Balans VL '!I22/100/3.6*1000000</f>
        <v>166.47747393087204</v>
      </c>
      <c r="F12" s="33">
        <f>C34*'E Balans VL '!L22/100/3.6*1000000+C34*'E Balans VL '!N22/100/3.6*1000000</f>
        <v>1552.7091943935868</v>
      </c>
      <c r="G12" s="34"/>
      <c r="H12" s="33"/>
      <c r="I12" s="33"/>
      <c r="J12" s="40">
        <f>C34*'E Balans VL '!D22/100/3.6*1000000+C34*'E Balans VL '!E22/100/3.6*1000000</f>
        <v>364.04739461246248</v>
      </c>
      <c r="K12" s="33"/>
      <c r="L12" s="33"/>
      <c r="M12" s="33"/>
      <c r="N12" s="33">
        <f>C34*'E Balans VL '!Y22/100/3.6*1000000</f>
        <v>5574.876915734164</v>
      </c>
      <c r="O12" s="33"/>
      <c r="P12" s="33"/>
      <c r="R12" s="32"/>
    </row>
    <row r="13" spans="1:18">
      <c r="A13" s="6" t="s">
        <v>38</v>
      </c>
      <c r="B13" s="37">
        <f t="shared" si="0"/>
        <v>3776.6206160974102</v>
      </c>
      <c r="C13" s="33"/>
      <c r="D13" s="37">
        <f>IF( ISERROR(IND_papier_gas_kWh/1000),0,IND_papier_gas_kWh/1000)*0.903</f>
        <v>1795.2713017219353</v>
      </c>
      <c r="E13" s="33">
        <f>C35*'E Balans VL '!I23/100/3.6*1000000</f>
        <v>0</v>
      </c>
      <c r="F13" s="33">
        <f>C35*'E Balans VL '!L23/100/3.6*1000000+C35*'E Balans VL '!N23/100/3.6*1000000</f>
        <v>0.50589023794648547</v>
      </c>
      <c r="G13" s="34"/>
      <c r="H13" s="33"/>
      <c r="I13" s="33"/>
      <c r="J13" s="40">
        <f>C35*'E Balans VL '!D23/100/3.6*1000000+C35*'E Balans VL '!E23/100/3.6*1000000</f>
        <v>0.74703932025002384</v>
      </c>
      <c r="K13" s="33"/>
      <c r="L13" s="33"/>
      <c r="M13" s="33"/>
      <c r="N13" s="33">
        <f>C35*'E Balans VL '!Y23/100/3.6*1000000</f>
        <v>0</v>
      </c>
      <c r="O13" s="33"/>
      <c r="P13" s="33"/>
      <c r="R13" s="32"/>
    </row>
    <row r="14" spans="1:18">
      <c r="A14" s="6" t="s">
        <v>33</v>
      </c>
      <c r="B14" s="37">
        <f t="shared" si="0"/>
        <v>4384.8380243588399</v>
      </c>
      <c r="C14" s="33"/>
      <c r="D14" s="37">
        <f>IF( ISERROR(IND_chemie_gas_kWh/1000),0,IND_chemie_gas_kWh/1000)*0.903</f>
        <v>46572.142495741042</v>
      </c>
      <c r="E14" s="33">
        <f>C36*'E Balans VL '!I24/100/3.6*1000000</f>
        <v>915.69164095676717</v>
      </c>
      <c r="F14" s="33">
        <f>C36*'E Balans VL '!L24/100/3.6*1000000+C36*'E Balans VL '!N24/100/3.6*1000000</f>
        <v>29.132695002638751</v>
      </c>
      <c r="G14" s="34"/>
      <c r="H14" s="33"/>
      <c r="I14" s="33"/>
      <c r="J14" s="40">
        <f>C36*'E Balans VL '!D24/100/3.6*1000000+C36*'E Balans VL '!E24/100/3.6*1000000</f>
        <v>0</v>
      </c>
      <c r="K14" s="33"/>
      <c r="L14" s="33"/>
      <c r="M14" s="33"/>
      <c r="N14" s="33">
        <f>C36*'E Balans VL '!Y24/100/3.6*1000000</f>
        <v>1.530103667892889</v>
      </c>
      <c r="O14" s="33"/>
      <c r="P14" s="33"/>
      <c r="R14" s="32"/>
    </row>
    <row r="15" spans="1:18">
      <c r="A15" s="6" t="s">
        <v>265</v>
      </c>
      <c r="B15" s="37">
        <f t="shared" si="0"/>
        <v>4.4073129306784002</v>
      </c>
      <c r="C15" s="33"/>
      <c r="D15" s="37">
        <f>IF( ISERROR(IND_rest_gas_kWh/1000),0,IND_rest_gas_kWh/1000)*0.903</f>
        <v>18.416984733031821</v>
      </c>
      <c r="E15" s="33">
        <f>C37*'E Balans VL '!I15/100/3.6*1000000</f>
        <v>0.25946948026520711</v>
      </c>
      <c r="F15" s="33">
        <f>C37*'E Balans VL '!L15/100/3.6*1000000+C37*'E Balans VL '!N15/100/3.6*1000000</f>
        <v>0.67235114597884982</v>
      </c>
      <c r="G15" s="34"/>
      <c r="H15" s="33"/>
      <c r="I15" s="33"/>
      <c r="J15" s="40">
        <f>C37*'E Balans VL '!D15/100/3.6*1000000+C37*'E Balans VL '!E15/100/3.6*1000000</f>
        <v>2.3929584040815841E-2</v>
      </c>
      <c r="K15" s="33"/>
      <c r="L15" s="33"/>
      <c r="M15" s="33"/>
      <c r="N15" s="33">
        <f>C37*'E Balans VL '!Y15/100/3.6*1000000</f>
        <v>0.13924369209941612</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92332.864108430105</v>
      </c>
      <c r="C18" s="21">
        <f>C5+C16</f>
        <v>0</v>
      </c>
      <c r="D18" s="21">
        <f>MAX((D5+D16),0)</f>
        <v>174417.30361926398</v>
      </c>
      <c r="E18" s="21">
        <f>MAX((E5+E16),0)</f>
        <v>1345.8567604875898</v>
      </c>
      <c r="F18" s="21">
        <f>MAX((F5+F16),0)</f>
        <v>17771.161245816595</v>
      </c>
      <c r="G18" s="21"/>
      <c r="H18" s="21"/>
      <c r="I18" s="21"/>
      <c r="J18" s="21">
        <f>MAX((J5+J16),0)</f>
        <v>385.40169287861875</v>
      </c>
      <c r="K18" s="21"/>
      <c r="L18" s="21">
        <f>MAX((L5+L16),0)</f>
        <v>0</v>
      </c>
      <c r="M18" s="21"/>
      <c r="N18" s="21">
        <f>MAX((N5+N16),0)</f>
        <v>8058.7517465206738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0.1471449330050085</v>
      </c>
      <c r="C20" s="25">
        <f ca="1">'EF ele_warmte'!B22</f>
        <v>0.19683672404799166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13586.313103395501</v>
      </c>
      <c r="C22" s="23">
        <f ca="1">C18*C20</f>
        <v>0</v>
      </c>
      <c r="D22" s="23">
        <f>D18*D20</f>
        <v>35232.295331091329</v>
      </c>
      <c r="E22" s="23">
        <f>E18*E20</f>
        <v>305.50948463068289</v>
      </c>
      <c r="F22" s="23">
        <f>F18*F20</f>
        <v>4744.900052633031</v>
      </c>
      <c r="G22" s="23"/>
      <c r="H22" s="23"/>
      <c r="I22" s="23"/>
      <c r="J22" s="23">
        <f>J18*J20</f>
        <v>136.43219927903104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25128.5277460992</v>
      </c>
      <c r="C30" s="39">
        <f>IF(ISERROR(B30*3.6/1000000/'E Balans VL '!Z18*100),0,B30*3.6/1000000/'E Balans VL '!Z18*100)</f>
        <v>1.5131710374252745</v>
      </c>
      <c r="D30" s="233" t="s">
        <v>841</v>
      </c>
    </row>
    <row r="31" spans="1:18" ht="30">
      <c r="A31" s="6" t="s">
        <v>32</v>
      </c>
      <c r="B31" s="37">
        <f>IF( ISERROR(IND_ander_ele_kWh/1000),0,IND_ander_ele_kWh/1000)</f>
        <v>21713.575141442998</v>
      </c>
      <c r="C31" s="39">
        <f>IF(ISERROR(B31*3.6/1000000/'E Balans VL '!Z19*100),0,B31*3.6/1000000/'E Balans VL '!Z19*100)</f>
        <v>0.88465600353609575</v>
      </c>
      <c r="D31" s="233" t="s">
        <v>841</v>
      </c>
    </row>
    <row r="32" spans="1:18" ht="30">
      <c r="A32" s="168" t="s">
        <v>40</v>
      </c>
      <c r="B32" s="37">
        <f>IF( ISERROR(IND_voed_ele_kWh/1000),0,IND_voed_ele_kWh/1000)</f>
        <v>26696.173174399399</v>
      </c>
      <c r="C32" s="39">
        <f>IF(ISERROR(B32*3.6/1000000/'E Balans VL '!Z20*100),0,B32*3.6/1000000/'E Balans VL '!Z20*100)</f>
        <v>0.77189379990046403</v>
      </c>
      <c r="D32" s="233" t="s">
        <v>841</v>
      </c>
    </row>
    <row r="33" spans="1:5" ht="30">
      <c r="A33" s="168" t="s">
        <v>39</v>
      </c>
      <c r="B33" s="37">
        <f>IF( ISERROR(IND_textiel_ele_kWh/1000),0,IND_textiel_ele_kWh/1000)</f>
        <v>455.98302209996501</v>
      </c>
      <c r="C33" s="39">
        <f>IF(ISERROR(B33*3.6/1000000/'E Balans VL '!Z21*100),0,B33*3.6/1000000/'E Balans VL '!Z21*100)</f>
        <v>7.4988039009452986E-2</v>
      </c>
      <c r="D33" s="233" t="s">
        <v>841</v>
      </c>
    </row>
    <row r="34" spans="1:5" ht="30">
      <c r="A34" s="168" t="s">
        <v>36</v>
      </c>
      <c r="B34" s="37">
        <f>IF( ISERROR(IND_min_ele_kWh/1000),0,IND_min_ele_kWh/1000)</f>
        <v>10172.739071001601</v>
      </c>
      <c r="C34" s="39">
        <f>IF(ISERROR(B34*3.6/1000000/'E Balans VL '!Z22*100),0,B34*3.6/1000000/'E Balans VL '!Z22*100)</f>
        <v>4.3436650556968832</v>
      </c>
      <c r="D34" s="233" t="s">
        <v>841</v>
      </c>
    </row>
    <row r="35" spans="1:5" ht="30">
      <c r="A35" s="168" t="s">
        <v>38</v>
      </c>
      <c r="B35" s="37">
        <f>IF( ISERROR(IND_papier_ele_kWh/1000),0,IND_papier_ele_kWh/1000)</f>
        <v>3776.6206160974102</v>
      </c>
      <c r="C35" s="39">
        <f>IF(ISERROR(B35*3.6/1000000/'E Balans VL '!Z22*100),0,B35*3.6/1000000/'E Balans VL '!Z22*100)</f>
        <v>1.6125819097758094</v>
      </c>
      <c r="D35" s="233" t="s">
        <v>841</v>
      </c>
    </row>
    <row r="36" spans="1:5" ht="30">
      <c r="A36" s="168" t="s">
        <v>33</v>
      </c>
      <c r="B36" s="37">
        <f>IF( ISERROR(IND_chemie_ele_kWh/1000),0,IND_chemie_ele_kWh/1000)</f>
        <v>4384.8380243588399</v>
      </c>
      <c r="C36" s="39">
        <f>IF(ISERROR(B36*3.6/1000000/'E Balans VL '!Z24*100),0,B36*3.6/1000000/'E Balans VL '!Z24*100)</f>
        <v>0.13305249286025198</v>
      </c>
      <c r="D36" s="233" t="s">
        <v>841</v>
      </c>
    </row>
    <row r="37" spans="1:5" ht="30">
      <c r="A37" s="168" t="s">
        <v>265</v>
      </c>
      <c r="B37" s="37">
        <f>IF( ISERROR(IND_rest_ele_kWh/1000),0,IND_rest_ele_kWh/1000)</f>
        <v>4.4073129306784002</v>
      </c>
      <c r="C37" s="39">
        <f>IF(ISERROR(B37*3.6/1000000/'E Balans VL '!Z15*100),0,B37*3.6/1000000/'E Balans VL '!Z15*100)</f>
        <v>3.618737735475447E-5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4318.4787066465196</v>
      </c>
      <c r="C5" s="17">
        <f>'Eigen informatie GS &amp; warmtenet'!B62</f>
        <v>0</v>
      </c>
      <c r="D5" s="30">
        <f>IF(ISERROR(SUM(LB_lb_gas_kWh,LB_rest_gas_kWh)/1000),0,SUM(LB_lb_gas_kWh,LB_rest_gas_kWh)/1000)*0.903</f>
        <v>6768.9033096970779</v>
      </c>
      <c r="E5" s="17">
        <f>B17*'E Balans VL '!I25/3.6*1000000/100</f>
        <v>123.68853836230997</v>
      </c>
      <c r="F5" s="17">
        <f>B17*('E Balans VL '!L25/3.6*1000000+'E Balans VL '!N25/3.6*1000000)/100</f>
        <v>13670.072819723338</v>
      </c>
      <c r="G5" s="18"/>
      <c r="H5" s="17"/>
      <c r="I5" s="17"/>
      <c r="J5" s="17">
        <f>('E Balans VL '!D25+'E Balans VL '!E25)/3.6*1000000*landbouw!B17/100</f>
        <v>1098.0535245390336</v>
      </c>
      <c r="K5" s="17"/>
      <c r="L5" s="17">
        <f>L6*(-1)</f>
        <v>0</v>
      </c>
      <c r="M5" s="17"/>
      <c r="N5" s="17">
        <f>N6*(-1)</f>
        <v>0</v>
      </c>
      <c r="O5" s="17"/>
      <c r="P5" s="17"/>
      <c r="R5" s="32"/>
    </row>
    <row r="6" spans="1:18">
      <c r="A6" s="16" t="s">
        <v>473</v>
      </c>
      <c r="B6" s="17" t="s">
        <v>210</v>
      </c>
      <c r="C6" s="17">
        <f>'lokale energieproductie'!O42+'lokale energieproductie'!O35</f>
        <v>57.857142857142861</v>
      </c>
      <c r="D6" s="304">
        <f>('lokale energieproductie'!P35+'lokale energieproductie'!P42)*(-1)</f>
        <v>-100.71428571428572</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4318.4787066465196</v>
      </c>
      <c r="C8" s="21">
        <f>C5+C6</f>
        <v>57.857142857142861</v>
      </c>
      <c r="D8" s="21">
        <f>MAX((D5+D6),0)</f>
        <v>6668.1890239827926</v>
      </c>
      <c r="E8" s="21">
        <f>MAX((E5+E6),0)</f>
        <v>123.68853836230997</v>
      </c>
      <c r="F8" s="21">
        <f>MAX((F5+F6),0)</f>
        <v>13670.072819723338</v>
      </c>
      <c r="G8" s="21"/>
      <c r="H8" s="21"/>
      <c r="I8" s="21"/>
      <c r="J8" s="21">
        <f>MAX((J5+J6),0)</f>
        <v>1098.0535245390336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0.1471449330050085</v>
      </c>
      <c r="C10" s="31">
        <f ca="1">'EF ele_warmte'!B22</f>
        <v>0.19683672404799166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635.44225997305784</v>
      </c>
      <c r="C12" s="23">
        <f ca="1">C8*C10</f>
        <v>11.388410462776662</v>
      </c>
      <c r="D12" s="23">
        <f>D8*D10</f>
        <v>1346.9741828445242</v>
      </c>
      <c r="E12" s="23">
        <f>E8*E10</f>
        <v>28.077298208244365</v>
      </c>
      <c r="F12" s="23">
        <f>F8*F10</f>
        <v>3649.9094428661315</v>
      </c>
      <c r="G12" s="23"/>
      <c r="H12" s="23"/>
      <c r="I12" s="23"/>
      <c r="J12" s="23">
        <f>J8*J10</f>
        <v>388.71094768681786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0.5980113340229013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481.46394262086761</v>
      </c>
      <c r="C26" s="243">
        <f>B26*'GWP N2O_CH4'!B5</f>
        <v>10110.742795038221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146.90776739662397</v>
      </c>
      <c r="C27" s="243">
        <f>B27*'GWP N2O_CH4'!B5</f>
        <v>3085.0631153291033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7.6608292384673371</v>
      </c>
      <c r="C28" s="243">
        <f>B28*'GWP N2O_CH4'!B4</f>
        <v>2374.8570639248746</v>
      </c>
      <c r="D28" s="50"/>
    </row>
    <row r="29" spans="1:4">
      <c r="A29" s="41" t="s">
        <v>272</v>
      </c>
      <c r="B29" s="243">
        <f>B34*'ha_N2O bodem landbouw'!B4</f>
        <v>28.697447378554163</v>
      </c>
      <c r="C29" s="243">
        <f>B29*'GWP N2O_CH4'!B4</f>
        <v>8896.208687351791</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6.5195464382227153E-3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5.9483089107273115E-3</v>
      </c>
      <c r="C5" s="434" t="s">
        <v>210</v>
      </c>
      <c r="D5" s="419">
        <f>SUM(D6:D11)</f>
        <v>1.0481075101816952E-2</v>
      </c>
      <c r="E5" s="419">
        <f>SUM(E6:E11)</f>
        <v>4.2018466143853954E-3</v>
      </c>
      <c r="F5" s="432" t="s">
        <v>210</v>
      </c>
      <c r="G5" s="419">
        <f>SUM(G6:G11)</f>
        <v>1.9636810748923794</v>
      </c>
      <c r="H5" s="419">
        <f>SUM(H6:H11)</f>
        <v>0.51536965373390831</v>
      </c>
      <c r="I5" s="434" t="s">
        <v>210</v>
      </c>
      <c r="J5" s="434" t="s">
        <v>210</v>
      </c>
      <c r="K5" s="434" t="s">
        <v>210</v>
      </c>
      <c r="L5" s="434" t="s">
        <v>210</v>
      </c>
      <c r="M5" s="419">
        <f>SUM(M6:M11)</f>
        <v>0.14928638448756693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3.8738756436765536E-3</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6.4588596639762047E-3</v>
      </c>
      <c r="E6" s="886">
        <f>vkm_GW_PW*SUMIFS(TableVerdeelsleutelVkm[LPG],TableVerdeelsleutelVkm[Voertuigtype],"Lichte voertuigen")*SUMIFS(TableECFTransport[EnergieConsumptieFactor (PJ per km)],TableECFTransport[Index],CONCATENATE($A6,"_LPG_LPG"))</f>
        <v>2.5606751608615846E-3</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0.76954721112625846</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0.31675378251559133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6.6641362361859788E-2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1.3473721748810023E-5</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0.53410682275425125</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3.9409352584192394E-6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3.0667510510895647E-2</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1.2794154383562019E-3</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2.9214853029453252E-3</v>
      </c>
      <c r="E8" s="422">
        <f>vkm_NGW_PW*SUMIFS(TableVerdeelsleutelVkm[LPG],TableVerdeelsleutelVkm[Voertuigtype],"Lichte voertuigen")*SUMIFS(TableECFTransport[EnergieConsumptieFactor (PJ per km)],TableECFTransport[Index],CONCATENATE($A8,"_LPG_LPG"))</f>
        <v>1.1090108617614631E-3</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0.30528860043310196</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0.14193696490926425</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2.7591350433256091E-2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1.4597136374309824E-6</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7.4515194084832634E-2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5.1534235494789548E-7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4.2785339845909333E-3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7.7646203904696543E-4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1.1007301348954219E-3</v>
      </c>
      <c r="E10" s="422">
        <f>vkm_SW_PW*SUMIFS(TableVerdeelsleutelVkm[LPG],TableVerdeelsleutelVkm[Voertuigtype],"Lichte voertuigen")*SUMIFS(TableECFTransport[EnergieConsumptieFactor (PJ per km)],TableECFTransport[Index],CONCATENATE($A10,"_LPG_LPG"))</f>
        <v>5.3216059176234805E-4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0.14509198214727961</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5.6673359512815595E-2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1.2348611899990198E-2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3.6223542613496554E-6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0.13513126434665565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1.0905186238496855E-6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7.7590152969742518E-3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1652.3080307575867</v>
      </c>
      <c r="C14" s="21"/>
      <c r="D14" s="21">
        <f t="shared" ref="D14:M14" si="0">((D5)*10^9/3600)+D12</f>
        <v>2911.4097505047089</v>
      </c>
      <c r="E14" s="21">
        <f t="shared" si="0"/>
        <v>1167.1796151070544</v>
      </c>
      <c r="F14" s="21"/>
      <c r="G14" s="21">
        <f t="shared" si="0"/>
        <v>545466.96524788323</v>
      </c>
      <c r="H14" s="21">
        <f t="shared" si="0"/>
        <v>143158.23714830785</v>
      </c>
      <c r="I14" s="21"/>
      <c r="J14" s="21"/>
      <c r="K14" s="21"/>
      <c r="L14" s="21"/>
      <c r="M14" s="21">
        <f t="shared" si="0"/>
        <v>41468.440135435252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0.1471449330050085</v>
      </c>
      <c r="C16" s="56">
        <f ca="1">'EF ele_warmte'!B22</f>
        <v>0.19683672404799166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243.12875448946261</v>
      </c>
      <c r="C18" s="23"/>
      <c r="D18" s="23">
        <f t="shared" ref="D18:M18" si="1">D14*D16</f>
        <v>588.10476960195126</v>
      </c>
      <c r="E18" s="23">
        <f t="shared" si="1"/>
        <v>264.94977262930132</v>
      </c>
      <c r="F18" s="23"/>
      <c r="G18" s="23">
        <f t="shared" si="1"/>
        <v>145639.67972118483</v>
      </c>
      <c r="H18" s="23">
        <f t="shared" si="1"/>
        <v>35646.401049928652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4.178532740085541E-3</v>
      </c>
      <c r="C50" s="315">
        <f t="shared" ref="C50:P50" si="2">SUM(C51:C52)</f>
        <v>0</v>
      </c>
      <c r="D50" s="315">
        <f t="shared" si="2"/>
        <v>0</v>
      </c>
      <c r="E50" s="315">
        <f t="shared" si="2"/>
        <v>0</v>
      </c>
      <c r="F50" s="315">
        <f t="shared" si="2"/>
        <v>0</v>
      </c>
      <c r="G50" s="315">
        <f t="shared" si="2"/>
        <v>7.3682637191654118E-2</v>
      </c>
      <c r="H50" s="315">
        <f t="shared" si="2"/>
        <v>0</v>
      </c>
      <c r="I50" s="315">
        <f t="shared" si="2"/>
        <v>0</v>
      </c>
      <c r="J50" s="315">
        <f t="shared" si="2"/>
        <v>0</v>
      </c>
      <c r="K50" s="315">
        <f t="shared" si="2"/>
        <v>0</v>
      </c>
      <c r="L50" s="315">
        <f t="shared" si="2"/>
        <v>0</v>
      </c>
      <c r="M50" s="315">
        <f t="shared" si="2"/>
        <v>4.2306938770295217E-3</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1.1769820914629989E-3</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7.3682637191654118E-2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4.2306938770295217E-3</v>
      </c>
      <c r="N51" s="317"/>
      <c r="O51" s="317"/>
      <c r="P51" s="320"/>
    </row>
    <row r="52" spans="1:18">
      <c r="A52" s="4" t="s">
        <v>324</v>
      </c>
      <c r="B52" s="887">
        <f>vkm_tram*SUMIFS(TableECFTransport[EnergieConsumptieFactor (PJ per km)],TableECFTransport[Index],"Tram_gemiddeld_Electric_Electric")</f>
        <v>3.0015506486225419E-3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1160.7035389126502</v>
      </c>
      <c r="C54" s="21">
        <f t="shared" ref="C54:P54" si="3">(C50)*10^9/3600</f>
        <v>0</v>
      </c>
      <c r="D54" s="21">
        <f t="shared" si="3"/>
        <v>0</v>
      </c>
      <c r="E54" s="21">
        <f t="shared" si="3"/>
        <v>0</v>
      </c>
      <c r="F54" s="21">
        <f t="shared" si="3"/>
        <v>0</v>
      </c>
      <c r="G54" s="21">
        <f t="shared" si="3"/>
        <v>20467.39921990392</v>
      </c>
      <c r="H54" s="21">
        <f t="shared" si="3"/>
        <v>0</v>
      </c>
      <c r="I54" s="21">
        <f t="shared" si="3"/>
        <v>0</v>
      </c>
      <c r="J54" s="21">
        <f t="shared" si="3"/>
        <v>0</v>
      </c>
      <c r="K54" s="21">
        <f t="shared" si="3"/>
        <v>0</v>
      </c>
      <c r="L54" s="21">
        <f t="shared" si="3"/>
        <v>0</v>
      </c>
      <c r="M54" s="21">
        <f t="shared" si="3"/>
        <v>1175.1927436193114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0.1471449330050085</v>
      </c>
      <c r="C56" s="56">
        <f ca="1">'EF ele_warmte'!B22</f>
        <v>0.19683672404799166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170.79164447197817</v>
      </c>
      <c r="C58" s="23">
        <f t="shared" ref="C58:P58" ca="1" si="4">C54*C56</f>
        <v>0</v>
      </c>
      <c r="D58" s="23">
        <f t="shared" si="4"/>
        <v>0</v>
      </c>
      <c r="E58" s="23">
        <f t="shared" si="4"/>
        <v>0</v>
      </c>
      <c r="F58" s="23">
        <f t="shared" si="4"/>
        <v>0</v>
      </c>
      <c r="G58" s="23">
        <f t="shared" si="4"/>
        <v>5464.7955917143472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zoomScale="65" zoomScaleNormal="65" workbookViewId="0">
      <selection activeCell="M31" sqref="M31"/>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161232.31004406849</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41596.819788988418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N32</f>
        <v>416.25000000000006</v>
      </c>
      <c r="C8" s="545">
        <f>B51</f>
        <v>405.61032863849772</v>
      </c>
      <c r="D8" s="546"/>
      <c r="E8" s="546">
        <f>E51</f>
        <v>0</v>
      </c>
      <c r="F8" s="547"/>
      <c r="G8" s="548"/>
      <c r="H8" s="546">
        <f>I51</f>
        <v>0</v>
      </c>
      <c r="I8" s="546">
        <f>G51+F51</f>
        <v>0</v>
      </c>
      <c r="J8" s="546">
        <f>H51+D51+C51</f>
        <v>83.380281690140848</v>
      </c>
      <c r="K8" s="546"/>
      <c r="L8" s="546"/>
      <c r="M8" s="546"/>
      <c r="N8" s="549"/>
      <c r="O8" s="550">
        <f>C8*$C$12+D8*$D$12+E8*$E$12+F8*$F$12+G8*$G$12+H8*$H$12+I8*$I$12+J8*$J$12</f>
        <v>81.93328638497654</v>
      </c>
      <c r="P8" s="1285"/>
      <c r="Q8" s="1286"/>
      <c r="S8" s="540"/>
      <c r="T8" s="1282"/>
      <c r="U8" s="1282"/>
    </row>
    <row r="9" spans="1:21" s="531" customFormat="1" ht="17.45" customHeight="1" thickBot="1">
      <c r="A9" s="551" t="s">
        <v>243</v>
      </c>
      <c r="B9" s="552">
        <f>N39+'Eigen informatie GS &amp; warmtenet'!B12</f>
        <v>0</v>
      </c>
      <c r="C9" s="553">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203245.37983305691</v>
      </c>
      <c r="C10" s="560">
        <f t="shared" ref="C10:L10" si="0">SUM(C8:C9)</f>
        <v>405.61032863849772</v>
      </c>
      <c r="D10" s="560">
        <f t="shared" si="0"/>
        <v>0</v>
      </c>
      <c r="E10" s="560">
        <f t="shared" si="0"/>
        <v>0</v>
      </c>
      <c r="F10" s="560">
        <f t="shared" si="0"/>
        <v>0</v>
      </c>
      <c r="G10" s="560">
        <f t="shared" si="0"/>
        <v>0</v>
      </c>
      <c r="H10" s="560">
        <f t="shared" si="0"/>
        <v>0</v>
      </c>
      <c r="I10" s="560">
        <f t="shared" si="0"/>
        <v>0</v>
      </c>
      <c r="J10" s="560">
        <f t="shared" si="0"/>
        <v>83.380281690140848</v>
      </c>
      <c r="K10" s="560">
        <f t="shared" si="0"/>
        <v>0</v>
      </c>
      <c r="L10" s="560">
        <f t="shared" si="0"/>
        <v>0</v>
      </c>
      <c r="M10" s="961"/>
      <c r="N10" s="961"/>
      <c r="O10" s="561">
        <f>SUM(O4:O9)</f>
        <v>81.93328638497654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O32</f>
        <v>610.71428571428589</v>
      </c>
      <c r="C17" s="576">
        <f>B52</f>
        <v>595.10395707578823</v>
      </c>
      <c r="D17" s="577"/>
      <c r="E17" s="577">
        <f>E52</f>
        <v>0</v>
      </c>
      <c r="F17" s="578"/>
      <c r="G17" s="579"/>
      <c r="H17" s="576">
        <f>I52</f>
        <v>0</v>
      </c>
      <c r="I17" s="577">
        <f>G52+F52</f>
        <v>0</v>
      </c>
      <c r="J17" s="577">
        <f>H52+D52+C52</f>
        <v>122.33400402414487</v>
      </c>
      <c r="K17" s="577"/>
      <c r="L17" s="577"/>
      <c r="M17" s="577"/>
      <c r="N17" s="962"/>
      <c r="O17" s="580">
        <f>C17*$C$22+E17*$E$22+H17*$H$22+I17*$I$22+J17*$J$22+D17*$D$22+F17*$F$22+G17*$G$22+K17*$K$22+L17*$L$22</f>
        <v>120.21099932930923</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610.71428571428589</v>
      </c>
      <c r="C20" s="559">
        <f>SUM(C17:C19)</f>
        <v>595.10395707578823</v>
      </c>
      <c r="D20" s="559">
        <f t="shared" ref="D20:L20" si="1">SUM(D17:D19)</f>
        <v>0</v>
      </c>
      <c r="E20" s="559">
        <f t="shared" si="1"/>
        <v>0</v>
      </c>
      <c r="F20" s="559">
        <f t="shared" si="1"/>
        <v>0</v>
      </c>
      <c r="G20" s="559">
        <f t="shared" si="1"/>
        <v>0</v>
      </c>
      <c r="H20" s="559">
        <f t="shared" si="1"/>
        <v>0</v>
      </c>
      <c r="I20" s="559">
        <f t="shared" si="1"/>
        <v>0</v>
      </c>
      <c r="J20" s="559">
        <f t="shared" si="1"/>
        <v>122.33400402414487</v>
      </c>
      <c r="K20" s="559">
        <f t="shared" si="1"/>
        <v>0</v>
      </c>
      <c r="L20" s="559">
        <f t="shared" si="1"/>
        <v>0</v>
      </c>
      <c r="M20" s="559"/>
      <c r="N20" s="559"/>
      <c r="O20" s="585">
        <f>SUM(O17:O19)</f>
        <v>120.21099932930923</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31005</v>
      </c>
      <c r="C28" s="787">
        <v>8000</v>
      </c>
      <c r="D28" s="637" t="s">
        <v>874</v>
      </c>
      <c r="E28" s="636" t="s">
        <v>875</v>
      </c>
      <c r="F28" s="636" t="s">
        <v>876</v>
      </c>
      <c r="G28" s="636" t="s">
        <v>877</v>
      </c>
      <c r="H28" s="636" t="s">
        <v>878</v>
      </c>
      <c r="I28" s="636" t="s">
        <v>875</v>
      </c>
      <c r="J28" s="786">
        <v>41207</v>
      </c>
      <c r="K28" s="786">
        <v>41306</v>
      </c>
      <c r="L28" s="636" t="s">
        <v>879</v>
      </c>
      <c r="M28" s="636">
        <v>5.5</v>
      </c>
      <c r="N28" s="636">
        <v>24.75</v>
      </c>
      <c r="O28" s="636">
        <v>35.357142857142861</v>
      </c>
      <c r="P28" s="636">
        <v>70.714285714285722</v>
      </c>
      <c r="Q28" s="636">
        <v>0</v>
      </c>
      <c r="R28" s="636">
        <v>0</v>
      </c>
      <c r="S28" s="636">
        <v>0</v>
      </c>
      <c r="T28" s="636">
        <v>0</v>
      </c>
      <c r="U28" s="636">
        <v>0</v>
      </c>
      <c r="V28" s="636">
        <v>0</v>
      </c>
      <c r="W28" s="636">
        <v>0</v>
      </c>
      <c r="X28" s="636">
        <v>10</v>
      </c>
      <c r="Y28" s="636" t="s">
        <v>111</v>
      </c>
      <c r="Z28" s="638" t="s">
        <v>111</v>
      </c>
    </row>
    <row r="29" spans="1:26" s="590" customFormat="1" ht="12.75">
      <c r="A29" s="589"/>
      <c r="B29" s="787">
        <v>31005</v>
      </c>
      <c r="C29" s="787">
        <v>8000</v>
      </c>
      <c r="D29" s="637" t="s">
        <v>880</v>
      </c>
      <c r="E29" s="636" t="s">
        <v>881</v>
      </c>
      <c r="F29" s="636" t="s">
        <v>882</v>
      </c>
      <c r="G29" s="636" t="s">
        <v>883</v>
      </c>
      <c r="H29" s="636" t="s">
        <v>883</v>
      </c>
      <c r="I29" s="636" t="s">
        <v>881</v>
      </c>
      <c r="J29" s="786">
        <v>41624</v>
      </c>
      <c r="K29" s="786">
        <v>41619</v>
      </c>
      <c r="L29" s="636" t="s">
        <v>879</v>
      </c>
      <c r="M29" s="636">
        <v>1</v>
      </c>
      <c r="N29" s="636">
        <v>4.5</v>
      </c>
      <c r="O29" s="636">
        <v>22.5</v>
      </c>
      <c r="P29" s="636">
        <v>30</v>
      </c>
      <c r="Q29" s="636">
        <v>0</v>
      </c>
      <c r="R29" s="636">
        <v>0</v>
      </c>
      <c r="S29" s="636">
        <v>0</v>
      </c>
      <c r="T29" s="636">
        <v>0</v>
      </c>
      <c r="U29" s="636">
        <v>0</v>
      </c>
      <c r="V29" s="636">
        <v>0</v>
      </c>
      <c r="W29" s="636">
        <v>0</v>
      </c>
      <c r="X29" s="636">
        <v>10</v>
      </c>
      <c r="Y29" s="636" t="s">
        <v>111</v>
      </c>
      <c r="Z29" s="638" t="s">
        <v>111</v>
      </c>
    </row>
    <row r="30" spans="1:26" s="590" customFormat="1" ht="63.75">
      <c r="A30" s="589"/>
      <c r="B30" s="787">
        <v>31005</v>
      </c>
      <c r="C30" s="787">
        <v>8000</v>
      </c>
      <c r="D30" s="637" t="s">
        <v>884</v>
      </c>
      <c r="E30" s="636" t="s">
        <v>885</v>
      </c>
      <c r="F30" s="636" t="s">
        <v>886</v>
      </c>
      <c r="G30" s="636" t="s">
        <v>877</v>
      </c>
      <c r="H30" s="636" t="s">
        <v>878</v>
      </c>
      <c r="I30" s="636" t="s">
        <v>885</v>
      </c>
      <c r="J30" s="786">
        <v>42137</v>
      </c>
      <c r="K30" s="786">
        <v>42107</v>
      </c>
      <c r="L30" s="636" t="s">
        <v>879</v>
      </c>
      <c r="M30" s="636">
        <v>70</v>
      </c>
      <c r="N30" s="636">
        <v>315.00000000000006</v>
      </c>
      <c r="O30" s="636">
        <v>450.00000000000011</v>
      </c>
      <c r="P30" s="636">
        <v>900.00000000000023</v>
      </c>
      <c r="Q30" s="636">
        <v>0</v>
      </c>
      <c r="R30" s="636">
        <v>0</v>
      </c>
      <c r="S30" s="636">
        <v>0</v>
      </c>
      <c r="T30" s="636">
        <v>0</v>
      </c>
      <c r="U30" s="636">
        <v>0</v>
      </c>
      <c r="V30" s="636">
        <v>0</v>
      </c>
      <c r="W30" s="636">
        <v>0</v>
      </c>
      <c r="X30" s="636">
        <v>1600</v>
      </c>
      <c r="Y30" s="636" t="s">
        <v>49</v>
      </c>
      <c r="Z30" s="638" t="s">
        <v>155</v>
      </c>
    </row>
    <row r="31" spans="1:26" s="590" customFormat="1" ht="25.5">
      <c r="A31" s="589"/>
      <c r="B31" s="787">
        <v>31005</v>
      </c>
      <c r="C31" s="787">
        <v>8000</v>
      </c>
      <c r="D31" s="637" t="s">
        <v>887</v>
      </c>
      <c r="E31" s="636" t="s">
        <v>888</v>
      </c>
      <c r="F31" s="636" t="s">
        <v>889</v>
      </c>
      <c r="G31" s="636" t="s">
        <v>890</v>
      </c>
      <c r="H31" s="636" t="s">
        <v>878</v>
      </c>
      <c r="I31" s="636" t="s">
        <v>891</v>
      </c>
      <c r="J31" s="786">
        <v>42129</v>
      </c>
      <c r="K31" s="786">
        <v>42129</v>
      </c>
      <c r="L31" s="636" t="s">
        <v>892</v>
      </c>
      <c r="M31" s="636">
        <v>16</v>
      </c>
      <c r="N31" s="636">
        <v>72</v>
      </c>
      <c r="O31" s="636">
        <v>102.85714285714286</v>
      </c>
      <c r="P31" s="636">
        <v>0</v>
      </c>
      <c r="Q31" s="636">
        <v>205.71428571428572</v>
      </c>
      <c r="R31" s="636">
        <v>0</v>
      </c>
      <c r="S31" s="636">
        <v>0</v>
      </c>
      <c r="T31" s="636">
        <v>0</v>
      </c>
      <c r="U31" s="636">
        <v>0</v>
      </c>
      <c r="V31" s="636">
        <v>0</v>
      </c>
      <c r="W31" s="636">
        <v>0</v>
      </c>
      <c r="X31" s="636">
        <v>1200</v>
      </c>
      <c r="Y31" s="636" t="s">
        <v>52</v>
      </c>
      <c r="Z31" s="638" t="s">
        <v>155</v>
      </c>
    </row>
    <row r="32" spans="1:26" s="570" customFormat="1">
      <c r="A32" s="592" t="s">
        <v>275</v>
      </c>
      <c r="B32" s="593"/>
      <c r="C32" s="593"/>
      <c r="D32" s="593"/>
      <c r="E32" s="593"/>
      <c r="F32" s="593"/>
      <c r="G32" s="593"/>
      <c r="H32" s="593"/>
      <c r="I32" s="593"/>
      <c r="J32" s="593"/>
      <c r="K32" s="593"/>
      <c r="L32" s="594"/>
      <c r="M32" s="594">
        <f>SUM(M28:M31)</f>
        <v>92.5</v>
      </c>
      <c r="N32" s="594">
        <f>SUM(N28:N31)</f>
        <v>416.25000000000006</v>
      </c>
      <c r="O32" s="594">
        <f>SUM(O28:O31)</f>
        <v>610.71428571428589</v>
      </c>
      <c r="P32" s="594">
        <f>SUM(P28:P31)</f>
        <v>1000.714285714286</v>
      </c>
      <c r="Q32" s="594">
        <f>SUM(Q28:Q31)</f>
        <v>205.71428571428572</v>
      </c>
      <c r="R32" s="594">
        <f>SUM(R28:R31)</f>
        <v>0</v>
      </c>
      <c r="S32" s="594">
        <f>SUM(S28:S31)</f>
        <v>0</v>
      </c>
      <c r="T32" s="594">
        <f>SUM(T28:T31)</f>
        <v>0</v>
      </c>
      <c r="U32" s="594">
        <f>SUM(U28:U31)</f>
        <v>0</v>
      </c>
      <c r="V32" s="594">
        <f>SUM(V28:V31)</f>
        <v>0</v>
      </c>
      <c r="W32" s="594">
        <f>SUM(W28:W31)</f>
        <v>0</v>
      </c>
      <c r="X32" s="595"/>
      <c r="Y32" s="595"/>
      <c r="Z32" s="596"/>
    </row>
    <row r="33" spans="1:27" s="570" customFormat="1">
      <c r="A33" s="592" t="s">
        <v>282</v>
      </c>
      <c r="B33" s="593"/>
      <c r="C33" s="593"/>
      <c r="D33" s="593"/>
      <c r="E33" s="593"/>
      <c r="F33" s="593"/>
      <c r="G33" s="593"/>
      <c r="H33" s="593"/>
      <c r="I33" s="593"/>
      <c r="J33" s="593"/>
      <c r="K33" s="593"/>
      <c r="L33" s="594"/>
      <c r="M33" s="594">
        <f>SUMIF($Z$28:$Z$31,"industrie",M28:M31)</f>
        <v>0</v>
      </c>
      <c r="N33" s="594">
        <f>SUMIF($Z$28:$Z$31,"industrie",N28:N31)</f>
        <v>0</v>
      </c>
      <c r="O33" s="594">
        <f>SUMIF($Z$28:$Z$31,"industrie",O28:O31)</f>
        <v>0</v>
      </c>
      <c r="P33" s="594">
        <f>SUMIF($Z$28:$Z$31,"industrie",P28:P31)</f>
        <v>0</v>
      </c>
      <c r="Q33" s="594">
        <f>SUMIF($Z$28:$Z$31,"industrie",Q28:Q31)</f>
        <v>0</v>
      </c>
      <c r="R33" s="594">
        <f>SUMIF($Z$28:$Z$31,"industrie",R28:R31)</f>
        <v>0</v>
      </c>
      <c r="S33" s="594">
        <f>SUMIF($Z$28:$Z$31,"industrie",S28:S31)</f>
        <v>0</v>
      </c>
      <c r="T33" s="594">
        <f>SUMIF($Z$28:$Z$31,"industrie",T28:T31)</f>
        <v>0</v>
      </c>
      <c r="U33" s="594">
        <f>SUMIF($Z$28:$Z$31,"industrie",U28:U31)</f>
        <v>0</v>
      </c>
      <c r="V33" s="594">
        <f>SUMIF($Z$28:$Z$31,"industrie",V28:V31)</f>
        <v>0</v>
      </c>
      <c r="W33" s="594">
        <f>SUMIF($Z$28:$Z$31,"industrie",W28:W31)</f>
        <v>0</v>
      </c>
      <c r="X33" s="595"/>
      <c r="Y33" s="595"/>
      <c r="Z33" s="596"/>
    </row>
    <row r="34" spans="1:27" s="570" customFormat="1">
      <c r="A34" s="592" t="s">
        <v>283</v>
      </c>
      <c r="B34" s="593"/>
      <c r="C34" s="593"/>
      <c r="D34" s="593"/>
      <c r="E34" s="593"/>
      <c r="F34" s="593"/>
      <c r="G34" s="593"/>
      <c r="H34" s="593"/>
      <c r="I34" s="593"/>
      <c r="J34" s="593"/>
      <c r="K34" s="593"/>
      <c r="L34" s="594"/>
      <c r="M34" s="594">
        <f ca="1">SUMIF($Z$28:AC31,"tertiair",M28:M31)</f>
        <v>86</v>
      </c>
      <c r="N34" s="594">
        <f ca="1">SUMIF($Z$28:AD31,"tertiair",N28:N31)</f>
        <v>387.00000000000006</v>
      </c>
      <c r="O34" s="594">
        <f ca="1">SUMIF($Z$28:AE31,"tertiair",O28:O31)</f>
        <v>552.857142857143</v>
      </c>
      <c r="P34" s="594">
        <f ca="1">SUMIF($Z$28:AF31,"tertiair",P28:P31)</f>
        <v>900.00000000000023</v>
      </c>
      <c r="Q34" s="594">
        <f ca="1">SUMIF($Z$28:AG31,"tertiair",Q28:Q31)</f>
        <v>205.71428571428572</v>
      </c>
      <c r="R34" s="594">
        <f ca="1">SUMIF($Z$28:AH31,"tertiair",R28:R31)</f>
        <v>0</v>
      </c>
      <c r="S34" s="594">
        <f ca="1">SUMIF($Z$28:AI31,"tertiair",S28:S31)</f>
        <v>0</v>
      </c>
      <c r="T34" s="594">
        <f ca="1">SUMIF($Z$28:AJ31,"tertiair",T28:T31)</f>
        <v>0</v>
      </c>
      <c r="U34" s="594">
        <f ca="1">SUMIF($Z$28:AK31,"tertiair",U28:U31)</f>
        <v>0</v>
      </c>
      <c r="V34" s="594">
        <f ca="1">SUMIF($Z$28:AL31,"tertiair",V28:V31)</f>
        <v>0</v>
      </c>
      <c r="W34" s="594">
        <f ca="1">SUMIF($Z$28:AM31,"tertiair",W28:W31)</f>
        <v>0</v>
      </c>
      <c r="X34" s="595"/>
      <c r="Y34" s="595"/>
      <c r="Z34" s="596"/>
    </row>
    <row r="35" spans="1:27" s="570" customFormat="1" ht="15.75" thickBot="1">
      <c r="A35" s="597" t="s">
        <v>284</v>
      </c>
      <c r="B35" s="598"/>
      <c r="C35" s="598"/>
      <c r="D35" s="598"/>
      <c r="E35" s="598"/>
      <c r="F35" s="598"/>
      <c r="G35" s="598"/>
      <c r="H35" s="598"/>
      <c r="I35" s="598"/>
      <c r="J35" s="598"/>
      <c r="K35" s="598"/>
      <c r="L35" s="599"/>
      <c r="M35" s="599">
        <f>SUMIF($Z$28:$Z$31,"landbouw",M28:M31)</f>
        <v>6.5</v>
      </c>
      <c r="N35" s="599">
        <f>SUMIF($Z$28:$Z$31,"landbouw",N28:N31)</f>
        <v>29.25</v>
      </c>
      <c r="O35" s="599">
        <f>SUMIF($Z$28:$Z$31,"landbouw",O28:O31)</f>
        <v>57.857142857142861</v>
      </c>
      <c r="P35" s="599">
        <f>SUMIF($Z$28:$Z$31,"landbouw",P28:P31)</f>
        <v>100.71428571428572</v>
      </c>
      <c r="Q35" s="599">
        <f>SUMIF($Z$28:$Z$31,"landbouw",Q28:Q31)</f>
        <v>0</v>
      </c>
      <c r="R35" s="599">
        <f>SUMIF($Z$28:$Z$31,"landbouw",R28:R31)</f>
        <v>0</v>
      </c>
      <c r="S35" s="599">
        <f>SUMIF($Z$28:$Z$31,"landbouw",S28:S31)</f>
        <v>0</v>
      </c>
      <c r="T35" s="599">
        <f>SUMIF($Z$28:$Z$31,"landbouw",T28:T31)</f>
        <v>0</v>
      </c>
      <c r="U35" s="599">
        <f>SUMIF($Z$28:$Z$31,"landbouw",U28:U31)</f>
        <v>0</v>
      </c>
      <c r="V35" s="599">
        <f>SUMIF($Z$28:$Z$31,"landbouw",V28:V31)</f>
        <v>0</v>
      </c>
      <c r="W35" s="599">
        <f>SUMIF($Z$28:$Z$31,"landbouw",W28:W31)</f>
        <v>0</v>
      </c>
      <c r="X35" s="600"/>
      <c r="Y35" s="600"/>
      <c r="Z35" s="601"/>
    </row>
    <row r="36" spans="1:27" s="531" customFormat="1" ht="15.75" thickBot="1">
      <c r="A36" s="602"/>
      <c r="B36" s="603"/>
      <c r="C36" s="603"/>
      <c r="D36" s="603"/>
      <c r="E36" s="603"/>
      <c r="F36" s="603"/>
      <c r="G36" s="603"/>
      <c r="H36" s="603"/>
      <c r="I36" s="603"/>
      <c r="J36" s="603"/>
      <c r="K36" s="603"/>
      <c r="L36" s="586"/>
      <c r="M36" s="586"/>
      <c r="N36" s="586"/>
      <c r="O36" s="587"/>
      <c r="P36" s="587"/>
    </row>
    <row r="37" spans="1:27" s="531" customFormat="1" ht="45">
      <c r="A37" s="604" t="s">
        <v>276</v>
      </c>
      <c r="B37" s="633" t="s">
        <v>89</v>
      </c>
      <c r="C37" s="633" t="s">
        <v>90</v>
      </c>
      <c r="D37" s="633" t="s">
        <v>91</v>
      </c>
      <c r="E37" s="633" t="s">
        <v>92</v>
      </c>
      <c r="F37" s="633" t="s">
        <v>93</v>
      </c>
      <c r="G37" s="633" t="s">
        <v>94</v>
      </c>
      <c r="H37" s="633" t="s">
        <v>95</v>
      </c>
      <c r="I37" s="633" t="s">
        <v>96</v>
      </c>
      <c r="J37" s="633" t="s">
        <v>97</v>
      </c>
      <c r="K37" s="633" t="s">
        <v>98</v>
      </c>
      <c r="L37" s="633" t="s">
        <v>99</v>
      </c>
      <c r="M37" s="634" t="s">
        <v>293</v>
      </c>
      <c r="N37" s="634" t="s">
        <v>100</v>
      </c>
      <c r="O37" s="634" t="s">
        <v>101</v>
      </c>
      <c r="P37" s="634" t="s">
        <v>517</v>
      </c>
      <c r="Q37" s="634" t="s">
        <v>102</v>
      </c>
      <c r="R37" s="634" t="s">
        <v>103</v>
      </c>
      <c r="S37" s="634" t="s">
        <v>104</v>
      </c>
      <c r="T37" s="634" t="s">
        <v>105</v>
      </c>
      <c r="U37" s="634" t="s">
        <v>106</v>
      </c>
      <c r="V37" s="634" t="s">
        <v>107</v>
      </c>
      <c r="W37" s="633" t="s">
        <v>108</v>
      </c>
      <c r="X37" s="633" t="s">
        <v>294</v>
      </c>
      <c r="Y37" s="633" t="s">
        <v>109</v>
      </c>
      <c r="Z37" s="635" t="s">
        <v>295</v>
      </c>
    </row>
    <row r="38" spans="1:27" s="605" customFormat="1" ht="12.75">
      <c r="A38" s="591"/>
      <c r="B38" s="787"/>
      <c r="C38" s="787"/>
      <c r="D38" s="639"/>
      <c r="E38" s="639"/>
      <c r="F38" s="639"/>
      <c r="G38" s="639"/>
      <c r="H38" s="639"/>
      <c r="I38" s="639"/>
      <c r="J38" s="786"/>
      <c r="K38" s="786"/>
      <c r="L38" s="639"/>
      <c r="M38" s="639"/>
      <c r="N38" s="639"/>
      <c r="O38" s="639"/>
      <c r="P38" s="639"/>
      <c r="Q38" s="639"/>
      <c r="R38" s="639"/>
      <c r="S38" s="639"/>
      <c r="T38" s="639"/>
      <c r="U38" s="639"/>
      <c r="V38" s="639"/>
      <c r="W38" s="639"/>
      <c r="X38" s="639"/>
      <c r="Y38" s="639"/>
      <c r="Z38" s="640"/>
    </row>
    <row r="39" spans="1:27" s="570" customFormat="1">
      <c r="A39" s="592" t="s">
        <v>275</v>
      </c>
      <c r="B39" s="593"/>
      <c r="C39" s="593"/>
      <c r="D39" s="593"/>
      <c r="E39" s="593"/>
      <c r="F39" s="593"/>
      <c r="G39" s="593"/>
      <c r="H39" s="593"/>
      <c r="I39" s="593"/>
      <c r="J39" s="593"/>
      <c r="K39" s="593"/>
      <c r="L39" s="594"/>
      <c r="M39" s="594">
        <f>SUM(M38:M38)</f>
        <v>0</v>
      </c>
      <c r="N39" s="594">
        <f>SUM(N38:N38)</f>
        <v>0</v>
      </c>
      <c r="O39" s="594">
        <f>SUM(O38:O38)</f>
        <v>0</v>
      </c>
      <c r="P39" s="594">
        <f>SUM(P38:P38)</f>
        <v>0</v>
      </c>
      <c r="Q39" s="594">
        <f>SUM(Q38:Q38)</f>
        <v>0</v>
      </c>
      <c r="R39" s="594">
        <f>SUM(R38:R38)</f>
        <v>0</v>
      </c>
      <c r="S39" s="594">
        <f>SUM(S38:S38)</f>
        <v>0</v>
      </c>
      <c r="T39" s="594">
        <f>SUM(T38:T38)</f>
        <v>0</v>
      </c>
      <c r="U39" s="594">
        <f>SUM(U38:U38)</f>
        <v>0</v>
      </c>
      <c r="V39" s="594">
        <f>SUM(V38:V38)</f>
        <v>0</v>
      </c>
      <c r="W39" s="594">
        <f>SUM(W38:W38)</f>
        <v>0</v>
      </c>
      <c r="X39" s="595"/>
      <c r="Y39" s="595"/>
      <c r="Z39" s="596"/>
    </row>
    <row r="40" spans="1:27" s="570" customFormat="1">
      <c r="A40" s="592" t="s">
        <v>282</v>
      </c>
      <c r="B40" s="593"/>
      <c r="C40" s="593"/>
      <c r="D40" s="593"/>
      <c r="E40" s="593"/>
      <c r="F40" s="593"/>
      <c r="G40" s="593"/>
      <c r="H40" s="593"/>
      <c r="I40" s="593"/>
      <c r="J40" s="593"/>
      <c r="K40" s="593"/>
      <c r="L40" s="594"/>
      <c r="M40" s="594">
        <f>SUMIF($Z$38:$Z$38,"industrie",M38:M38)</f>
        <v>0</v>
      </c>
      <c r="N40" s="594">
        <f>SUMIF($Z$38:$Z$38,"industrie",N38:N38)</f>
        <v>0</v>
      </c>
      <c r="O40" s="594">
        <f>SUMIF($Z$38:$Z$38,"industrie",O38:O38)</f>
        <v>0</v>
      </c>
      <c r="P40" s="594">
        <f>SUMIF($Z$38:$Z$38,"industrie",P38:P38)</f>
        <v>0</v>
      </c>
      <c r="Q40" s="594">
        <f>SUMIF($Z$38:$Z$38,"industrie",Q38:Q38)</f>
        <v>0</v>
      </c>
      <c r="R40" s="594">
        <f>SUMIF($Z$38:$Z$38,"industrie",R38:R38)</f>
        <v>0</v>
      </c>
      <c r="S40" s="594">
        <f>SUMIF($Z$38:$Z$38,"industrie",S38:S38)</f>
        <v>0</v>
      </c>
      <c r="T40" s="594">
        <f>SUMIF($Z$38:$Z$38,"industrie",T38:T38)</f>
        <v>0</v>
      </c>
      <c r="U40" s="594">
        <f>SUMIF($Z$38:$Z$38,"industrie",U38:U38)</f>
        <v>0</v>
      </c>
      <c r="V40" s="594">
        <f>SUMIF($Z$38:$Z$38,"industrie",V38:V38)</f>
        <v>0</v>
      </c>
      <c r="W40" s="594">
        <f>SUMIF($Z$38:$Z$38,"industrie",W38:W38)</f>
        <v>0</v>
      </c>
      <c r="X40" s="595"/>
      <c r="Y40" s="595"/>
      <c r="Z40" s="596"/>
    </row>
    <row r="41" spans="1:27" s="570" customFormat="1">
      <c r="A41" s="592" t="s">
        <v>283</v>
      </c>
      <c r="B41" s="593"/>
      <c r="C41" s="593"/>
      <c r="D41" s="593"/>
      <c r="E41" s="593"/>
      <c r="F41" s="593"/>
      <c r="G41" s="593"/>
      <c r="H41" s="593"/>
      <c r="I41" s="593"/>
      <c r="J41" s="593"/>
      <c r="K41" s="593"/>
      <c r="L41" s="594"/>
      <c r="M41" s="594">
        <f>SUMIF($Z$38:$Z$39,"tertiair",M38:M39)</f>
        <v>0</v>
      </c>
      <c r="N41" s="594">
        <f>SUMIF($Z$38:$Z$39,"tertiair",N38:N39)</f>
        <v>0</v>
      </c>
      <c r="O41" s="594">
        <f>SUMIF($Z$38:$Z$39,"tertiair",O38:O39)</f>
        <v>0</v>
      </c>
      <c r="P41" s="594">
        <f>SUMIF($Z$38:$Z$39,"tertiair",P38:P39)</f>
        <v>0</v>
      </c>
      <c r="Q41" s="594">
        <f>SUMIF($Z$38:$Z$39,"tertiair",Q38:Q39)</f>
        <v>0</v>
      </c>
      <c r="R41" s="594">
        <f>SUMIF($Z$38:$Z$39,"tertiair",R38:R39)</f>
        <v>0</v>
      </c>
      <c r="S41" s="594">
        <f>SUMIF($Z$38:$Z$39,"tertiair",S38:S39)</f>
        <v>0</v>
      </c>
      <c r="T41" s="594">
        <f>SUMIF($Z$38:$Z$39,"tertiair",T38:T39)</f>
        <v>0</v>
      </c>
      <c r="U41" s="594">
        <f>SUMIF($Z$38:$Z$39,"tertiair",U38:U39)</f>
        <v>0</v>
      </c>
      <c r="V41" s="594">
        <f>SUMIF($Z$38:$Z$39,"tertiair",V38:V39)</f>
        <v>0</v>
      </c>
      <c r="W41" s="594">
        <f>SUMIF($Z$38:$Z$39,"tertiair",W38:W39)</f>
        <v>0</v>
      </c>
      <c r="X41" s="595"/>
      <c r="Y41" s="595"/>
      <c r="Z41" s="596"/>
    </row>
    <row r="42" spans="1:27" s="570" customFormat="1" ht="15.75" thickBot="1">
      <c r="A42" s="597" t="s">
        <v>284</v>
      </c>
      <c r="B42" s="598"/>
      <c r="C42" s="598"/>
      <c r="D42" s="598"/>
      <c r="E42" s="598"/>
      <c r="F42" s="598"/>
      <c r="G42" s="598"/>
      <c r="H42" s="598"/>
      <c r="I42" s="598"/>
      <c r="J42" s="598"/>
      <c r="K42" s="598"/>
      <c r="L42" s="599"/>
      <c r="M42" s="599">
        <f>SUMIF($Z$38:$Z$40,"landbouw",M38:M40)</f>
        <v>0</v>
      </c>
      <c r="N42" s="599">
        <f>SUMIF($Z$38:$Z$40,"landbouw",N38:N40)</f>
        <v>0</v>
      </c>
      <c r="O42" s="599">
        <f>SUMIF($Z$38:$Z$40,"landbouw",O38:O40)</f>
        <v>0</v>
      </c>
      <c r="P42" s="599">
        <f>SUMIF($Z$38:$Z$40,"landbouw",P38:P40)</f>
        <v>0</v>
      </c>
      <c r="Q42" s="599">
        <f>SUMIF($Z$38:$Z$40,"landbouw",Q38:Q40)</f>
        <v>0</v>
      </c>
      <c r="R42" s="599">
        <f>SUMIF($Z$38:$Z$40,"landbouw",R38:R40)</f>
        <v>0</v>
      </c>
      <c r="S42" s="599">
        <f>SUMIF($Z$38:$Z$40,"landbouw",S38:S40)</f>
        <v>0</v>
      </c>
      <c r="T42" s="599">
        <f>SUMIF($Z$38:$Z$40,"landbouw",T38:T40)</f>
        <v>0</v>
      </c>
      <c r="U42" s="599">
        <f>SUMIF($Z$38:$Z$40,"landbouw",U38:U40)</f>
        <v>0</v>
      </c>
      <c r="V42" s="599">
        <f>SUMIF($Z$38:$Z$40,"landbouw",V38:V40)</f>
        <v>0</v>
      </c>
      <c r="W42" s="599">
        <f>SUMIF($Z$38:$Z$40,"landbouw",W38:W40)</f>
        <v>0</v>
      </c>
      <c r="X42" s="600"/>
      <c r="Y42" s="600"/>
      <c r="Z42" s="601"/>
    </row>
    <row r="43" spans="1:27" s="606" customFormat="1">
      <c r="A43" s="602"/>
      <c r="B43" s="586"/>
      <c r="C43" s="586"/>
      <c r="D43" s="586"/>
      <c r="E43" s="586"/>
      <c r="F43" s="586"/>
      <c r="G43" s="586"/>
      <c r="H43" s="586"/>
      <c r="I43" s="586"/>
      <c r="J43" s="586"/>
      <c r="K43" s="586"/>
      <c r="L43" s="586"/>
      <c r="M43" s="586"/>
      <c r="N43" s="586"/>
      <c r="O43" s="586"/>
      <c r="P43" s="586"/>
      <c r="Q43" s="586"/>
      <c r="R43" s="586"/>
      <c r="S43" s="586"/>
      <c r="T43" s="586"/>
      <c r="U43" s="586"/>
      <c r="V43" s="586"/>
      <c r="W43" s="586"/>
      <c r="X43" s="586"/>
      <c r="Y43" s="586"/>
    </row>
    <row r="44" spans="1:27" s="606" customFormat="1" ht="15.75" thickBot="1">
      <c r="A44" s="602"/>
      <c r="B44" s="586"/>
      <c r="C44" s="586"/>
      <c r="D44" s="586"/>
      <c r="E44" s="586"/>
      <c r="F44" s="586"/>
      <c r="G44" s="586"/>
      <c r="H44" s="586"/>
      <c r="I44" s="586"/>
      <c r="J44" s="586"/>
      <c r="K44" s="586"/>
      <c r="L44" s="586"/>
      <c r="M44" s="586"/>
      <c r="N44" s="586"/>
      <c r="O44" s="586"/>
      <c r="P44" s="586"/>
      <c r="Q44" s="586"/>
      <c r="R44" s="586"/>
      <c r="S44" s="586"/>
      <c r="T44" s="586"/>
      <c r="U44" s="586"/>
      <c r="V44" s="586"/>
      <c r="W44" s="586"/>
      <c r="X44" s="586"/>
      <c r="Y44" s="586"/>
      <c r="Z44" s="586"/>
      <c r="AA44" s="586"/>
    </row>
    <row r="45" spans="1:27">
      <c r="A45" s="607" t="s">
        <v>277</v>
      </c>
      <c r="B45" s="608"/>
      <c r="C45" s="608"/>
      <c r="D45" s="608"/>
      <c r="E45" s="608"/>
      <c r="F45" s="608"/>
      <c r="G45" s="608"/>
      <c r="H45" s="608"/>
      <c r="I45" s="609"/>
      <c r="J45" s="610"/>
      <c r="K45" s="610"/>
      <c r="L45" s="611"/>
      <c r="M45" s="611"/>
      <c r="N45" s="611"/>
      <c r="O45" s="611"/>
      <c r="P45" s="611"/>
    </row>
    <row r="46" spans="1:27">
      <c r="A46" s="613"/>
      <c r="B46" s="603"/>
      <c r="C46" s="603"/>
      <c r="D46" s="603"/>
      <c r="E46" s="603"/>
      <c r="F46" s="603"/>
      <c r="G46" s="603"/>
      <c r="H46" s="603"/>
      <c r="I46" s="614"/>
      <c r="J46" s="603"/>
      <c r="K46" s="603"/>
      <c r="L46" s="611"/>
      <c r="M46" s="611"/>
      <c r="N46" s="611"/>
      <c r="O46" s="611"/>
      <c r="P46" s="611"/>
    </row>
    <row r="47" spans="1:27">
      <c r="A47" s="615"/>
      <c r="B47" s="616" t="s">
        <v>278</v>
      </c>
      <c r="C47" s="616" t="s">
        <v>279</v>
      </c>
      <c r="D47" s="616"/>
      <c r="E47" s="616"/>
      <c r="F47" s="616"/>
      <c r="G47" s="616"/>
      <c r="H47" s="616"/>
      <c r="I47" s="617"/>
      <c r="J47" s="616"/>
      <c r="K47" s="616"/>
      <c r="L47" s="616"/>
      <c r="M47" s="616"/>
      <c r="N47" s="616"/>
      <c r="O47" s="616"/>
      <c r="P47" s="611"/>
    </row>
    <row r="48" spans="1:27">
      <c r="A48" s="613" t="s">
        <v>275</v>
      </c>
      <c r="B48" s="618">
        <f>IF(ISERROR(O32/(O32+N32)),0,O32/(O32+N32))</f>
        <v>0.59467918622848204</v>
      </c>
      <c r="C48" s="619">
        <f>IF(ISERROR(N32/(O32+N32)),0,N32/(N32+O32))</f>
        <v>0.40532081377151796</v>
      </c>
      <c r="D48" s="586"/>
      <c r="E48" s="586"/>
      <c r="F48" s="586"/>
      <c r="G48" s="586"/>
      <c r="H48" s="586"/>
      <c r="I48" s="620"/>
      <c r="J48" s="586"/>
      <c r="K48" s="586"/>
      <c r="L48" s="621"/>
      <c r="M48" s="621"/>
      <c r="N48" s="621"/>
      <c r="O48" s="621"/>
      <c r="P48" s="611"/>
    </row>
    <row r="49" spans="1:16">
      <c r="A49" s="613"/>
      <c r="B49" s="622"/>
      <c r="C49" s="622"/>
      <c r="D49" s="622"/>
      <c r="E49" s="622"/>
      <c r="F49" s="622"/>
      <c r="G49" s="622"/>
      <c r="H49" s="622"/>
      <c r="I49" s="623"/>
      <c r="J49" s="622"/>
      <c r="K49" s="622"/>
      <c r="L49" s="624"/>
      <c r="M49" s="624"/>
      <c r="N49" s="624"/>
      <c r="O49" s="624"/>
      <c r="P49" s="611"/>
    </row>
    <row r="50" spans="1:16" ht="30">
      <c r="A50" s="625"/>
      <c r="B50" s="626" t="s">
        <v>517</v>
      </c>
      <c r="C50" s="626" t="s">
        <v>102</v>
      </c>
      <c r="D50" s="626" t="s">
        <v>103</v>
      </c>
      <c r="E50" s="626" t="s">
        <v>104</v>
      </c>
      <c r="F50" s="626" t="s">
        <v>105</v>
      </c>
      <c r="G50" s="626" t="s">
        <v>106</v>
      </c>
      <c r="H50" s="626" t="s">
        <v>107</v>
      </c>
      <c r="I50" s="627" t="s">
        <v>108</v>
      </c>
      <c r="J50" s="616"/>
      <c r="K50" s="616"/>
      <c r="L50" s="624"/>
      <c r="M50" s="624"/>
      <c r="N50" s="624"/>
      <c r="O50" s="611"/>
      <c r="P50" s="611"/>
    </row>
    <row r="51" spans="1:16">
      <c r="A51" s="615" t="s">
        <v>280</v>
      </c>
      <c r="B51" s="628">
        <f t="shared" ref="B51:I51" si="2">$C$48*P32</f>
        <v>405.61032863849772</v>
      </c>
      <c r="C51" s="628">
        <f t="shared" si="2"/>
        <v>83.380281690140848</v>
      </c>
      <c r="D51" s="628">
        <f t="shared" si="2"/>
        <v>0</v>
      </c>
      <c r="E51" s="628">
        <f t="shared" si="2"/>
        <v>0</v>
      </c>
      <c r="F51" s="628">
        <f t="shared" si="2"/>
        <v>0</v>
      </c>
      <c r="G51" s="628">
        <f t="shared" si="2"/>
        <v>0</v>
      </c>
      <c r="H51" s="628">
        <f t="shared" si="2"/>
        <v>0</v>
      </c>
      <c r="I51" s="629">
        <f t="shared" si="2"/>
        <v>0</v>
      </c>
      <c r="J51" s="586"/>
      <c r="K51" s="586"/>
      <c r="L51" s="624"/>
      <c r="M51" s="624"/>
      <c r="N51" s="624"/>
      <c r="O51" s="611"/>
      <c r="P51" s="611"/>
    </row>
    <row r="52" spans="1:16" ht="15.75" thickBot="1">
      <c r="A52" s="630" t="s">
        <v>281</v>
      </c>
      <c r="B52" s="631">
        <f t="shared" ref="B52:I52" si="3">$B$48*P32</f>
        <v>595.10395707578823</v>
      </c>
      <c r="C52" s="631">
        <f t="shared" si="3"/>
        <v>122.33400402414487</v>
      </c>
      <c r="D52" s="631">
        <f t="shared" si="3"/>
        <v>0</v>
      </c>
      <c r="E52" s="631">
        <f t="shared" si="3"/>
        <v>0</v>
      </c>
      <c r="F52" s="631">
        <f t="shared" si="3"/>
        <v>0</v>
      </c>
      <c r="G52" s="631">
        <f t="shared" si="3"/>
        <v>0</v>
      </c>
      <c r="H52" s="631">
        <f t="shared" si="3"/>
        <v>0</v>
      </c>
      <c r="I52" s="632">
        <f t="shared" si="3"/>
        <v>0</v>
      </c>
      <c r="J52" s="586"/>
      <c r="K52" s="586"/>
      <c r="L52" s="624"/>
      <c r="M52" s="624"/>
      <c r="N52" s="624"/>
      <c r="O52" s="611"/>
      <c r="P52" s="611"/>
    </row>
    <row r="53" spans="1:16">
      <c r="J53" s="566"/>
      <c r="K53" s="566"/>
      <c r="L53" s="566"/>
      <c r="M53" s="566"/>
      <c r="N53" s="566"/>
    </row>
    <row r="54" spans="1:16">
      <c r="J54" s="566"/>
      <c r="K54" s="566"/>
      <c r="L54" s="566"/>
      <c r="M54" s="566"/>
      <c r="N54"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2021-06-29T14:16:28Z</dcterms:modified>
</cp:coreProperties>
</file>