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F6" i="17" s="1"/>
  <c r="R33" i="18"/>
  <c r="Q33" i="18"/>
  <c r="P33" i="18"/>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4" i="13"/>
  <c r="B33" i="13"/>
  <c r="B32" i="13"/>
  <c r="D6" i="17"/>
  <c r="D8" i="17" s="1"/>
  <c r="D12" i="17" s="1"/>
  <c r="E54"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8" i="15"/>
  <c r="C20" i="15" s="1"/>
  <c r="D40" i="14" s="1"/>
  <c r="C22" i="59"/>
  <c r="C56" i="22"/>
  <c r="C58" i="22" s="1"/>
  <c r="D49" i="14" s="1"/>
  <c r="D52" i="14" s="1"/>
  <c r="C20" i="16"/>
  <c r="C22" i="16" s="1"/>
  <c r="D43" i="14" s="1"/>
  <c r="C10" i="13"/>
  <c r="C12" i="13" s="1"/>
  <c r="D41" i="14" s="1"/>
  <c r="D46" i="14" s="1"/>
  <c r="D61" i="14" s="1"/>
  <c r="D63" i="14" s="1"/>
  <c r="C29" i="20"/>
  <c r="C10" i="17"/>
  <c r="C12" i="17" s="1"/>
  <c r="D54" i="14" s="1"/>
  <c r="D56" i="14" s="1"/>
  <c r="C17" i="49"/>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<sst xmlns="http://schemas.openxmlformats.org/spreadsheetml/2006/main" count="2445" uniqueCount="883">
  <si>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</si>
  <si>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</si>
  <si>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</si>
  <si>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</si>
  <si>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</si>
  <si>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</si>
  <si>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</si>
  <si>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</si>
  <si>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</si>
  <si>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</si>
  <si>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</si>
  <si>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</si>
  <si>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</si>
  <si>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</si>
  <si>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</si>
  <si>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</si>
  <si>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</si>
  <si>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</si>
  <si>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</si>
  <si>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</si>
  <si>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</si>
  <si>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</si>
  <si>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</si>
  <si>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</si>
  <si>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</si>
  <si>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</si>
  <si>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</si>
  <si>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</si>
  <si>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</si>
  <si>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</si>
  <si>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</si>
  <si>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</si>
  <si>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</si>
  <si>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</si>
  <si>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</si>
  <si>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</si>
  <si>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</si>
  <si>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</si>
  <si>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</si>
  <si>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</si>
  <si>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</si>
  <si>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</si>
  <si>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</si>
  <si>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</si>
  <si>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</si>
  <si>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</si>
  <si>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</si>
  <si>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</si>
  <si>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</si>
  <si>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</si>
  <si>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</si>
  <si>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</si>
  <si>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</si>
  <si>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</si>
  <si>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</si>
  <si>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</si>
  <si>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</si>
  <si>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</si>
  <si>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</si>
  <si>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</si>
  <si>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</si>
  <si>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</si>
  <si>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</si>
  <si>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</si>
  <si>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</si>
  <si>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</si>
  <si>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</si>
  <si>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</si>
  <si>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</si>
  <si>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</si>
  <si>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</si>
  <si>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</si>
  <si>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</si>
  <si>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</si>
  <si>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</si>
  <si>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</si>
  <si>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</si>
  <si>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</si>
  <si>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</si>
  <si>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</si>
  <si>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</si>
  <si>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</si>
  <si>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</si>
  <si>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</si>
  <si>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</si>
  <si>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</si>
  <si>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</si>
  <si>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</si>
  <si>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</si>
  <si>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</si>
  <si>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</si>
  <si>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</si>
  <si>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</si>
  <si>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</si>
  <si>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</si>
  <si>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</si>
  <si>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</si>
  <si>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</si>
  <si>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</si>
  <si>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</si>
  <si>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</si>
  <si>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</si>
  <si>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</si>
  <si>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</si>
  <si>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</si>
  <si>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</si>
  <si>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</si>
  <si>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</si>
  <si>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</si>
  <si>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</si>
  <si>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</si>
  <si>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</si>
  <si>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</si>
  <si>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</si>
  <si>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</si>
  <si>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</si>
  <si>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</si>
  <si>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</si>
  <si>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</si>
  <si>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</si>
  <si>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</si>
  <si>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</si>
  <si>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</si>
  <si>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</si>
  <si>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</si>
  <si>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</si>
  <si>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</si>
  <si>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</si>
  <si>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</si>
  <si>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</si>
  <si>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</si>
  <si>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</si>
  <si>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</si>
  <si>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</si>
  <si>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</si>
  <si>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</si>
  <si>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</si>
  <si>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</si>
  <si>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</si>
  <si>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</si>
  <si>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</si>
  <si>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</si>
  <si>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</si>
  <si>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</si>
  <si>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</si>
  <si>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</si>
  <si>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</si>
  <si>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</si>
  <si>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</si>
  <si>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</si>
  <si>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</si>
  <si>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</si>
  <si>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</si>
  <si>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</si>
  <si>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</si>
  <si>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</si>
  <si>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</si>
  <si>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</si>
  <si>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</si>
  <si>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</si>
  <si>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</si>
  <si>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</si>
  <si>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</si>
  <si>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</si>
  <si>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</si>
  <si>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</si>
  <si>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</si>
  <si>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</si>
  <si>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</si>
  <si>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</si>
  <si>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</si>
  <si>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</si>
  <si>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</si>
  <si>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</si>
  <si>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</si>
  <si>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</si>
  <si>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</si>
  <si>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</si>
  <si>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</si>
  <si>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</si>
  <si>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</si>
  <si>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</si>
  <si>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</si>
  <si>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</si>
  <si>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</si>
  <si>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</si>
  <si>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</si>
  <si>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</si>
  <si>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</si>
  <si>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</si>
  <si>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</si>
  <si>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</si>
  <si>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</si>
  <si>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</si>
  <si>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</si>
  <si>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</si>
  <si>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</si>
  <si>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</si>
  <si>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</si>
  <si>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</si>
  <si>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</si>
  <si>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</si>
  <si>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</si>
  <si>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</si>
  <si>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</si>
  <si>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</si>
  <si>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</si>
  <si>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</si>
  <si>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</si>
  <si>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</si>
  <si>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</si>
  <si>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</si>
  <si>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</si>
  <si>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</si>
  <si>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</si>
  <si>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</si>
  <si>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</si>
  <si>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</si>
  <si>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</si>
  <si>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</si>
  <si>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</si>
  <si>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</si>
  <si>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</si>
  <si>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</si>
  <si>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</si>
  <si>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</si>
  <si>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</si>
  <si>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</si>
  <si>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</si>
  <si>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</si>
  <si>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</si>
  <si>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</si>
  <si>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</si>
  <si>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</si>
  <si>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</si>
  <si>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</si>
  <si>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</si>
  <si>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</si>
  <si>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</si>
  <si>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</si>
  <si>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</si>
  <si>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</si>
  <si>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</si>
  <si>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</si>
  <si>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</si>
  <si>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</si>
  <si>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</si>
  <si>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</si>
  <si>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</si>
  <si>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</si>
  <si>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</si>
  <si>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</si>
  <si>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</si>
  <si>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</si>
  <si>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</si>
  <si>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</si>
  <si>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</si>
  <si>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</si>
  <si>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</si>
  <si>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</si>
  <si>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</si>
  <si>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</si>
  <si>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</si>
  <si>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</si>
  <si>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</si>
  <si>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</si>
  <si>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</si>
  <si>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</si>
  <si>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</si>
  <si>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</si>
  <si>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</si>
  <si>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</si>
  <si>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</si>
  <si>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</si>
  <si>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</si>
  <si>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</si>
  <si>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</si>
  <si>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</si>
  <si>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</si>
  <si>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</si>
  <si>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</si>
  <si>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</si>
  <si>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</si>
  <si>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</si>
  <si>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</si>
  <si>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</si>
  <si>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</si>
  <si>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</si>
  <si>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</si>
  <si>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</si>
  <si>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</si>
  <si>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</si>
  <si>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</si>
  <si>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</si>
  <si>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</si>
  <si>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</si>
  <si>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</si>
  <si>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</si>
  <si>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</si>
  <si>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</si>
  <si>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</si>
  <si>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</si>
  <si>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</si>
  <si>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</si>
  <si>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</si>
  <si>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</si>
  <si>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</si>
  <si>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</si>
  <si>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</si>
  <si>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</si>
  <si>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</si>
  <si>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</si>
  <si>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</si>
  <si>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</si>
  <si>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</si>
  <si>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</si>
  <si>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</si>
  <si>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</si>
  <si>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</si>
  <si>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</si>
  <si>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</si>
  <si>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</si>
  <si>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</si>
  <si>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</si>
  <si>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</si>
  <si>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</si>
  <si>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</si>
  <si>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</si>
  <si>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</si>
  <si>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</si>
  <si>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</si>
  <si>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</si>
  <si>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</si>
  <si>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</si>
  <si>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</si>
  <si>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</si>
  <si>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</si>
  <si>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</si>
  <si>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</si>
  <si>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</si>
  <si>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</si>
  <si>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</si>
  <si>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</si>
  <si>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</si>
  <si>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</si>
  <si>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</si>
  <si>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</si>
  <si>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</si>
  <si>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</si>
  <si>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</si>
  <si>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</si>
  <si>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</si>
  <si>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</si>
  <si>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</si>
  <si>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</si>
  <si>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</si>
  <si>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</si>
  <si>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</si>
  <si>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</si>
  <si>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</si>
  <si>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</si>
  <si>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</si>
  <si>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</si>
  <si>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</si>
  <si>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</si>
  <si>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</si>
  <si>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</si>
  <si>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</si>
  <si>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</si>
  <si>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</si>
  <si>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</si>
  <si>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</si>
  <si>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</si>
  <si>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</si>
  <si>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</si>
  <si>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</si>
  <si>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</si>
  <si>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</si>
  <si>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</si>
  <si>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</si>
  <si>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</si>
  <si>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</si>
  <si>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</si>
  <si>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</si>
  <si>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</si>
  <si>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</si>
  <si>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</si>
  <si>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</si>
  <si>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</si>
  <si>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</si>
  <si>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</si>
  <si>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</si>
  <si>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</si>
  <si>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</si>
  <si>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</si>
  <si>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</si>
  <si>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</si>
  <si>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</si>
  <si>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</si>
  <si>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</si>
  <si>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</si>
  <si>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</si>
  <si>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</si>
  <si>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</si>
  <si>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</si>
  <si>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</si>
  <si>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</si>
  <si>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</si>
  <si>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</si>
  <si>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</si>
  <si>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</si>
  <si>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</si>
  <si>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</si>
  <si>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</si>
  <si>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</si>
  <si>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</si>
  <si>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</si>
  <si>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</si>
  <si>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</si>
  <si>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</si>
  <si>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</si>
  <si>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</si>
  <si>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</si>
  <si>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</si>
  <si>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</si>
  <si>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</si>
  <si>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</si>
  <si>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</si>
  <si>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</si>
  <si>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</si>
  <si>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</si>
  <si>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</si>
  <si>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</si>
  <si>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</si>
  <si>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</si>
  <si>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</si>
  <si>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</si>
  <si>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</si>
  <si>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</si>
  <si>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</si>
  <si>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</si>
  <si>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</si>
  <si>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</si>
  <si>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</si>
  <si>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</si>
  <si>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</si>
  <si>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</si>
  <si>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</si>
  <si>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</si>
  <si>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</si>
  <si>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</si>
  <si>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</si>
  <si>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</si>
  <si>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</si>
  <si>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</si>
  <si>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</si>
  <si>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</si>
  <si>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</si>
  <si>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</si>
  <si>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</si>
  <si>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</si>
  <si>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</si>
  <si>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</si>
  <si>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</si>
  <si>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</si>
  <si>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</si>
  <si>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</si>
  <si>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</si>
  <si>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</si>
  <si>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</si>
  <si>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</si>
  <si>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</si>
  <si>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</si>
  <si>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</si>
  <si>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</si>
  <si>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</si>
  <si>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</si>
  <si>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</si>
  <si>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</si>
  <si>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</si>
  <si>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</si>
  <si>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</si>
  <si>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</si>
  <si>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</si>
  <si>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</si>
  <si>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</si>
  <si>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</si>
  <si>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</si>
  <si>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</si>
  <si>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</si>
  <si>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</si>
  <si>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</si>
  <si>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</si>
  <si>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</si>
  <si>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</si>
  <si>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</si>
  <si>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</si>
  <si>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</si>
  <si>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</si>
  <si>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</si>
  <si>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</si>
  <si>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</si>
  <si>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</si>
  <si>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</si>
  <si>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</si>
  <si>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</si>
  <si>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</si>
  <si>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</si>
  <si>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</si>
  <si>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</si>
  <si>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</si>
  <si>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</si>
  <si>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</si>
  <si>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</si>
  <si>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</si>
  <si>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</si>
  <si>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</si>
  <si>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</si>
  <si>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</si>
  <si>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</si>
  <si>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</si>
  <si>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</si>
  <si>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</si>
  <si>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</si>
  <si>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</si>
  <si>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</si>
  <si>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</si>
  <si>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</si>
  <si>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</si>
  <si>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</si>
  <si>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</si>
  <si>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</si>
  <si>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</si>
  <si>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</si>
  <si>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</si>
  <si>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</si>
  <si>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</si>
  <si>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</si>
  <si>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</si>
  <si>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</si>
  <si>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</si>
  <si>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</si>
  <si>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</si>
  <si>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</si>
  <si>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</si>
  <si>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</si>
  <si>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</si>
  <si>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</si>
  <si>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</si>
  <si>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</si>
  <si>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</si>
  <si>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</si>
  <si>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</si>
  <si>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</si>
  <si>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</si>
  <si>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</si>
  <si>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</si>
  <si>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</si>
  <si>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</si>
  <si>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</si>
  <si>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</si>
  <si>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</si>
  <si>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</si>
  <si>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</si>
  <si>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</si>
  <si>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</si>
  <si>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</si>
  <si>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</si>
  <si>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</si>
  <si>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</si>
  <si>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</si>
  <si>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</si>
  <si>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</si>
  <si>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</si>
  <si>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</si>
  <si>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</si>
  <si>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</si>
  <si>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</si>
  <si>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</si>
  <si>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</si>
  <si>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</si>
  <si>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</si>
  <si>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</si>
  <si>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</si>
  <si>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</si>
  <si>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</si>
  <si>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</si>
  <si>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</si>
  <si>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</si>
  <si>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</si>
  <si>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</si>
  <si>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</si>
  <si>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</si>
  <si>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</si>
  <si>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</si>
  <si>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</si>
  <si>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</si>
  <si>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</si>
  <si>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</si>
  <si>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</si>
  <si>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</si>
  <si>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</si>
  <si>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</si>
  <si>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</si>
  <si>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</si>
  <si>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</si>
  <si>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</si>
  <si>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</si>
  <si>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</si>
  <si>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</si>
  <si>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</si>
  <si>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</si>
  <si>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</si>
  <si>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</si>
  <si>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</si>
  <si>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</si>
  <si>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</si>
  <si>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</si>
  <si>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</si>
  <si>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</si>
  <si>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</si>
  <si>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</si>
  <si>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</si>
  <si>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</si>
  <si>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</si>
  <si>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</si>
  <si>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</si>
  <si>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</si>
  <si>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</si>
  <si>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</si>
  <si>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</si>
  <si>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</si>
  <si>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</si>
  <si>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</si>
  <si>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</si>
  <si>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</si>
  <si>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</si>
  <si>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</si>
  <si>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</si>
  <si>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</si>
  <si>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</si>
  <si>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</si>
  <si>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</si>
  <si>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</si>
  <si>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</si>
  <si>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</si>
  <si>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</si>
  <si>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</si>
  <si>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</si>
  <si>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</si>
  <si>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</si>
  <si>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</si>
  <si>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</si>
  <si>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</si>
  <si>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</si>
  <si>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</si>
  <si>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</si>
  <si>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</si>
  <si>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</si>
  <si>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</si>
  <si>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</si>
  <si>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</si>
  <si>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</si>
  <si>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</si>
  <si>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</si>
  <si>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</si>
  <si>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</si>
  <si>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</si>
  <si>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</si>
  <si>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</si>
  <si>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</si>
  <si>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</si>
  <si>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</si>
  <si>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</si>
  <si>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</si>
  <si>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</si>
  <si>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</si>
  <si>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</si>
  <si>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</si>
  <si>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</si>
  <si>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</si>
  <si>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</si>
  <si>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</si>
  <si>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</si>
  <si>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</si>
  <si>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</si>
  <si>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</si>
  <si>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</si>
  <si>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</si>
  <si>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</si>
  <si>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</si>
  <si>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</si>
  <si>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</si>
  <si>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</si>
  <si>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</si>
  <si>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</si>
  <si>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</si>
  <si>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</si>
  <si>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</si>
  <si>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</si>
  <si>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</si>
  <si>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</si>
  <si>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</si>
  <si>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</si>
  <si>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</si>
  <si>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</si>
  <si>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</si>
  <si>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</si>
  <si>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</si>
  <si>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</si>
  <si>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</si>
  <si>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</si>
  <si>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</si>
  <si>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</si>
  <si>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</si>
  <si>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</si>
  <si>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</si>
  <si>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</si>
  <si>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</si>
  <si>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</si>
  <si>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</si>
  <si>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</si>
  <si>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</si>
  <si>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</si>
  <si>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</si>
  <si>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</si>
  <si>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</si>
  <si>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</si>
  <si>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</si>
  <si>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</si>
  <si>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</si>
  <si>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</si>
  <si>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</si>
  <si>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</si>
  <si>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</si>
  <si>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</si>
  <si>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</si>
  <si>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</si>
  <si>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</si>
  <si>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</si>
  <si>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</si>
  <si>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</si>
  <si>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</si>
  <si>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</si>
  <si>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</si>
  <si>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</si>
  <si>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</si>
  <si>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</si>
  <si>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</si>
  <si>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</si>
  <si>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</si>
  <si>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</si>
  <si>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</si>
  <si>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</si>
  <si>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</si>
  <si>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</si>
  <si>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</si>
  <si>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</si>
  <si>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</si>
  <si>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</si>
  <si>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</si>
  <si>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</si>
  <si>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</si>
  <si>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</si>
  <si>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</si>
  <si>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</si>
  <si>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</si>
  <si>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</si>
  <si>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</si>
  <si>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</si>
  <si>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</si>
  <si>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</si>
  <si>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</si>
  <si>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</si>
  <si>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</si>
  <si>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</si>
  <si>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</si>
  <si>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</si>
  <si>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</si>
  <si>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</si>
  <si>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</si>
  <si>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</si>
  <si>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</si>
  <si>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</si>
  <si>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</si>
  <si>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</si>
  <si>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</si>
  <si>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</si>
  <si>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</si>
  <si>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</si>
  <si>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</si>
  <si>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</si>
  <si>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</si>
  <si>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</si>
  <si>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</si>
  <si>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</si>
  <si>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</si>
  <si>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</si>
  <si>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</si>
  <si>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</si>
  <si>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</si>
  <si>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</si>
  <si>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</si>
  <si>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</si>
  <si>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</si>
  <si>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</si>
  <si>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</si>
  <si>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</si>
  <si>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</si>
  <si>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</si>
  <si>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</si>
  <si>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</si>
  <si>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</si>
  <si>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</si>
  <si>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</si>
  <si>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</si>
  <si>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</si>
  <si>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</si>
  <si>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</si>
  <si>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</si>
  <si>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</si>
  <si>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</si>
  <si>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</si>
  <si>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</si>
  <si>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</si>
  <si>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</si>
  <si>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</si>
  <si>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</si>
  <si>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</si>
  <si>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</si>
  <si>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</si>
  <si>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</si>
  <si>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</si>
  <si>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</si>
  <si>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</si>
  <si>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</si>
  <si>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</si>
  <si>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</si>
  <si>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</si>
  <si>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</si>
  <si>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</si>
  <si>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</si>
  <si>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</si>
  <si>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</si>
  <si>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</si>
  <si>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</si>
  <si>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</si>
  <si>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</si>
  <si>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</si>
  <si>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</si>
  <si>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</si>
  <si>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</si>
  <si>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</si>
  <si>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</si>
  <si>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</si>
  <si>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</si>
  <si>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</si>
  <si>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</si>
  <si>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</si>
  <si>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</si>
  <si>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</si>
  <si>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</si>
  <si>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</si>
  <si>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</si>
  <si>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</si>
  <si>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</si>
  <si>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</si>
  <si>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</si>
  <si>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</si>
  <si>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</si>
  <si>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24059</t>
  </si>
  <si>
    <t>LANDEN</t>
  </si>
  <si>
    <t>referentietaak LNE (2017); Jaarverslag De Lijn</t>
  </si>
  <si>
    <t>waterkracht</t>
  </si>
  <si>
    <t>Coil NV</t>
  </si>
  <si>
    <t>Roosveld 5 , 3400 Landen</t>
  </si>
  <si>
    <t>WKK-0475 Coil</t>
  </si>
  <si>
    <t>interne verbrandingsmotor</t>
  </si>
  <si>
    <t>WKK interne verbrandinsgmotor (gas)</t>
  </si>
  <si>
    <t>PBE</t>
  </si>
  <si>
    <t>WKK-0679 Free-Lance Camera</t>
  </si>
  <si>
    <t>brandstofcel</t>
  </si>
  <si>
    <t>Brouwerijstraat 55 , 3400 Eliksem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</si>
</sst>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135378.00878246789</c:v>
                </c:pt>
                <c:pt idx="1">
                  <c:v>27148.749666966462</c:v>
                </c:pt>
                <c:pt idx="2">
                  <c:v>977.96400000000006</c:v>
                </c:pt>
                <c:pt idx="3">
                  <c:v>8301.4313011558788</c:v>
                </c:pt>
                <c:pt idx="4">
                  <c:v>32546.262829650241</c:v>
                </c:pt>
                <c:pt idx="5">
                  <c:v>93285.561127140827</c:v>
                </c:pt>
                <c:pt idx="6">
                  <c:v>1035.7928149167385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135378.00878246789</c:v>
                </c:pt>
                <c:pt idx="1">
                  <c:v>27148.749666966462</c:v>
                </c:pt>
                <c:pt idx="2">
                  <c:v>977.96400000000006</c:v>
                </c:pt>
                <c:pt idx="3">
                  <c:v>8301.4313011558788</c:v>
                </c:pt>
                <c:pt idx="4">
                  <c:v>32546.262829650241</c:v>
                </c:pt>
                <c:pt idx="5">
                  <c:v>93285.561127140827</c:v>
                </c:pt>
                <c:pt idx="6">
                  <c:v>1035.7928149167385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29180.56601914113</c:v>
                </c:pt>
                <c:pt idx="1">
                  <c:v>5485.6644027685443</c:v>
                </c:pt>
                <c:pt idx="2">
                  <c:v>198.70361667371333</c:v>
                </c:pt>
                <c:pt idx="3">
                  <c:v>2120.9899384058685</c:v>
                </c:pt>
                <c:pt idx="4">
                  <c:v>6815.140865654239</c:v>
                </c:pt>
                <c:pt idx="5">
                  <c:v>23102.596431610506</c:v>
                </c:pt>
                <c:pt idx="6">
                  <c:v>260.77941287644256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29180.56601914113</c:v>
                </c:pt>
                <c:pt idx="1">
                  <c:v>5485.6644027685443</c:v>
                </c:pt>
                <c:pt idx="2">
                  <c:v>198.70361667371333</c:v>
                </c:pt>
                <c:pt idx="3">
                  <c:v>2120.9899384058685</c:v>
                </c:pt>
                <c:pt idx="4">
                  <c:v>6815.140865654239</c:v>
                </c:pt>
                <c:pt idx="5">
                  <c:v>23102.596431610506</c:v>
                </c:pt>
                <c:pt idx="6">
                  <c:v>260.77941287644256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24059</v>
      </c>
      <c r="B6" s="386"/>
      <c r="C6" s="387"/>
    </row>
    <row r="7" spans="1:7" s="384" customFormat="1" ht="15.75" customHeight="1">
      <c r="A7" s="388" t="str">
        <f>txtMunicipality</f>
        <v>LANDEN</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11398.428453</v>
      </c>
      <c r="D10" s="683">
        <f ca="1">tertiair!C16</f>
        <v>12.175675675675675</v>
      </c>
      <c r="E10" s="683">
        <f ca="1">tertiair!D16</f>
        <v>12816.923174812027</v>
      </c>
      <c r="F10" s="683">
        <f>tertiair!E16</f>
        <v>70.891210242317811</v>
      </c>
      <c r="G10" s="683">
        <f ca="1">tertiair!F16</f>
        <v>2847.9883829042128</v>
      </c>
      <c r="H10" s="683">
        <f>tertiair!G16</f>
        <v>0</v>
      </c>
      <c r="I10" s="683">
        <f>tertiair!H16</f>
        <v>0</v>
      </c>
      <c r="J10" s="683">
        <f>tertiair!I16</f>
        <v>0</v>
      </c>
      <c r="K10" s="683">
        <f>tertiair!J16</f>
        <v>2.2928050066964585E-2</v>
      </c>
      <c r="L10" s="683">
        <f>tertiair!K16</f>
        <v>0</v>
      </c>
      <c r="M10" s="683">
        <f ca="1">tertiair!L16</f>
        <v>0</v>
      </c>
      <c r="N10" s="683">
        <f>tertiair!M16</f>
        <v>0</v>
      </c>
      <c r="O10" s="683">
        <f ca="1">tertiair!N16</f>
        <v>875.20556566917367</v>
      </c>
      <c r="P10" s="683">
        <f>tertiair!O16</f>
        <v>0</v>
      </c>
      <c r="Q10" s="684">
        <f>tertiair!P16</f>
        <v>105.07827661299004</v>
      </c>
      <c r="R10" s="686">
        <f ca="1">SUM(C10:Q10)</f>
        <v>28126.713666966461</v>
      </c>
      <c r="S10" s="67"/>
    </row>
    <row r="11" spans="1:19" s="445" customFormat="1">
      <c r="A11" s="804" t="s">
        <v>220</v>
      </c>
      <c r="B11" s="809"/>
      <c r="C11" s="683">
        <f>huishoudens!B8</f>
        <v>27181.962315014756</v>
      </c>
      <c r="D11" s="683">
        <f>huishoudens!C8</f>
        <v>0</v>
      </c>
      <c r="E11" s="683">
        <f>huishoudens!D8</f>
        <v>35472.656837162998</v>
      </c>
      <c r="F11" s="683">
        <f>huishoudens!E8</f>
        <v>2694.6949753985296</v>
      </c>
      <c r="G11" s="683">
        <f>huishoudens!F8</f>
        <v>59031.619163950163</v>
      </c>
      <c r="H11" s="683">
        <f>huishoudens!G8</f>
        <v>0</v>
      </c>
      <c r="I11" s="683">
        <f>huishoudens!H8</f>
        <v>0</v>
      </c>
      <c r="J11" s="683">
        <f>huishoudens!I8</f>
        <v>0</v>
      </c>
      <c r="K11" s="683">
        <f>huishoudens!J8</f>
        <v>336.42765412539535</v>
      </c>
      <c r="L11" s="683">
        <f>huishoudens!K8</f>
        <v>0</v>
      </c>
      <c r="M11" s="683">
        <f>huishoudens!L8</f>
        <v>0</v>
      </c>
      <c r="N11" s="683">
        <f>huishoudens!M8</f>
        <v>0</v>
      </c>
      <c r="O11" s="683">
        <f>huishoudens!N8</f>
        <v>9759.5475823162051</v>
      </c>
      <c r="P11" s="683">
        <f>huishoudens!O8</f>
        <v>247.99477742337896</v>
      </c>
      <c r="Q11" s="684">
        <f>huishoudens!P8</f>
        <v>653.1054770764714</v>
      </c>
      <c r="R11" s="686">
        <f>SUM(C11:Q11)</f>
        <v>135378.00878246789</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16812.983555999999</v>
      </c>
      <c r="D13" s="683">
        <f>industrie!C18</f>
        <v>5207.1428571428578</v>
      </c>
      <c r="E13" s="683">
        <f>industrie!D18</f>
        <v>8644.8113813682885</v>
      </c>
      <c r="F13" s="683">
        <f>industrie!E18</f>
        <v>372.55379443880372</v>
      </c>
      <c r="G13" s="683">
        <f>industrie!F18</f>
        <v>1227.2362893329064</v>
      </c>
      <c r="H13" s="683">
        <f>industrie!G18</f>
        <v>0</v>
      </c>
      <c r="I13" s="683">
        <f>industrie!H18</f>
        <v>0</v>
      </c>
      <c r="J13" s="683">
        <f>industrie!I18</f>
        <v>0</v>
      </c>
      <c r="K13" s="683">
        <f>industrie!J18</f>
        <v>9.2312425337838668</v>
      </c>
      <c r="L13" s="683">
        <f>industrie!K18</f>
        <v>0</v>
      </c>
      <c r="M13" s="683">
        <f>industrie!L18</f>
        <v>0</v>
      </c>
      <c r="N13" s="683">
        <f>industrie!M18</f>
        <v>0</v>
      </c>
      <c r="O13" s="683">
        <f>industrie!N18</f>
        <v>272.30370883359819</v>
      </c>
      <c r="P13" s="683">
        <f>industrie!O18</f>
        <v>0</v>
      </c>
      <c r="Q13" s="684">
        <f>industrie!P18</f>
        <v>0</v>
      </c>
      <c r="R13" s="686">
        <f>SUM(C13:Q13)</f>
        <v>32546.262829650241</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55393.374324014752</v>
      </c>
      <c r="D16" s="719">
        <f t="shared" ref="D16:R16" ca="1" si="0">SUM(D9:D15)</f>
        <v>5219.3185328185336</v>
      </c>
      <c r="E16" s="719">
        <f t="shared" ca="1" si="0"/>
        <v>56934.391393343314</v>
      </c>
      <c r="F16" s="719">
        <f t="shared" si="0"/>
        <v>3138.1399800796512</v>
      </c>
      <c r="G16" s="719">
        <f t="shared" ca="1" si="0"/>
        <v>63106.843836187283</v>
      </c>
      <c r="H16" s="719">
        <f t="shared" si="0"/>
        <v>0</v>
      </c>
      <c r="I16" s="719">
        <f t="shared" si="0"/>
        <v>0</v>
      </c>
      <c r="J16" s="719">
        <f t="shared" si="0"/>
        <v>0</v>
      </c>
      <c r="K16" s="719">
        <f t="shared" si="0"/>
        <v>345.6818247092462</v>
      </c>
      <c r="L16" s="719">
        <f t="shared" si="0"/>
        <v>0</v>
      </c>
      <c r="M16" s="719">
        <f t="shared" ca="1" si="0"/>
        <v>0</v>
      </c>
      <c r="N16" s="719">
        <f t="shared" si="0"/>
        <v>0</v>
      </c>
      <c r="O16" s="719">
        <f t="shared" ca="1" si="0"/>
        <v>10907.056856818977</v>
      </c>
      <c r="P16" s="719">
        <f t="shared" si="0"/>
        <v>247.99477742337896</v>
      </c>
      <c r="Q16" s="719">
        <f t="shared" si="0"/>
        <v>758.18375368946147</v>
      </c>
      <c r="R16" s="719">
        <f t="shared" ca="1" si="0"/>
        <v>196050.98527908459</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15.414145486496258</v>
      </c>
      <c r="D19" s="683">
        <f>transport!C54</f>
        <v>0</v>
      </c>
      <c r="E19" s="683">
        <f>transport!D54</f>
        <v>0</v>
      </c>
      <c r="F19" s="683">
        <f>transport!E54</f>
        <v>0</v>
      </c>
      <c r="G19" s="683">
        <f>transport!F54</f>
        <v>0</v>
      </c>
      <c r="H19" s="683">
        <f>transport!G54</f>
        <v>964.9721076801801</v>
      </c>
      <c r="I19" s="683">
        <f>transport!H54</f>
        <v>0</v>
      </c>
      <c r="J19" s="683">
        <f>transport!I54</f>
        <v>0</v>
      </c>
      <c r="K19" s="683">
        <f>transport!J54</f>
        <v>0</v>
      </c>
      <c r="L19" s="683">
        <f>transport!K54</f>
        <v>0</v>
      </c>
      <c r="M19" s="683">
        <f>transport!L54</f>
        <v>0</v>
      </c>
      <c r="N19" s="683">
        <f>transport!M54</f>
        <v>55.40656175006216</v>
      </c>
      <c r="O19" s="683">
        <f>transport!N54</f>
        <v>0</v>
      </c>
      <c r="P19" s="683">
        <f>transport!O54</f>
        <v>0</v>
      </c>
      <c r="Q19" s="684">
        <f>transport!P54</f>
        <v>0</v>
      </c>
      <c r="R19" s="686">
        <f>SUM(C19:Q19)</f>
        <v>1035.7928149167385</v>
      </c>
      <c r="S19" s="67"/>
    </row>
    <row r="20" spans="1:19" s="445" customFormat="1">
      <c r="A20" s="804" t="s">
        <v>302</v>
      </c>
      <c r="B20" s="809"/>
      <c r="C20" s="683">
        <f>transport!B14</f>
        <v>228.34842187760489</v>
      </c>
      <c r="D20" s="683">
        <f>transport!C14</f>
        <v>0</v>
      </c>
      <c r="E20" s="683">
        <f>transport!D14</f>
        <v>391.6311644547452</v>
      </c>
      <c r="F20" s="683">
        <f>transport!E14</f>
        <v>164.9508750350453</v>
      </c>
      <c r="G20" s="683">
        <f>transport!F14</f>
        <v>0</v>
      </c>
      <c r="H20" s="683">
        <f>transport!G14</f>
        <v>67748.829350267537</v>
      </c>
      <c r="I20" s="683">
        <f>transport!H14</f>
        <v>19480.761489158238</v>
      </c>
      <c r="J20" s="683">
        <f>transport!I14</f>
        <v>0</v>
      </c>
      <c r="K20" s="683">
        <f>transport!J14</f>
        <v>0</v>
      </c>
      <c r="L20" s="683">
        <f>transport!K14</f>
        <v>0</v>
      </c>
      <c r="M20" s="683">
        <f>transport!L14</f>
        <v>0</v>
      </c>
      <c r="N20" s="683">
        <f>transport!M14</f>
        <v>5271.0398263476663</v>
      </c>
      <c r="O20" s="683">
        <f>transport!N14</f>
        <v>0</v>
      </c>
      <c r="P20" s="683">
        <f>transport!O14</f>
        <v>0</v>
      </c>
      <c r="Q20" s="684">
        <f>transport!P14</f>
        <v>0</v>
      </c>
      <c r="R20" s="686">
        <f>SUM(C20:Q20)</f>
        <v>93285.561127140827</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243.76256736410116</v>
      </c>
      <c r="D22" s="807">
        <f t="shared" ref="D22:R22" si="1">SUM(D18:D21)</f>
        <v>0</v>
      </c>
      <c r="E22" s="807">
        <f t="shared" si="1"/>
        <v>391.6311644547452</v>
      </c>
      <c r="F22" s="807">
        <f t="shared" si="1"/>
        <v>164.9508750350453</v>
      </c>
      <c r="G22" s="807">
        <f t="shared" si="1"/>
        <v>0</v>
      </c>
      <c r="H22" s="807">
        <f t="shared" si="1"/>
        <v>68713.801457947717</v>
      </c>
      <c r="I22" s="807">
        <f t="shared" si="1"/>
        <v>19480.761489158238</v>
      </c>
      <c r="J22" s="807">
        <f t="shared" si="1"/>
        <v>0</v>
      </c>
      <c r="K22" s="807">
        <f t="shared" si="1"/>
        <v>0</v>
      </c>
      <c r="L22" s="807">
        <f t="shared" si="1"/>
        <v>0</v>
      </c>
      <c r="M22" s="807">
        <f t="shared" si="1"/>
        <v>0</v>
      </c>
      <c r="N22" s="807">
        <f t="shared" si="1"/>
        <v>5326.4463880977282</v>
      </c>
      <c r="O22" s="807">
        <f t="shared" si="1"/>
        <v>0</v>
      </c>
      <c r="P22" s="807">
        <f t="shared" si="1"/>
        <v>0</v>
      </c>
      <c r="Q22" s="807">
        <f t="shared" si="1"/>
        <v>0</v>
      </c>
      <c r="R22" s="807">
        <f t="shared" si="1"/>
        <v>94321.353942057569</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1803.0728459999998</v>
      </c>
      <c r="D24" s="683">
        <f>+landbouw!C8</f>
        <v>0</v>
      </c>
      <c r="E24" s="683">
        <f>+landbouw!D8</f>
        <v>280.653363501</v>
      </c>
      <c r="F24" s="683">
        <f>+landbouw!E8</f>
        <v>51.643057667336379</v>
      </c>
      <c r="G24" s="683">
        <f>+landbouw!F8</f>
        <v>5707.5972300500516</v>
      </c>
      <c r="H24" s="683">
        <f>+landbouw!G8</f>
        <v>0</v>
      </c>
      <c r="I24" s="683">
        <f>+landbouw!H8</f>
        <v>0</v>
      </c>
      <c r="J24" s="683">
        <f>+landbouw!I8</f>
        <v>0</v>
      </c>
      <c r="K24" s="683">
        <f>+landbouw!J8</f>
        <v>458.46480393749101</v>
      </c>
      <c r="L24" s="683">
        <f>+landbouw!K8</f>
        <v>0</v>
      </c>
      <c r="M24" s="683">
        <f>+landbouw!L8</f>
        <v>0</v>
      </c>
      <c r="N24" s="683">
        <f>+landbouw!M8</f>
        <v>0</v>
      </c>
      <c r="O24" s="683">
        <f>+landbouw!N8</f>
        <v>0</v>
      </c>
      <c r="P24" s="683">
        <f>+landbouw!O8</f>
        <v>0</v>
      </c>
      <c r="Q24" s="684">
        <f>+landbouw!P8</f>
        <v>0</v>
      </c>
      <c r="R24" s="686">
        <f>SUM(C24:Q24)</f>
        <v>8301.4313011558788</v>
      </c>
      <c r="S24" s="67"/>
    </row>
    <row r="25" spans="1:19" s="445" customFormat="1" ht="15" thickBot="1">
      <c r="A25" s="826" t="s">
        <v>696</v>
      </c>
      <c r="B25" s="939"/>
      <c r="C25" s="940">
        <f>IF(Onbekend_ele_kWh="---",0,Onbekend_ele_kWh)/1000+IF(REST_rest_ele_kWh="---",0,REST_rest_ele_kWh)/1000</f>
        <v>1247.1449769999999</v>
      </c>
      <c r="D25" s="940"/>
      <c r="E25" s="940">
        <f>IF(onbekend_gas_kWh="---",0,onbekend_gas_kWh)/1000+IF(REST_rest_gas_kWh="---",0,REST_rest_gas_kWh)/1000</f>
        <v>1085.6382699999999</v>
      </c>
      <c r="F25" s="940"/>
      <c r="G25" s="940"/>
      <c r="H25" s="940"/>
      <c r="I25" s="940"/>
      <c r="J25" s="940"/>
      <c r="K25" s="940"/>
      <c r="L25" s="940"/>
      <c r="M25" s="940"/>
      <c r="N25" s="940"/>
      <c r="O25" s="940"/>
      <c r="P25" s="940"/>
      <c r="Q25" s="941"/>
      <c r="R25" s="686">
        <f>SUM(C25:Q25)</f>
        <v>2332.7832469999998</v>
      </c>
      <c r="S25" s="67"/>
    </row>
    <row r="26" spans="1:19" s="445" customFormat="1" ht="15.75" thickBot="1">
      <c r="A26" s="691" t="s">
        <v>697</v>
      </c>
      <c r="B26" s="812"/>
      <c r="C26" s="807">
        <f>SUM(C24:C25)</f>
        <v>3050.217823</v>
      </c>
      <c r="D26" s="807">
        <f t="shared" ref="D26:R26" si="2">SUM(D24:D25)</f>
        <v>0</v>
      </c>
      <c r="E26" s="807">
        <f t="shared" si="2"/>
        <v>1366.291633501</v>
      </c>
      <c r="F26" s="807">
        <f t="shared" si="2"/>
        <v>51.643057667336379</v>
      </c>
      <c r="G26" s="807">
        <f t="shared" si="2"/>
        <v>5707.5972300500516</v>
      </c>
      <c r="H26" s="807">
        <f t="shared" si="2"/>
        <v>0</v>
      </c>
      <c r="I26" s="807">
        <f t="shared" si="2"/>
        <v>0</v>
      </c>
      <c r="J26" s="807">
        <f t="shared" si="2"/>
        <v>0</v>
      </c>
      <c r="K26" s="807">
        <f t="shared" si="2"/>
        <v>458.46480393749101</v>
      </c>
      <c r="L26" s="807">
        <f t="shared" si="2"/>
        <v>0</v>
      </c>
      <c r="M26" s="807">
        <f t="shared" si="2"/>
        <v>0</v>
      </c>
      <c r="N26" s="807">
        <f t="shared" si="2"/>
        <v>0</v>
      </c>
      <c r="O26" s="807">
        <f t="shared" si="2"/>
        <v>0</v>
      </c>
      <c r="P26" s="807">
        <f t="shared" si="2"/>
        <v>0</v>
      </c>
      <c r="Q26" s="807">
        <f t="shared" si="2"/>
        <v>0</v>
      </c>
      <c r="R26" s="807">
        <f t="shared" si="2"/>
        <v>10634.214548155878</v>
      </c>
      <c r="S26" s="67"/>
    </row>
    <row r="27" spans="1:19" s="445" customFormat="1" ht="17.25" thickTop="1" thickBot="1">
      <c r="A27" s="692" t="s">
        <v>115</v>
      </c>
      <c r="B27" s="799"/>
      <c r="C27" s="693">
        <f ca="1">C22+C16+C26</f>
        <v>58687.354714378853</v>
      </c>
      <c r="D27" s="693">
        <f t="shared" ref="D27:R27" ca="1" si="3">D22+D16+D26</f>
        <v>5219.3185328185336</v>
      </c>
      <c r="E27" s="693">
        <f t="shared" ca="1" si="3"/>
        <v>58692.314191299061</v>
      </c>
      <c r="F27" s="693">
        <f t="shared" si="3"/>
        <v>3354.7339127820328</v>
      </c>
      <c r="G27" s="693">
        <f t="shared" ca="1" si="3"/>
        <v>68814.441066237341</v>
      </c>
      <c r="H27" s="693">
        <f t="shared" si="3"/>
        <v>68713.801457947717</v>
      </c>
      <c r="I27" s="693">
        <f t="shared" si="3"/>
        <v>19480.761489158238</v>
      </c>
      <c r="J27" s="693">
        <f t="shared" si="3"/>
        <v>0</v>
      </c>
      <c r="K27" s="693">
        <f t="shared" si="3"/>
        <v>804.14662864673721</v>
      </c>
      <c r="L27" s="693">
        <f t="shared" si="3"/>
        <v>0</v>
      </c>
      <c r="M27" s="693">
        <f t="shared" ca="1" si="3"/>
        <v>0</v>
      </c>
      <c r="N27" s="693">
        <f t="shared" si="3"/>
        <v>5326.4463880977282</v>
      </c>
      <c r="O27" s="693">
        <f t="shared" ca="1" si="3"/>
        <v>10907.056856818977</v>
      </c>
      <c r="P27" s="693">
        <f t="shared" si="3"/>
        <v>247.99477742337896</v>
      </c>
      <c r="Q27" s="693">
        <f t="shared" si="3"/>
        <v>758.18375368946147</v>
      </c>
      <c r="R27" s="693">
        <f t="shared" ca="1" si="3"/>
        <v>301006.55376929807</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2315.9430797121972</v>
      </c>
      <c r="D40" s="683">
        <f ca="1">tertiair!C20</f>
        <v>2.893138927875945</v>
      </c>
      <c r="E40" s="683">
        <f ca="1">tertiair!D20</f>
        <v>2589.0184813120295</v>
      </c>
      <c r="F40" s="683">
        <f>tertiair!E20</f>
        <v>16.092304725006144</v>
      </c>
      <c r="G40" s="683">
        <f ca="1">tertiair!F20</f>
        <v>760.4128982354249</v>
      </c>
      <c r="H40" s="683">
        <f>tertiair!G20</f>
        <v>0</v>
      </c>
      <c r="I40" s="683">
        <f>tertiair!H20</f>
        <v>0</v>
      </c>
      <c r="J40" s="683">
        <f>tertiair!I20</f>
        <v>0</v>
      </c>
      <c r="K40" s="683">
        <f>tertiair!J20</f>
        <v>8.1165297237054627E-3</v>
      </c>
      <c r="L40" s="683">
        <f>tertiair!K20</f>
        <v>0</v>
      </c>
      <c r="M40" s="683">
        <f ca="1">tertiair!L20</f>
        <v>0</v>
      </c>
      <c r="N40" s="683">
        <f>tertiair!M20</f>
        <v>0</v>
      </c>
      <c r="O40" s="683">
        <f ca="1">tertiair!N20</f>
        <v>0</v>
      </c>
      <c r="P40" s="683">
        <f>tertiair!O20</f>
        <v>0</v>
      </c>
      <c r="Q40" s="766">
        <f>tertiair!P20</f>
        <v>0</v>
      </c>
      <c r="R40" s="845">
        <f t="shared" ca="1" si="4"/>
        <v>5684.3680194422568</v>
      </c>
    </row>
    <row r="41" spans="1:18">
      <c r="A41" s="817" t="s">
        <v>220</v>
      </c>
      <c r="B41" s="824"/>
      <c r="C41" s="683">
        <f ca="1">huishoudens!B12</f>
        <v>5522.8558722836551</v>
      </c>
      <c r="D41" s="683">
        <f ca="1">huishoudens!C12</f>
        <v>0</v>
      </c>
      <c r="E41" s="683">
        <f>huishoudens!D12</f>
        <v>7165.4766811069258</v>
      </c>
      <c r="F41" s="683">
        <f>huishoudens!E12</f>
        <v>611.69575941546623</v>
      </c>
      <c r="G41" s="683">
        <f>huishoudens!F12</f>
        <v>15761.442316774694</v>
      </c>
      <c r="H41" s="683">
        <f>huishoudens!G12</f>
        <v>0</v>
      </c>
      <c r="I41" s="683">
        <f>huishoudens!H12</f>
        <v>0</v>
      </c>
      <c r="J41" s="683">
        <f>huishoudens!I12</f>
        <v>0</v>
      </c>
      <c r="K41" s="683">
        <f>huishoudens!J12</f>
        <v>119.09538956038995</v>
      </c>
      <c r="L41" s="683">
        <f>huishoudens!K12</f>
        <v>0</v>
      </c>
      <c r="M41" s="683">
        <f>huishoudens!L12</f>
        <v>0</v>
      </c>
      <c r="N41" s="683">
        <f>huishoudens!M12</f>
        <v>0</v>
      </c>
      <c r="O41" s="683">
        <f>huishoudens!N12</f>
        <v>0</v>
      </c>
      <c r="P41" s="683">
        <f>huishoudens!O12</f>
        <v>0</v>
      </c>
      <c r="Q41" s="766">
        <f>huishoudens!P12</f>
        <v>0</v>
      </c>
      <c r="R41" s="845">
        <f t="shared" ca="1" si="4"/>
        <v>29180.56601914113</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3416.0773194645908</v>
      </c>
      <c r="D43" s="683">
        <f ca="1">industrie!C22</f>
        <v>1237.3019867068001</v>
      </c>
      <c r="E43" s="683">
        <f>industrie!D22</f>
        <v>1746.2518990363944</v>
      </c>
      <c r="F43" s="683">
        <f>industrie!E22</f>
        <v>84.569711337608453</v>
      </c>
      <c r="G43" s="683">
        <f>industrie!F22</f>
        <v>327.67208925188601</v>
      </c>
      <c r="H43" s="683">
        <f>industrie!G22</f>
        <v>0</v>
      </c>
      <c r="I43" s="683">
        <f>industrie!H22</f>
        <v>0</v>
      </c>
      <c r="J43" s="683">
        <f>industrie!I22</f>
        <v>0</v>
      </c>
      <c r="K43" s="683">
        <f>industrie!J22</f>
        <v>3.2678598569594888</v>
      </c>
      <c r="L43" s="683">
        <f>industrie!K22</f>
        <v>0</v>
      </c>
      <c r="M43" s="683">
        <f>industrie!L22</f>
        <v>0</v>
      </c>
      <c r="N43" s="683">
        <f>industrie!M22</f>
        <v>0</v>
      </c>
      <c r="O43" s="683">
        <f>industrie!N22</f>
        <v>0</v>
      </c>
      <c r="P43" s="683">
        <f>industrie!O22</f>
        <v>0</v>
      </c>
      <c r="Q43" s="766">
        <f>industrie!P22</f>
        <v>0</v>
      </c>
      <c r="R43" s="844">
        <f t="shared" ca="1" si="4"/>
        <v>6815.140865654239</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11254.876271460442</v>
      </c>
      <c r="D46" s="719">
        <f t="shared" ref="D46:Q46" ca="1" si="5">SUM(D39:D45)</f>
        <v>1240.1951256346761</v>
      </c>
      <c r="E46" s="719">
        <f t="shared" ca="1" si="5"/>
        <v>11500.747061455351</v>
      </c>
      <c r="F46" s="719">
        <f t="shared" si="5"/>
        <v>712.35777547808084</v>
      </c>
      <c r="G46" s="719">
        <f t="shared" ca="1" si="5"/>
        <v>16849.527304262003</v>
      </c>
      <c r="H46" s="719">
        <f t="shared" si="5"/>
        <v>0</v>
      </c>
      <c r="I46" s="719">
        <f t="shared" si="5"/>
        <v>0</v>
      </c>
      <c r="J46" s="719">
        <f t="shared" si="5"/>
        <v>0</v>
      </c>
      <c r="K46" s="719">
        <f t="shared" si="5"/>
        <v>122.37136594707314</v>
      </c>
      <c r="L46" s="719">
        <f t="shared" si="5"/>
        <v>0</v>
      </c>
      <c r="M46" s="719">
        <f t="shared" ca="1" si="5"/>
        <v>0</v>
      </c>
      <c r="N46" s="719">
        <f t="shared" si="5"/>
        <v>0</v>
      </c>
      <c r="O46" s="719">
        <f t="shared" ca="1" si="5"/>
        <v>0</v>
      </c>
      <c r="P46" s="719">
        <f t="shared" si="5"/>
        <v>0</v>
      </c>
      <c r="Q46" s="719">
        <f t="shared" si="5"/>
        <v>0</v>
      </c>
      <c r="R46" s="719">
        <f ca="1">SUM(R39:R45)</f>
        <v>41680.074904237626</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3.1318601258344891</v>
      </c>
      <c r="D49" s="683">
        <f ca="1">transport!C58</f>
        <v>0</v>
      </c>
      <c r="E49" s="683">
        <f>transport!D58</f>
        <v>0</v>
      </c>
      <c r="F49" s="683">
        <f>transport!E58</f>
        <v>0</v>
      </c>
      <c r="G49" s="683">
        <f>transport!F58</f>
        <v>0</v>
      </c>
      <c r="H49" s="683">
        <f>transport!G58</f>
        <v>257.6475527506081</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260.77941287644256</v>
      </c>
    </row>
    <row r="50" spans="1:18">
      <c r="A50" s="820" t="s">
        <v>302</v>
      </c>
      <c r="B50" s="830"/>
      <c r="C50" s="689">
        <f ca="1">transport!B18</f>
        <v>46.396040435859575</v>
      </c>
      <c r="D50" s="689">
        <f>transport!C18</f>
        <v>0</v>
      </c>
      <c r="E50" s="689">
        <f>transport!D18</f>
        <v>79.10949521985853</v>
      </c>
      <c r="F50" s="689">
        <f>transport!E18</f>
        <v>37.443848632955287</v>
      </c>
      <c r="G50" s="689">
        <f>transport!F18</f>
        <v>0</v>
      </c>
      <c r="H50" s="689">
        <f>transport!G18</f>
        <v>18088.937436521432</v>
      </c>
      <c r="I50" s="689">
        <f>transport!H18</f>
        <v>4850.7096108004016</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23102.596431610506</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49.527900561694068</v>
      </c>
      <c r="D52" s="719">
        <f t="shared" ref="D52:Q52" ca="1" si="6">SUM(D48:D51)</f>
        <v>0</v>
      </c>
      <c r="E52" s="719">
        <f t="shared" si="6"/>
        <v>79.10949521985853</v>
      </c>
      <c r="F52" s="719">
        <f t="shared" si="6"/>
        <v>37.443848632955287</v>
      </c>
      <c r="G52" s="719">
        <f t="shared" si="6"/>
        <v>0</v>
      </c>
      <c r="H52" s="719">
        <f t="shared" si="6"/>
        <v>18346.58498927204</v>
      </c>
      <c r="I52" s="719">
        <f t="shared" si="6"/>
        <v>4850.7096108004016</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23363.375844486949</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366.34998387094544</v>
      </c>
      <c r="D54" s="689">
        <f ca="1">+landbouw!C12</f>
        <v>0</v>
      </c>
      <c r="E54" s="689">
        <f>+landbouw!D12</f>
        <v>56.691979427202007</v>
      </c>
      <c r="F54" s="689">
        <f>+landbouw!E12</f>
        <v>11.722974090485359</v>
      </c>
      <c r="G54" s="689">
        <f>+landbouw!F12</f>
        <v>1523.928460423364</v>
      </c>
      <c r="H54" s="689">
        <f>+landbouw!G12</f>
        <v>0</v>
      </c>
      <c r="I54" s="689">
        <f>+landbouw!H12</f>
        <v>0</v>
      </c>
      <c r="J54" s="689">
        <f>+landbouw!I12</f>
        <v>0</v>
      </c>
      <c r="K54" s="689">
        <f>+landbouw!J12</f>
        <v>162.29654059387181</v>
      </c>
      <c r="L54" s="689">
        <f>+landbouw!K12</f>
        <v>0</v>
      </c>
      <c r="M54" s="689">
        <f>+landbouw!L12</f>
        <v>0</v>
      </c>
      <c r="N54" s="689">
        <f>+landbouw!M12</f>
        <v>0</v>
      </c>
      <c r="O54" s="689">
        <f>+landbouw!N12</f>
        <v>0</v>
      </c>
      <c r="P54" s="689">
        <f>+landbouw!O12</f>
        <v>0</v>
      </c>
      <c r="Q54" s="690">
        <f>+landbouw!P12</f>
        <v>0</v>
      </c>
      <c r="R54" s="718">
        <f ca="1">SUM(C54:Q54)</f>
        <v>2120.9899384058685</v>
      </c>
    </row>
    <row r="55" spans="1:18" ht="15" thickBot="1">
      <c r="A55" s="820" t="s">
        <v>696</v>
      </c>
      <c r="B55" s="830"/>
      <c r="C55" s="689">
        <f ca="1">C25*'EF ele_warmte'!B12</f>
        <v>253.39605286733968</v>
      </c>
      <c r="D55" s="689"/>
      <c r="E55" s="689">
        <f>E25*EF_CO2_aardgas</f>
        <v>219.29893053999999</v>
      </c>
      <c r="F55" s="689"/>
      <c r="G55" s="689"/>
      <c r="H55" s="689"/>
      <c r="I55" s="689"/>
      <c r="J55" s="689"/>
      <c r="K55" s="689"/>
      <c r="L55" s="689"/>
      <c r="M55" s="689"/>
      <c r="N55" s="689"/>
      <c r="O55" s="689"/>
      <c r="P55" s="689"/>
      <c r="Q55" s="690"/>
      <c r="R55" s="718">
        <f ca="1">SUM(C55:Q55)</f>
        <v>472.69498340733969</v>
      </c>
    </row>
    <row r="56" spans="1:18" ht="15.75" thickBot="1">
      <c r="A56" s="818" t="s">
        <v>697</v>
      </c>
      <c r="B56" s="831"/>
      <c r="C56" s="719">
        <f ca="1">SUM(C54:C55)</f>
        <v>619.74603673828506</v>
      </c>
      <c r="D56" s="719">
        <f t="shared" ref="D56:Q56" ca="1" si="7">SUM(D54:D55)</f>
        <v>0</v>
      </c>
      <c r="E56" s="719">
        <f t="shared" si="7"/>
        <v>275.99090996720201</v>
      </c>
      <c r="F56" s="719">
        <f t="shared" si="7"/>
        <v>11.722974090485359</v>
      </c>
      <c r="G56" s="719">
        <f t="shared" si="7"/>
        <v>1523.928460423364</v>
      </c>
      <c r="H56" s="719">
        <f t="shared" si="7"/>
        <v>0</v>
      </c>
      <c r="I56" s="719">
        <f t="shared" si="7"/>
        <v>0</v>
      </c>
      <c r="J56" s="719">
        <f t="shared" si="7"/>
        <v>0</v>
      </c>
      <c r="K56" s="719">
        <f t="shared" si="7"/>
        <v>162.29654059387181</v>
      </c>
      <c r="L56" s="719">
        <f t="shared" si="7"/>
        <v>0</v>
      </c>
      <c r="M56" s="719">
        <f t="shared" si="7"/>
        <v>0</v>
      </c>
      <c r="N56" s="719">
        <f t="shared" si="7"/>
        <v>0</v>
      </c>
      <c r="O56" s="719">
        <f t="shared" si="7"/>
        <v>0</v>
      </c>
      <c r="P56" s="719">
        <f t="shared" si="7"/>
        <v>0</v>
      </c>
      <c r="Q56" s="720">
        <f t="shared" si="7"/>
        <v>0</v>
      </c>
      <c r="R56" s="721">
        <f ca="1">SUM(R54:R55)</f>
        <v>2593.6849218132083</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11924.15020876042</v>
      </c>
      <c r="D61" s="727">
        <f t="shared" ref="D61:Q61" ca="1" si="8">D46+D52+D56</f>
        <v>1240.1951256346761</v>
      </c>
      <c r="E61" s="727">
        <f t="shared" ca="1" si="8"/>
        <v>11855.847466642412</v>
      </c>
      <c r="F61" s="727">
        <f t="shared" si="8"/>
        <v>761.52459820152148</v>
      </c>
      <c r="G61" s="727">
        <f t="shared" ca="1" si="8"/>
        <v>18373.455764685368</v>
      </c>
      <c r="H61" s="727">
        <f t="shared" si="8"/>
        <v>18346.58498927204</v>
      </c>
      <c r="I61" s="727">
        <f t="shared" si="8"/>
        <v>4850.7096108004016</v>
      </c>
      <c r="J61" s="727">
        <f t="shared" si="8"/>
        <v>0</v>
      </c>
      <c r="K61" s="727">
        <f t="shared" si="8"/>
        <v>284.66790654094495</v>
      </c>
      <c r="L61" s="727">
        <f t="shared" si="8"/>
        <v>0</v>
      </c>
      <c r="M61" s="727">
        <f t="shared" ca="1" si="8"/>
        <v>0</v>
      </c>
      <c r="N61" s="727">
        <f t="shared" si="8"/>
        <v>0</v>
      </c>
      <c r="O61" s="727">
        <f t="shared" ca="1" si="8"/>
        <v>0</v>
      </c>
      <c r="P61" s="727">
        <f t="shared" si="8"/>
        <v>0</v>
      </c>
      <c r="Q61" s="727">
        <f t="shared" si="8"/>
        <v>0</v>
      </c>
      <c r="R61" s="727">
        <f ca="1">R46+R52+R56</f>
        <v>67637.135670537784</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0.20318091123365817</v>
      </c>
      <c r="D63" s="773">
        <f t="shared" ca="1" si="9"/>
        <v>0.23761629374341836</v>
      </c>
      <c r="E63" s="965">
        <f t="shared" ca="1" si="9"/>
        <v>0.20200000000000001</v>
      </c>
      <c r="F63" s="773">
        <f t="shared" si="9"/>
        <v>0.22700000000000001</v>
      </c>
      <c r="G63" s="773">
        <f t="shared" ca="1" si="9"/>
        <v>0.26699999999999996</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5006.6190602211918</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3653.5000000000005</v>
      </c>
      <c r="D76" s="948">
        <f>'lokale energieproductie'!C8</f>
        <v>4297.6788573840549</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868.13112919157913</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5006.6190602211918</v>
      </c>
      <c r="C78" s="745">
        <f>SUM(C72:C77)</f>
        <v>3653.5000000000005</v>
      </c>
      <c r="D78" s="746">
        <f t="shared" ref="D78:H78" si="10">SUM(D76:D77)</f>
        <v>4297.6788573840549</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868.13112919157913</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5219.3185328185336</v>
      </c>
      <c r="D87" s="769">
        <f>'lokale energieproductie'!C17</f>
        <v>6139.579829874634</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1240.1951256346761</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5219.3185328185336</v>
      </c>
      <c r="D90" s="745">
        <f t="shared" ref="D90:H90" si="12">SUM(D87:D89)</f>
        <v>6139.579829874634</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1240.1951256346761</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27181.962315014756</v>
      </c>
      <c r="C4" s="449">
        <f>huishoudens!C8</f>
        <v>0</v>
      </c>
      <c r="D4" s="449">
        <f>huishoudens!D8</f>
        <v>35472.656837162998</v>
      </c>
      <c r="E4" s="449">
        <f>huishoudens!E8</f>
        <v>2694.6949753985296</v>
      </c>
      <c r="F4" s="449">
        <f>huishoudens!F8</f>
        <v>59031.619163950163</v>
      </c>
      <c r="G4" s="449">
        <f>huishoudens!G8</f>
        <v>0</v>
      </c>
      <c r="H4" s="449">
        <f>huishoudens!H8</f>
        <v>0</v>
      </c>
      <c r="I4" s="449">
        <f>huishoudens!I8</f>
        <v>0</v>
      </c>
      <c r="J4" s="449">
        <f>huishoudens!J8</f>
        <v>336.42765412539535</v>
      </c>
      <c r="K4" s="449">
        <f>huishoudens!K8</f>
        <v>0</v>
      </c>
      <c r="L4" s="449">
        <f>huishoudens!L8</f>
        <v>0</v>
      </c>
      <c r="M4" s="449">
        <f>huishoudens!M8</f>
        <v>0</v>
      </c>
      <c r="N4" s="449">
        <f>huishoudens!N8</f>
        <v>9759.5475823162051</v>
      </c>
      <c r="O4" s="449">
        <f>huishoudens!O8</f>
        <v>247.99477742337896</v>
      </c>
      <c r="P4" s="450">
        <f>huishoudens!P8</f>
        <v>653.1054770764714</v>
      </c>
      <c r="Q4" s="451">
        <f>SUM(B4:P4)</f>
        <v>135378.00878246789</v>
      </c>
    </row>
    <row r="5" spans="1:17">
      <c r="A5" s="448" t="s">
        <v>155</v>
      </c>
      <c r="B5" s="449">
        <f ca="1">tertiair!B16</f>
        <v>10420.464453000001</v>
      </c>
      <c r="C5" s="449">
        <f ca="1">tertiair!C16</f>
        <v>12.175675675675675</v>
      </c>
      <c r="D5" s="449">
        <f ca="1">tertiair!D16</f>
        <v>12816.923174812027</v>
      </c>
      <c r="E5" s="449">
        <f>tertiair!E16</f>
        <v>70.891210242317811</v>
      </c>
      <c r="F5" s="449">
        <f ca="1">tertiair!F16</f>
        <v>2847.9883829042128</v>
      </c>
      <c r="G5" s="449">
        <f>tertiair!G16</f>
        <v>0</v>
      </c>
      <c r="H5" s="449">
        <f>tertiair!H16</f>
        <v>0</v>
      </c>
      <c r="I5" s="449">
        <f>tertiair!I16</f>
        <v>0</v>
      </c>
      <c r="J5" s="449">
        <f>tertiair!J16</f>
        <v>2.2928050066964585E-2</v>
      </c>
      <c r="K5" s="449">
        <f>tertiair!K16</f>
        <v>0</v>
      </c>
      <c r="L5" s="449">
        <f ca="1">tertiair!L16</f>
        <v>0</v>
      </c>
      <c r="M5" s="449">
        <f>tertiair!M16</f>
        <v>0</v>
      </c>
      <c r="N5" s="449">
        <f ca="1">tertiair!N16</f>
        <v>875.20556566917367</v>
      </c>
      <c r="O5" s="449">
        <f>tertiair!O16</f>
        <v>0</v>
      </c>
      <c r="P5" s="450">
        <f>tertiair!P16</f>
        <v>105.07827661299004</v>
      </c>
      <c r="Q5" s="448">
        <f t="shared" ref="Q5:Q14" ca="1" si="0">SUM(B5:P5)</f>
        <v>27148.749666966462</v>
      </c>
    </row>
    <row r="6" spans="1:17">
      <c r="A6" s="448" t="s">
        <v>193</v>
      </c>
      <c r="B6" s="449">
        <f>'openbare verlichting'!B8</f>
        <v>977.96400000000006</v>
      </c>
      <c r="C6" s="449"/>
      <c r="D6" s="449"/>
      <c r="E6" s="449"/>
      <c r="F6" s="449"/>
      <c r="G6" s="449"/>
      <c r="H6" s="449"/>
      <c r="I6" s="449"/>
      <c r="J6" s="449"/>
      <c r="K6" s="449"/>
      <c r="L6" s="449"/>
      <c r="M6" s="449"/>
      <c r="N6" s="449"/>
      <c r="O6" s="449"/>
      <c r="P6" s="450"/>
      <c r="Q6" s="448">
        <f t="shared" si="0"/>
        <v>977.96400000000006</v>
      </c>
    </row>
    <row r="7" spans="1:17">
      <c r="A7" s="448" t="s">
        <v>111</v>
      </c>
      <c r="B7" s="449">
        <f>landbouw!B8</f>
        <v>1803.0728459999998</v>
      </c>
      <c r="C7" s="449">
        <f>landbouw!C8</f>
        <v>0</v>
      </c>
      <c r="D7" s="449">
        <f>landbouw!D8</f>
        <v>280.653363501</v>
      </c>
      <c r="E7" s="449">
        <f>landbouw!E8</f>
        <v>51.643057667336379</v>
      </c>
      <c r="F7" s="449">
        <f>landbouw!F8</f>
        <v>5707.5972300500516</v>
      </c>
      <c r="G7" s="449">
        <f>landbouw!G8</f>
        <v>0</v>
      </c>
      <c r="H7" s="449">
        <f>landbouw!H8</f>
        <v>0</v>
      </c>
      <c r="I7" s="449">
        <f>landbouw!I8</f>
        <v>0</v>
      </c>
      <c r="J7" s="449">
        <f>landbouw!J8</f>
        <v>458.46480393749101</v>
      </c>
      <c r="K7" s="449">
        <f>landbouw!K8</f>
        <v>0</v>
      </c>
      <c r="L7" s="449">
        <f>landbouw!L8</f>
        <v>0</v>
      </c>
      <c r="M7" s="449">
        <f>landbouw!M8</f>
        <v>0</v>
      </c>
      <c r="N7" s="449">
        <f>landbouw!N8</f>
        <v>0</v>
      </c>
      <c r="O7" s="449">
        <f>landbouw!O8</f>
        <v>0</v>
      </c>
      <c r="P7" s="450">
        <f>landbouw!P8</f>
        <v>0</v>
      </c>
      <c r="Q7" s="448">
        <f t="shared" si="0"/>
        <v>8301.4313011558788</v>
      </c>
    </row>
    <row r="8" spans="1:17">
      <c r="A8" s="448" t="s">
        <v>617</v>
      </c>
      <c r="B8" s="449">
        <f>industrie!B18</f>
        <v>16812.983555999999</v>
      </c>
      <c r="C8" s="449">
        <f>industrie!C18</f>
        <v>5207.1428571428578</v>
      </c>
      <c r="D8" s="449">
        <f>industrie!D18</f>
        <v>8644.8113813682885</v>
      </c>
      <c r="E8" s="449">
        <f>industrie!E18</f>
        <v>372.55379443880372</v>
      </c>
      <c r="F8" s="449">
        <f>industrie!F18</f>
        <v>1227.2362893329064</v>
      </c>
      <c r="G8" s="449">
        <f>industrie!G18</f>
        <v>0</v>
      </c>
      <c r="H8" s="449">
        <f>industrie!H18</f>
        <v>0</v>
      </c>
      <c r="I8" s="449">
        <f>industrie!I18</f>
        <v>0</v>
      </c>
      <c r="J8" s="449">
        <f>industrie!J18</f>
        <v>9.2312425337838668</v>
      </c>
      <c r="K8" s="449">
        <f>industrie!K18</f>
        <v>0</v>
      </c>
      <c r="L8" s="449">
        <f>industrie!L18</f>
        <v>0</v>
      </c>
      <c r="M8" s="449">
        <f>industrie!M18</f>
        <v>0</v>
      </c>
      <c r="N8" s="449">
        <f>industrie!N18</f>
        <v>272.30370883359819</v>
      </c>
      <c r="O8" s="449">
        <f>industrie!O18</f>
        <v>0</v>
      </c>
      <c r="P8" s="450">
        <f>industrie!P18</f>
        <v>0</v>
      </c>
      <c r="Q8" s="448">
        <f t="shared" si="0"/>
        <v>32546.262829650241</v>
      </c>
    </row>
    <row r="9" spans="1:17" s="454" customFormat="1">
      <c r="A9" s="452" t="s">
        <v>543</v>
      </c>
      <c r="B9" s="453">
        <f>transport!B14</f>
        <v>228.34842187760489</v>
      </c>
      <c r="C9" s="453">
        <f>transport!C14</f>
        <v>0</v>
      </c>
      <c r="D9" s="453">
        <f>transport!D14</f>
        <v>391.6311644547452</v>
      </c>
      <c r="E9" s="453">
        <f>transport!E14</f>
        <v>164.9508750350453</v>
      </c>
      <c r="F9" s="453">
        <f>transport!F14</f>
        <v>0</v>
      </c>
      <c r="G9" s="453">
        <f>transport!G14</f>
        <v>67748.829350267537</v>
      </c>
      <c r="H9" s="453">
        <f>transport!H14</f>
        <v>19480.761489158238</v>
      </c>
      <c r="I9" s="453">
        <f>transport!I14</f>
        <v>0</v>
      </c>
      <c r="J9" s="453">
        <f>transport!J14</f>
        <v>0</v>
      </c>
      <c r="K9" s="453">
        <f>transport!K14</f>
        <v>0</v>
      </c>
      <c r="L9" s="453">
        <f>transport!L14</f>
        <v>0</v>
      </c>
      <c r="M9" s="453">
        <f>transport!M14</f>
        <v>5271.0398263476663</v>
      </c>
      <c r="N9" s="453">
        <f>transport!N14</f>
        <v>0</v>
      </c>
      <c r="O9" s="453">
        <f>transport!O14</f>
        <v>0</v>
      </c>
      <c r="P9" s="453">
        <f>transport!P14</f>
        <v>0</v>
      </c>
      <c r="Q9" s="452">
        <f>SUM(B9:P9)</f>
        <v>93285.561127140827</v>
      </c>
    </row>
    <row r="10" spans="1:17">
      <c r="A10" s="448" t="s">
        <v>533</v>
      </c>
      <c r="B10" s="449">
        <f>transport!B54</f>
        <v>15.414145486496258</v>
      </c>
      <c r="C10" s="449">
        <f>transport!C54</f>
        <v>0</v>
      </c>
      <c r="D10" s="449">
        <f>transport!D54</f>
        <v>0</v>
      </c>
      <c r="E10" s="449">
        <f>transport!E54</f>
        <v>0</v>
      </c>
      <c r="F10" s="449">
        <f>transport!F54</f>
        <v>0</v>
      </c>
      <c r="G10" s="449">
        <f>transport!G54</f>
        <v>964.9721076801801</v>
      </c>
      <c r="H10" s="449">
        <f>transport!H54</f>
        <v>0</v>
      </c>
      <c r="I10" s="449">
        <f>transport!I54</f>
        <v>0</v>
      </c>
      <c r="J10" s="449">
        <f>transport!J54</f>
        <v>0</v>
      </c>
      <c r="K10" s="449">
        <f>transport!K54</f>
        <v>0</v>
      </c>
      <c r="L10" s="449">
        <f>transport!L54</f>
        <v>0</v>
      </c>
      <c r="M10" s="449">
        <f>transport!M54</f>
        <v>55.40656175006216</v>
      </c>
      <c r="N10" s="449">
        <f>transport!N54</f>
        <v>0</v>
      </c>
      <c r="O10" s="449">
        <f>transport!O54</f>
        <v>0</v>
      </c>
      <c r="P10" s="450">
        <f>transport!P54</f>
        <v>0</v>
      </c>
      <c r="Q10" s="448">
        <f t="shared" si="0"/>
        <v>1035.7928149167385</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1247.1449769999999</v>
      </c>
      <c r="C14" s="456"/>
      <c r="D14" s="456">
        <f>'SEAP template'!E25</f>
        <v>1085.6382699999999</v>
      </c>
      <c r="E14" s="456"/>
      <c r="F14" s="456"/>
      <c r="G14" s="456"/>
      <c r="H14" s="456"/>
      <c r="I14" s="456"/>
      <c r="J14" s="456"/>
      <c r="K14" s="456"/>
      <c r="L14" s="456"/>
      <c r="M14" s="456"/>
      <c r="N14" s="456"/>
      <c r="O14" s="456"/>
      <c r="P14" s="457"/>
      <c r="Q14" s="448">
        <f t="shared" si="0"/>
        <v>2332.7832469999998</v>
      </c>
    </row>
    <row r="15" spans="1:17" s="460" customFormat="1">
      <c r="A15" s="458" t="s">
        <v>537</v>
      </c>
      <c r="B15" s="459">
        <f ca="1">SUM(B4:B14)</f>
        <v>58687.35471437886</v>
      </c>
      <c r="C15" s="459">
        <f t="shared" ref="C15:Q15" ca="1" si="1">SUM(C4:C14)</f>
        <v>5219.3185328185336</v>
      </c>
      <c r="D15" s="459">
        <f t="shared" ca="1" si="1"/>
        <v>58692.314191299061</v>
      </c>
      <c r="E15" s="459">
        <f t="shared" si="1"/>
        <v>3354.7339127820328</v>
      </c>
      <c r="F15" s="459">
        <f t="shared" ca="1" si="1"/>
        <v>68814.441066237341</v>
      </c>
      <c r="G15" s="459">
        <f t="shared" si="1"/>
        <v>68713.801457947717</v>
      </c>
      <c r="H15" s="459">
        <f t="shared" si="1"/>
        <v>19480.761489158238</v>
      </c>
      <c r="I15" s="459">
        <f t="shared" si="1"/>
        <v>0</v>
      </c>
      <c r="J15" s="459">
        <f t="shared" si="1"/>
        <v>804.14662864673721</v>
      </c>
      <c r="K15" s="459">
        <f t="shared" si="1"/>
        <v>0</v>
      </c>
      <c r="L15" s="459">
        <f t="shared" ca="1" si="1"/>
        <v>0</v>
      </c>
      <c r="M15" s="459">
        <f t="shared" si="1"/>
        <v>5326.4463880977282</v>
      </c>
      <c r="N15" s="459">
        <f t="shared" ca="1" si="1"/>
        <v>10907.056856818977</v>
      </c>
      <c r="O15" s="459">
        <f t="shared" si="1"/>
        <v>247.99477742337896</v>
      </c>
      <c r="P15" s="459">
        <f t="shared" si="1"/>
        <v>758.18375368946147</v>
      </c>
      <c r="Q15" s="459">
        <f t="shared" ca="1" si="1"/>
        <v>301006.55376929813</v>
      </c>
    </row>
    <row r="17" spans="1:17">
      <c r="A17" s="461" t="s">
        <v>538</v>
      </c>
      <c r="B17" s="778">
        <f ca="1">huishoudens!B10</f>
        <v>0.2031809112336582</v>
      </c>
      <c r="C17" s="778">
        <f ca="1">huishoudens!C10</f>
        <v>0.23761629374341836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5522.8558722836551</v>
      </c>
      <c r="C22" s="449">
        <f t="shared" ref="C22:C32" ca="1" si="3">C4*$C$17</f>
        <v>0</v>
      </c>
      <c r="D22" s="449">
        <f t="shared" ref="D22:D32" si="4">D4*$D$17</f>
        <v>7165.4766811069258</v>
      </c>
      <c r="E22" s="449">
        <f t="shared" ref="E22:E32" si="5">E4*$E$17</f>
        <v>611.69575941546623</v>
      </c>
      <c r="F22" s="449">
        <f t="shared" ref="F22:F32" si="6">F4*$F$17</f>
        <v>15761.442316774694</v>
      </c>
      <c r="G22" s="449">
        <f t="shared" ref="G22:G32" si="7">G4*$G$17</f>
        <v>0</v>
      </c>
      <c r="H22" s="449">
        <f t="shared" ref="H22:H32" si="8">H4*$H$17</f>
        <v>0</v>
      </c>
      <c r="I22" s="449">
        <f t="shared" ref="I22:I32" si="9">I4*$I$17</f>
        <v>0</v>
      </c>
      <c r="J22" s="449">
        <f t="shared" ref="J22:J32" si="10">J4*$J$17</f>
        <v>119.09538956038995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29180.56601914113</v>
      </c>
    </row>
    <row r="23" spans="1:17">
      <c r="A23" s="448" t="s">
        <v>155</v>
      </c>
      <c r="B23" s="449">
        <f t="shared" ca="1" si="2"/>
        <v>2117.2394630384838</v>
      </c>
      <c r="C23" s="449">
        <f t="shared" ca="1" si="3"/>
        <v>2.893138927875945</v>
      </c>
      <c r="D23" s="449">
        <f t="shared" ca="1" si="4"/>
        <v>2589.0184813120295</v>
      </c>
      <c r="E23" s="449">
        <f t="shared" si="5"/>
        <v>16.092304725006144</v>
      </c>
      <c r="F23" s="449">
        <f t="shared" ca="1" si="6"/>
        <v>760.4128982354249</v>
      </c>
      <c r="G23" s="449">
        <f t="shared" si="7"/>
        <v>0</v>
      </c>
      <c r="H23" s="449">
        <f t="shared" si="8"/>
        <v>0</v>
      </c>
      <c r="I23" s="449">
        <f t="shared" si="9"/>
        <v>0</v>
      </c>
      <c r="J23" s="449">
        <f t="shared" si="10"/>
        <v>8.1165297237054627E-3</v>
      </c>
      <c r="K23" s="449">
        <f t="shared" si="11"/>
        <v>0</v>
      </c>
      <c r="L23" s="449">
        <f t="shared" ca="1" si="12"/>
        <v>0</v>
      </c>
      <c r="M23" s="449">
        <f t="shared" si="13"/>
        <v>0</v>
      </c>
      <c r="N23" s="449">
        <f t="shared" ca="1" si="14"/>
        <v>0</v>
      </c>
      <c r="O23" s="449">
        <f t="shared" si="15"/>
        <v>0</v>
      </c>
      <c r="P23" s="450">
        <f t="shared" si="16"/>
        <v>0</v>
      </c>
      <c r="Q23" s="448">
        <f t="shared" ref="Q23:Q31" ca="1" si="17">SUM(B23:P23)</f>
        <v>5485.6644027685443</v>
      </c>
    </row>
    <row r="24" spans="1:17">
      <c r="A24" s="448" t="s">
        <v>193</v>
      </c>
      <c r="B24" s="449">
        <f t="shared" ca="1" si="2"/>
        <v>198.70361667371333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198.70361667371333</v>
      </c>
    </row>
    <row r="25" spans="1:17">
      <c r="A25" s="448" t="s">
        <v>111</v>
      </c>
      <c r="B25" s="449">
        <f t="shared" ca="1" si="2"/>
        <v>366.34998387094544</v>
      </c>
      <c r="C25" s="449">
        <f t="shared" ca="1" si="3"/>
        <v>0</v>
      </c>
      <c r="D25" s="449">
        <f t="shared" si="4"/>
        <v>56.691979427202007</v>
      </c>
      <c r="E25" s="449">
        <f t="shared" si="5"/>
        <v>11.722974090485359</v>
      </c>
      <c r="F25" s="449">
        <f t="shared" si="6"/>
        <v>1523.928460423364</v>
      </c>
      <c r="G25" s="449">
        <f t="shared" si="7"/>
        <v>0</v>
      </c>
      <c r="H25" s="449">
        <f t="shared" si="8"/>
        <v>0</v>
      </c>
      <c r="I25" s="449">
        <f t="shared" si="9"/>
        <v>0</v>
      </c>
      <c r="J25" s="449">
        <f t="shared" si="10"/>
        <v>162.29654059387181</v>
      </c>
      <c r="K25" s="449">
        <f t="shared" si="11"/>
        <v>0</v>
      </c>
      <c r="L25" s="449">
        <f t="shared" si="12"/>
        <v>0</v>
      </c>
      <c r="M25" s="449">
        <f t="shared" si="13"/>
        <v>0</v>
      </c>
      <c r="N25" s="449">
        <f t="shared" si="14"/>
        <v>0</v>
      </c>
      <c r="O25" s="449">
        <f t="shared" si="15"/>
        <v>0</v>
      </c>
      <c r="P25" s="450">
        <f t="shared" si="16"/>
        <v>0</v>
      </c>
      <c r="Q25" s="448">
        <f t="shared" ca="1" si="17"/>
        <v>2120.9899384058685</v>
      </c>
    </row>
    <row r="26" spans="1:17">
      <c r="A26" s="448" t="s">
        <v>617</v>
      </c>
      <c r="B26" s="449">
        <f t="shared" ca="1" si="2"/>
        <v>3416.0773194645908</v>
      </c>
      <c r="C26" s="449">
        <f t="shared" ca="1" si="3"/>
        <v>1237.3019867068001</v>
      </c>
      <c r="D26" s="449">
        <f t="shared" si="4"/>
        <v>1746.2518990363944</v>
      </c>
      <c r="E26" s="449">
        <f t="shared" si="5"/>
        <v>84.569711337608453</v>
      </c>
      <c r="F26" s="449">
        <f t="shared" si="6"/>
        <v>327.67208925188601</v>
      </c>
      <c r="G26" s="449">
        <f t="shared" si="7"/>
        <v>0</v>
      </c>
      <c r="H26" s="449">
        <f t="shared" si="8"/>
        <v>0</v>
      </c>
      <c r="I26" s="449">
        <f t="shared" si="9"/>
        <v>0</v>
      </c>
      <c r="J26" s="449">
        <f t="shared" si="10"/>
        <v>3.2678598569594888</v>
      </c>
      <c r="K26" s="449">
        <f t="shared" si="11"/>
        <v>0</v>
      </c>
      <c r="L26" s="449">
        <f t="shared" si="12"/>
        <v>0</v>
      </c>
      <c r="M26" s="449">
        <f t="shared" si="13"/>
        <v>0</v>
      </c>
      <c r="N26" s="449">
        <f t="shared" si="14"/>
        <v>0</v>
      </c>
      <c r="O26" s="449">
        <f t="shared" si="15"/>
        <v>0</v>
      </c>
      <c r="P26" s="450">
        <f t="shared" si="16"/>
        <v>0</v>
      </c>
      <c r="Q26" s="448">
        <f t="shared" ca="1" si="17"/>
        <v>6815.140865654239</v>
      </c>
    </row>
    <row r="27" spans="1:17" s="454" customFormat="1">
      <c r="A27" s="452" t="s">
        <v>543</v>
      </c>
      <c r="B27" s="772">
        <f t="shared" ca="1" si="2"/>
        <v>46.396040435859575</v>
      </c>
      <c r="C27" s="453">
        <f t="shared" ca="1" si="3"/>
        <v>0</v>
      </c>
      <c r="D27" s="453">
        <f t="shared" si="4"/>
        <v>79.10949521985853</v>
      </c>
      <c r="E27" s="453">
        <f t="shared" si="5"/>
        <v>37.443848632955287</v>
      </c>
      <c r="F27" s="453">
        <f t="shared" si="6"/>
        <v>0</v>
      </c>
      <c r="G27" s="453">
        <f t="shared" si="7"/>
        <v>18088.937436521432</v>
      </c>
      <c r="H27" s="453">
        <f t="shared" si="8"/>
        <v>4850.7096108004016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23102.596431610506</v>
      </c>
    </row>
    <row r="28" spans="1:17" ht="16.5" customHeight="1">
      <c r="A28" s="448" t="s">
        <v>533</v>
      </c>
      <c r="B28" s="449">
        <f t="shared" ca="1" si="2"/>
        <v>3.1318601258344891</v>
      </c>
      <c r="C28" s="449">
        <f t="shared" ca="1" si="3"/>
        <v>0</v>
      </c>
      <c r="D28" s="449">
        <f t="shared" si="4"/>
        <v>0</v>
      </c>
      <c r="E28" s="449">
        <f t="shared" si="5"/>
        <v>0</v>
      </c>
      <c r="F28" s="449">
        <f t="shared" si="6"/>
        <v>0</v>
      </c>
      <c r="G28" s="449">
        <f t="shared" si="7"/>
        <v>257.6475527506081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260.77941287644256</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253.39605286733968</v>
      </c>
      <c r="C32" s="449">
        <f t="shared" ca="1" si="3"/>
        <v>0</v>
      </c>
      <c r="D32" s="449">
        <f t="shared" si="4"/>
        <v>219.29893053999999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472.69498340733969</v>
      </c>
    </row>
    <row r="33" spans="1:17" s="460" customFormat="1">
      <c r="A33" s="458" t="s">
        <v>537</v>
      </c>
      <c r="B33" s="459">
        <f ca="1">SUM(B22:B32)</f>
        <v>11924.150208760424</v>
      </c>
      <c r="C33" s="459">
        <f t="shared" ref="C33:Q33" ca="1" si="19">SUM(C22:C32)</f>
        <v>1240.1951256346761</v>
      </c>
      <c r="D33" s="459">
        <f t="shared" ca="1" si="19"/>
        <v>11855.847466642412</v>
      </c>
      <c r="E33" s="459">
        <f t="shared" si="19"/>
        <v>761.52459820152137</v>
      </c>
      <c r="F33" s="459">
        <f t="shared" ca="1" si="19"/>
        <v>18373.455764685368</v>
      </c>
      <c r="G33" s="459">
        <f t="shared" si="19"/>
        <v>18346.58498927204</v>
      </c>
      <c r="H33" s="459">
        <f t="shared" si="19"/>
        <v>4850.7096108004016</v>
      </c>
      <c r="I33" s="459">
        <f t="shared" si="19"/>
        <v>0</v>
      </c>
      <c r="J33" s="459">
        <f t="shared" si="19"/>
        <v>284.66790654094495</v>
      </c>
      <c r="K33" s="459">
        <f t="shared" si="19"/>
        <v>0</v>
      </c>
      <c r="L33" s="459">
        <f t="shared" ca="1" si="19"/>
        <v>0</v>
      </c>
      <c r="M33" s="459">
        <f t="shared" si="19"/>
        <v>0</v>
      </c>
      <c r="N33" s="459">
        <f t="shared" ca="1" si="19"/>
        <v>0</v>
      </c>
      <c r="O33" s="459">
        <f t="shared" si="19"/>
        <v>0</v>
      </c>
      <c r="P33" s="459">
        <f t="shared" si="19"/>
        <v>0</v>
      </c>
      <c r="Q33" s="459">
        <f t="shared" ca="1" si="19"/>
        <v>67637.135670537784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5006.6190602211918</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3653.5000000000005</v>
      </c>
      <c r="D8" s="1016">
        <f>'SEAP template'!D76</f>
        <v>4297.6788573840549</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868.13112919157913</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5006.6190602211918</v>
      </c>
      <c r="C10" s="1018">
        <f>SUM(C4:C9)</f>
        <v>3653.5000000000005</v>
      </c>
      <c r="D10" s="1018">
        <f t="shared" ref="D10:H10" si="0">SUM(D8:D9)</f>
        <v>4297.6788573840549</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868.13112919157913</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0.2031809112336582</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5219.3185328185336</v>
      </c>
      <c r="D17" s="1017">
        <f>'SEAP template'!D87</f>
        <v>6139.579829874634</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1240.1951256346761</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5219.3185328185336</v>
      </c>
      <c r="D20" s="1018">
        <f t="shared" ref="D20:H20" si="2">SUM(D17:D19)</f>
        <v>6139.579829874634</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1240.1951256346761</v>
      </c>
    </row>
    <row r="21" spans="1:16">
      <c r="B21" s="883"/>
    </row>
    <row r="22" spans="1:16">
      <c r="A22" s="461" t="s">
        <v>755</v>
      </c>
      <c r="B22" s="778" t="s">
        <v>753</v>
      </c>
      <c r="C22" s="778">
        <f ca="1">'EF ele_warmte'!B22</f>
        <v>0.23761629374341836</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0.2031809112336582</v>
      </c>
      <c r="C17" s="498">
        <f ca="1">'EF ele_warmte'!B22</f>
        <v>0.23761629374341836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0.2031809112336582</v>
      </c>
      <c r="C17" s="498">
        <f ca="1">'EF ele_warmte'!B22</f>
        <v>0.23761629374341836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0.2031809112336582</v>
      </c>
      <c r="C29" s="499">
        <f ca="1">'EF ele_warmte'!B22</f>
        <v>0.23761629374341836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6780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4039.79</v>
      </c>
      <c r="C14" s="326"/>
      <c r="D14" s="326"/>
      <c r="E14" s="326"/>
      <c r="F14" s="326"/>
    </row>
    <row r="15" spans="1:6">
      <c r="A15" s="1312" t="s">
        <v>183</v>
      </c>
      <c r="B15" s="1313">
        <v>6</v>
      </c>
      <c r="C15" s="326"/>
      <c r="D15" s="326"/>
      <c r="E15" s="326"/>
      <c r="F15" s="326"/>
    </row>
    <row r="16" spans="1:6">
      <c r="A16" s="1312" t="s">
        <v>6</v>
      </c>
      <c r="B16" s="1313">
        <v>139</v>
      </c>
      <c r="C16" s="326"/>
      <c r="D16" s="326"/>
      <c r="E16" s="326"/>
      <c r="F16" s="326"/>
    </row>
    <row r="17" spans="1:6">
      <c r="A17" s="1312" t="s">
        <v>7</v>
      </c>
      <c r="B17" s="1313">
        <v>297</v>
      </c>
      <c r="C17" s="326"/>
      <c r="D17" s="326"/>
      <c r="E17" s="326"/>
      <c r="F17" s="326"/>
    </row>
    <row r="18" spans="1:6">
      <c r="A18" s="1312" t="s">
        <v>8</v>
      </c>
      <c r="B18" s="1313">
        <v>328</v>
      </c>
      <c r="C18" s="326"/>
      <c r="D18" s="326"/>
      <c r="E18" s="326"/>
      <c r="F18" s="326"/>
    </row>
    <row r="19" spans="1:6">
      <c r="A19" s="1312" t="s">
        <v>9</v>
      </c>
      <c r="B19" s="1313">
        <v>262</v>
      </c>
      <c r="C19" s="326"/>
      <c r="D19" s="326"/>
      <c r="E19" s="326"/>
      <c r="F19" s="326"/>
    </row>
    <row r="20" spans="1:6">
      <c r="A20" s="1312" t="s">
        <v>10</v>
      </c>
      <c r="B20" s="1313">
        <v>143</v>
      </c>
      <c r="C20" s="326"/>
      <c r="D20" s="326"/>
      <c r="E20" s="326"/>
      <c r="F20" s="326"/>
    </row>
    <row r="21" spans="1:6">
      <c r="A21" s="1312" t="s">
        <v>11</v>
      </c>
      <c r="B21" s="1313">
        <v>508</v>
      </c>
      <c r="C21" s="326"/>
      <c r="D21" s="326"/>
      <c r="E21" s="326"/>
      <c r="F21" s="326"/>
    </row>
    <row r="22" spans="1:6">
      <c r="A22" s="1312" t="s">
        <v>12</v>
      </c>
      <c r="B22" s="1313">
        <v>2512</v>
      </c>
      <c r="C22" s="326"/>
      <c r="D22" s="326"/>
      <c r="E22" s="326"/>
      <c r="F22" s="326"/>
    </row>
    <row r="23" spans="1:6">
      <c r="A23" s="1312" t="s">
        <v>13</v>
      </c>
      <c r="B23" s="1313">
        <v>18</v>
      </c>
      <c r="C23" s="326"/>
      <c r="D23" s="326"/>
      <c r="E23" s="326"/>
      <c r="F23" s="326"/>
    </row>
    <row r="24" spans="1:6">
      <c r="A24" s="1312" t="s">
        <v>14</v>
      </c>
      <c r="B24" s="1313">
        <v>0</v>
      </c>
      <c r="C24" s="326"/>
      <c r="D24" s="326"/>
      <c r="E24" s="326"/>
      <c r="F24" s="326"/>
    </row>
    <row r="25" spans="1:6">
      <c r="A25" s="1312" t="s">
        <v>15</v>
      </c>
      <c r="B25" s="1313">
        <v>222</v>
      </c>
      <c r="C25" s="326"/>
      <c r="D25" s="326"/>
      <c r="E25" s="326"/>
      <c r="F25" s="326"/>
    </row>
    <row r="26" spans="1:6">
      <c r="A26" s="1312" t="s">
        <v>16</v>
      </c>
      <c r="B26" s="1313">
        <v>130</v>
      </c>
      <c r="C26" s="326"/>
      <c r="D26" s="326"/>
      <c r="E26" s="326"/>
      <c r="F26" s="326"/>
    </row>
    <row r="27" spans="1:6">
      <c r="A27" s="1312" t="s">
        <v>17</v>
      </c>
      <c r="B27" s="1313">
        <v>8</v>
      </c>
      <c r="C27" s="326"/>
      <c r="D27" s="326"/>
      <c r="E27" s="326"/>
      <c r="F27" s="326"/>
    </row>
    <row r="28" spans="1:6" s="43" customFormat="1">
      <c r="A28" s="1314" t="s">
        <v>18</v>
      </c>
      <c r="B28" s="1315">
        <v>11213</v>
      </c>
      <c r="C28" s="332"/>
      <c r="D28" s="332"/>
      <c r="E28" s="332"/>
      <c r="F28" s="332"/>
    </row>
    <row r="29" spans="1:6">
      <c r="A29" s="1314" t="s">
        <v>684</v>
      </c>
      <c r="B29" s="1315">
        <v>47</v>
      </c>
      <c r="C29" s="332"/>
      <c r="D29" s="332"/>
      <c r="E29" s="332"/>
      <c r="F29" s="332"/>
    </row>
    <row r="30" spans="1:6">
      <c r="A30" s="1307" t="s">
        <v>685</v>
      </c>
      <c r="B30" s="1316">
        <v>15</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4</v>
      </c>
      <c r="F38" s="1313">
        <v>66714.048999999999</v>
      </c>
    </row>
    <row r="39" spans="1:6">
      <c r="A39" s="1312" t="s">
        <v>29</v>
      </c>
      <c r="B39" s="1312" t="s">
        <v>30</v>
      </c>
      <c r="C39" s="1313">
        <v>2603</v>
      </c>
      <c r="D39" s="1313">
        <v>39283119.420999996</v>
      </c>
      <c r="E39" s="1313">
        <v>6987</v>
      </c>
      <c r="F39" s="1313">
        <v>22834460.528000001</v>
      </c>
    </row>
    <row r="40" spans="1:6">
      <c r="A40" s="1312" t="s">
        <v>29</v>
      </c>
      <c r="B40" s="1312" t="s">
        <v>28</v>
      </c>
      <c r="C40" s="1313">
        <v>0</v>
      </c>
      <c r="D40" s="1313">
        <v>0</v>
      </c>
      <c r="E40" s="1313">
        <v>0</v>
      </c>
      <c r="F40" s="1313">
        <v>0</v>
      </c>
    </row>
    <row r="41" spans="1:6">
      <c r="A41" s="1312" t="s">
        <v>31</v>
      </c>
      <c r="B41" s="1312" t="s">
        <v>32</v>
      </c>
      <c r="C41" s="1313">
        <v>29</v>
      </c>
      <c r="D41" s="1313">
        <v>612198.88100000005</v>
      </c>
      <c r="E41" s="1313">
        <v>72</v>
      </c>
      <c r="F41" s="1313">
        <v>802783.09699999995</v>
      </c>
    </row>
    <row r="42" spans="1:6">
      <c r="A42" s="1312" t="s">
        <v>31</v>
      </c>
      <c r="B42" s="1312" t="s">
        <v>33</v>
      </c>
      <c r="C42" s="1313">
        <v>0</v>
      </c>
      <c r="D42" s="1313">
        <v>0</v>
      </c>
      <c r="E42" s="1313">
        <v>3</v>
      </c>
      <c r="F42" s="1313">
        <v>1463403.0719999999</v>
      </c>
    </row>
    <row r="43" spans="1:6">
      <c r="A43" s="1312" t="s">
        <v>31</v>
      </c>
      <c r="B43" s="1312" t="s">
        <v>34</v>
      </c>
      <c r="C43" s="1313">
        <v>0</v>
      </c>
      <c r="D43" s="1313">
        <v>0</v>
      </c>
      <c r="E43" s="1313">
        <v>0</v>
      </c>
      <c r="F43" s="1313">
        <v>0</v>
      </c>
    </row>
    <row r="44" spans="1:6">
      <c r="A44" s="1312" t="s">
        <v>31</v>
      </c>
      <c r="B44" s="1312" t="s">
        <v>35</v>
      </c>
      <c r="C44" s="1313">
        <v>11</v>
      </c>
      <c r="D44" s="1313">
        <v>17832574.206</v>
      </c>
      <c r="E44" s="1313">
        <v>19</v>
      </c>
      <c r="F44" s="1313">
        <v>10514019.530999999</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6</v>
      </c>
      <c r="F47" s="1313">
        <v>57922.516000000003</v>
      </c>
    </row>
    <row r="48" spans="1:6">
      <c r="A48" s="1312" t="s">
        <v>31</v>
      </c>
      <c r="B48" s="1312" t="s">
        <v>28</v>
      </c>
      <c r="C48" s="1313">
        <v>4</v>
      </c>
      <c r="D48" s="1313">
        <v>2631520.2370000002</v>
      </c>
      <c r="E48" s="1313">
        <v>3</v>
      </c>
      <c r="F48" s="1313">
        <v>111892.186</v>
      </c>
    </row>
    <row r="49" spans="1:6">
      <c r="A49" s="1312" t="s">
        <v>31</v>
      </c>
      <c r="B49" s="1312" t="s">
        <v>39</v>
      </c>
      <c r="C49" s="1313">
        <v>0</v>
      </c>
      <c r="D49" s="1313">
        <v>0</v>
      </c>
      <c r="E49" s="1313">
        <v>0</v>
      </c>
      <c r="F49" s="1313">
        <v>0</v>
      </c>
    </row>
    <row r="50" spans="1:6">
      <c r="A50" s="1312" t="s">
        <v>31</v>
      </c>
      <c r="B50" s="1312" t="s">
        <v>40</v>
      </c>
      <c r="C50" s="1313">
        <v>3</v>
      </c>
      <c r="D50" s="1313">
        <v>30126.493999999999</v>
      </c>
      <c r="E50" s="1313">
        <v>13</v>
      </c>
      <c r="F50" s="1313">
        <v>217963.15400000001</v>
      </c>
    </row>
    <row r="51" spans="1:6">
      <c r="A51" s="1312" t="s">
        <v>41</v>
      </c>
      <c r="B51" s="1312" t="s">
        <v>42</v>
      </c>
      <c r="C51" s="1313">
        <v>14</v>
      </c>
      <c r="D51" s="1313">
        <v>310801.06699999998</v>
      </c>
      <c r="E51" s="1313">
        <v>63</v>
      </c>
      <c r="F51" s="1313">
        <v>1803072.8459999999</v>
      </c>
    </row>
    <row r="52" spans="1:6">
      <c r="A52" s="1312" t="s">
        <v>41</v>
      </c>
      <c r="B52" s="1312" t="s">
        <v>28</v>
      </c>
      <c r="C52" s="1313">
        <v>0</v>
      </c>
      <c r="D52" s="1313">
        <v>0</v>
      </c>
      <c r="E52" s="1313">
        <v>0</v>
      </c>
      <c r="F52" s="1313">
        <v>0</v>
      </c>
    </row>
    <row r="53" spans="1:6">
      <c r="A53" s="1312" t="s">
        <v>43</v>
      </c>
      <c r="B53" s="1312" t="s">
        <v>44</v>
      </c>
      <c r="C53" s="1313">
        <v>26</v>
      </c>
      <c r="D53" s="1313">
        <v>1085638.27</v>
      </c>
      <c r="E53" s="1313">
        <v>77</v>
      </c>
      <c r="F53" s="1313">
        <v>1247144.977</v>
      </c>
    </row>
    <row r="54" spans="1:6">
      <c r="A54" s="1312" t="s">
        <v>45</v>
      </c>
      <c r="B54" s="1312" t="s">
        <v>46</v>
      </c>
      <c r="C54" s="1313">
        <v>0</v>
      </c>
      <c r="D54" s="1313">
        <v>0</v>
      </c>
      <c r="E54" s="1313">
        <v>1</v>
      </c>
      <c r="F54" s="1313">
        <v>977964</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21</v>
      </c>
      <c r="D57" s="1313">
        <v>918139.16</v>
      </c>
      <c r="E57" s="1313">
        <v>89</v>
      </c>
      <c r="F57" s="1313">
        <v>2266923.0660000001</v>
      </c>
    </row>
    <row r="58" spans="1:6">
      <c r="A58" s="1312" t="s">
        <v>48</v>
      </c>
      <c r="B58" s="1312" t="s">
        <v>50</v>
      </c>
      <c r="C58" s="1313">
        <v>20</v>
      </c>
      <c r="D58" s="1313">
        <v>1441131.6129999999</v>
      </c>
      <c r="E58" s="1313">
        <v>40</v>
      </c>
      <c r="F58" s="1313">
        <v>522599.90700000001</v>
      </c>
    </row>
    <row r="59" spans="1:6">
      <c r="A59" s="1312" t="s">
        <v>48</v>
      </c>
      <c r="B59" s="1312" t="s">
        <v>51</v>
      </c>
      <c r="C59" s="1313">
        <v>52</v>
      </c>
      <c r="D59" s="1313">
        <v>7586225.6310000001</v>
      </c>
      <c r="E59" s="1313">
        <v>129</v>
      </c>
      <c r="F59" s="1313">
        <v>5142266.665</v>
      </c>
    </row>
    <row r="60" spans="1:6">
      <c r="A60" s="1312" t="s">
        <v>48</v>
      </c>
      <c r="B60" s="1312" t="s">
        <v>52</v>
      </c>
      <c r="C60" s="1313">
        <v>31</v>
      </c>
      <c r="D60" s="1313">
        <v>2727770.2319999998</v>
      </c>
      <c r="E60" s="1313">
        <v>41</v>
      </c>
      <c r="F60" s="1313">
        <v>801726.58</v>
      </c>
    </row>
    <row r="61" spans="1:6">
      <c r="A61" s="1312" t="s">
        <v>48</v>
      </c>
      <c r="B61" s="1312" t="s">
        <v>53</v>
      </c>
      <c r="C61" s="1313">
        <v>59</v>
      </c>
      <c r="D61" s="1313">
        <v>1506935.0220000001</v>
      </c>
      <c r="E61" s="1313">
        <v>226</v>
      </c>
      <c r="F61" s="1313">
        <v>1663557.365</v>
      </c>
    </row>
    <row r="62" spans="1:6">
      <c r="A62" s="1312" t="s">
        <v>48</v>
      </c>
      <c r="B62" s="1312" t="s">
        <v>54</v>
      </c>
      <c r="C62" s="1313">
        <v>0</v>
      </c>
      <c r="D62" s="1313">
        <v>0</v>
      </c>
      <c r="E62" s="1313">
        <v>3</v>
      </c>
      <c r="F62" s="1313">
        <v>14890.87</v>
      </c>
    </row>
    <row r="63" spans="1:6">
      <c r="A63" s="1312" t="s">
        <v>48</v>
      </c>
      <c r="B63" s="1312" t="s">
        <v>28</v>
      </c>
      <c r="C63" s="1313">
        <v>2</v>
      </c>
      <c r="D63" s="1313">
        <v>38952.436999999998</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182339.351</v>
      </c>
      <c r="E65" s="1313">
        <v>3</v>
      </c>
      <c r="F65" s="1313">
        <v>180193.533</v>
      </c>
    </row>
    <row r="66" spans="1:6">
      <c r="A66" s="1312" t="s">
        <v>55</v>
      </c>
      <c r="B66" s="1312" t="s">
        <v>57</v>
      </c>
      <c r="C66" s="1313">
        <v>0</v>
      </c>
      <c r="D66" s="1313">
        <v>0</v>
      </c>
      <c r="E66" s="1313">
        <v>0</v>
      </c>
      <c r="F66" s="1313">
        <v>0</v>
      </c>
    </row>
    <row r="67" spans="1:6">
      <c r="A67" s="1314" t="s">
        <v>55</v>
      </c>
      <c r="B67" s="1314" t="s">
        <v>58</v>
      </c>
      <c r="C67" s="1313">
        <v>0</v>
      </c>
      <c r="D67" s="1313">
        <v>0</v>
      </c>
      <c r="E67" s="1313">
        <v>0</v>
      </c>
      <c r="F67" s="1313">
        <v>0</v>
      </c>
    </row>
    <row r="68" spans="1:6">
      <c r="A68" s="1307" t="s">
        <v>55</v>
      </c>
      <c r="B68" s="1307" t="s">
        <v>59</v>
      </c>
      <c r="C68" s="1316">
        <v>0</v>
      </c>
      <c r="D68" s="1316">
        <v>0</v>
      </c>
      <c r="E68" s="1316">
        <v>8</v>
      </c>
      <c r="F68" s="1316">
        <v>148072.28099999999</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37299216</v>
      </c>
      <c r="E73" s="447"/>
      <c r="F73" s="326"/>
    </row>
    <row r="74" spans="1:6">
      <c r="A74" s="1312" t="s">
        <v>63</v>
      </c>
      <c r="B74" s="1312" t="s">
        <v>638</v>
      </c>
      <c r="C74" s="1326" t="s">
        <v>640</v>
      </c>
      <c r="D74" s="1327">
        <v>2069357.3067849311</v>
      </c>
      <c r="E74" s="447"/>
      <c r="F74" s="326"/>
    </row>
    <row r="75" spans="1:6">
      <c r="A75" s="1312" t="s">
        <v>64</v>
      </c>
      <c r="B75" s="1312" t="s">
        <v>637</v>
      </c>
      <c r="C75" s="1326" t="s">
        <v>641</v>
      </c>
      <c r="D75" s="1327">
        <v>24026326</v>
      </c>
      <c r="E75" s="447"/>
      <c r="F75" s="326"/>
    </row>
    <row r="76" spans="1:6">
      <c r="A76" s="1312" t="s">
        <v>64</v>
      </c>
      <c r="B76" s="1312" t="s">
        <v>638</v>
      </c>
      <c r="C76" s="1326" t="s">
        <v>642</v>
      </c>
      <c r="D76" s="1327">
        <v>449514.30678493099</v>
      </c>
      <c r="E76" s="447"/>
      <c r="F76" s="326"/>
    </row>
    <row r="77" spans="1:6">
      <c r="A77" s="1312" t="s">
        <v>65</v>
      </c>
      <c r="B77" s="1312" t="s">
        <v>637</v>
      </c>
      <c r="C77" s="1326" t="s">
        <v>643</v>
      </c>
      <c r="D77" s="1327">
        <v>42031173</v>
      </c>
      <c r="E77" s="447"/>
      <c r="F77" s="326"/>
    </row>
    <row r="78" spans="1:6">
      <c r="A78" s="1307" t="s">
        <v>65</v>
      </c>
      <c r="B78" s="1307" t="s">
        <v>638</v>
      </c>
      <c r="C78" s="1307" t="s">
        <v>644</v>
      </c>
      <c r="D78" s="1328">
        <v>5635761</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287507.38643013802</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4347.5017870147558</v>
      </c>
      <c r="C91" s="326"/>
      <c r="D91" s="326"/>
      <c r="E91" s="326"/>
      <c r="F91" s="326"/>
    </row>
    <row r="92" spans="1:6">
      <c r="A92" s="1307" t="s">
        <v>68</v>
      </c>
      <c r="B92" s="1308">
        <v>659.11727320643558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430</v>
      </c>
      <c r="C97" s="326"/>
      <c r="D97" s="326"/>
      <c r="E97" s="326"/>
      <c r="F97" s="326"/>
    </row>
    <row r="98" spans="1:6">
      <c r="A98" s="1312" t="s">
        <v>71</v>
      </c>
      <c r="B98" s="1313">
        <v>3</v>
      </c>
      <c r="C98" s="326"/>
      <c r="D98" s="326"/>
      <c r="E98" s="326"/>
      <c r="F98" s="326"/>
    </row>
    <row r="99" spans="1:6">
      <c r="A99" s="1312" t="s">
        <v>72</v>
      </c>
      <c r="B99" s="1313">
        <v>68</v>
      </c>
      <c r="C99" s="326"/>
      <c r="D99" s="326"/>
      <c r="E99" s="326"/>
      <c r="F99" s="326"/>
    </row>
    <row r="100" spans="1:6">
      <c r="A100" s="1312" t="s">
        <v>73</v>
      </c>
      <c r="B100" s="1313">
        <v>273</v>
      </c>
      <c r="C100" s="326"/>
      <c r="D100" s="326"/>
      <c r="E100" s="326"/>
      <c r="F100" s="326"/>
    </row>
    <row r="101" spans="1:6">
      <c r="A101" s="1312" t="s">
        <v>74</v>
      </c>
      <c r="B101" s="1313">
        <v>37</v>
      </c>
      <c r="C101" s="326"/>
      <c r="D101" s="326"/>
      <c r="E101" s="326"/>
      <c r="F101" s="326"/>
    </row>
    <row r="102" spans="1:6">
      <c r="A102" s="1312" t="s">
        <v>75</v>
      </c>
      <c r="B102" s="1313">
        <v>74</v>
      </c>
      <c r="C102" s="326"/>
      <c r="D102" s="326"/>
      <c r="E102" s="326"/>
      <c r="F102" s="326"/>
    </row>
    <row r="103" spans="1:6">
      <c r="A103" s="1312" t="s">
        <v>76</v>
      </c>
      <c r="B103" s="1313">
        <v>152</v>
      </c>
      <c r="C103" s="326"/>
      <c r="D103" s="326"/>
      <c r="E103" s="326"/>
      <c r="F103" s="326"/>
    </row>
    <row r="104" spans="1:6">
      <c r="A104" s="1312" t="s">
        <v>77</v>
      </c>
      <c r="B104" s="1313">
        <v>4697</v>
      </c>
      <c r="C104" s="326"/>
      <c r="D104" s="326"/>
      <c r="E104" s="326"/>
      <c r="F104" s="326"/>
    </row>
    <row r="105" spans="1:6">
      <c r="A105" s="1307" t="s">
        <v>78</v>
      </c>
      <c r="B105" s="1316">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1</v>
      </c>
      <c r="C121" s="1313">
        <v>0</v>
      </c>
      <c r="D121" s="326"/>
      <c r="E121" s="326"/>
      <c r="F121" s="326"/>
    </row>
    <row r="122" spans="1:6">
      <c r="A122" s="1312" t="s">
        <v>86</v>
      </c>
      <c r="B122" s="1313">
        <v>0</v>
      </c>
      <c r="C122" s="1313">
        <v>0</v>
      </c>
      <c r="D122" s="326"/>
      <c r="E122" s="326"/>
      <c r="F122" s="326"/>
    </row>
    <row r="123" spans="1:6">
      <c r="A123" s="1312" t="s">
        <v>87</v>
      </c>
      <c r="B123" s="1313">
        <v>32</v>
      </c>
      <c r="C123" s="1313">
        <v>25</v>
      </c>
      <c r="D123" s="326"/>
      <c r="E123" s="326"/>
      <c r="F123" s="326"/>
    </row>
    <row r="124" spans="1:6" s="43" customFormat="1">
      <c r="A124" s="1314" t="s">
        <v>88</v>
      </c>
      <c r="B124" s="1335">
        <v>1</v>
      </c>
      <c r="C124" s="1335">
        <v>0</v>
      </c>
      <c r="D124" s="332"/>
      <c r="E124" s="332"/>
      <c r="F124" s="332"/>
    </row>
    <row r="125" spans="1:6">
      <c r="A125" s="1307" t="s">
        <v>786</v>
      </c>
      <c r="B125" s="1335">
        <v>1</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100</v>
      </c>
      <c r="C129" s="326"/>
      <c r="D129" s="326"/>
      <c r="E129" s="326"/>
      <c r="F129" s="326"/>
    </row>
    <row r="130" spans="1:6">
      <c r="A130" s="1312" t="s">
        <v>290</v>
      </c>
      <c r="B130" s="1313">
        <v>0</v>
      </c>
      <c r="C130" s="326"/>
      <c r="D130" s="326"/>
      <c r="E130" s="326"/>
      <c r="F130" s="326"/>
    </row>
    <row r="131" spans="1:6">
      <c r="A131" s="1312" t="s">
        <v>291</v>
      </c>
      <c r="B131" s="1313">
        <v>0</v>
      </c>
      <c r="C131" s="326"/>
      <c r="D131" s="326"/>
      <c r="E131" s="326"/>
      <c r="F131" s="326"/>
    </row>
    <row r="132" spans="1:6">
      <c r="A132" s="1307" t="s">
        <v>292</v>
      </c>
      <c r="B132" s="1308">
        <v>29</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58687.354714378853</v>
      </c>
      <c r="C3" s="43" t="s">
        <v>169</v>
      </c>
      <c r="D3" s="43"/>
      <c r="E3" s="154"/>
      <c r="F3" s="43"/>
      <c r="G3" s="43"/>
      <c r="H3" s="43"/>
      <c r="I3" s="43"/>
      <c r="J3" s="43"/>
      <c r="K3" s="96"/>
    </row>
    <row r="4" spans="1:11">
      <c r="A4" s="354" t="s">
        <v>170</v>
      </c>
      <c r="B4" s="49">
        <f>IF(ISERROR('SEAP template'!B78+'SEAP template'!C78),0,'SEAP template'!B78+'SEAP template'!C78)</f>
        <v>8660.1190602211918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868.13112919157913</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0.2031809112336582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1240.1951256346761</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5219.3185328185336</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0.23761629374341836</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977.96400000000006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977.96400000000006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0.2031809112336582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198.70361667371333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22834.460528</v>
      </c>
      <c r="C5" s="17">
        <f>IF(ISERROR('Eigen informatie GS &amp; warmtenet'!B59),0,'Eigen informatie GS &amp; warmtenet'!B59)</f>
        <v>0</v>
      </c>
      <c r="D5" s="30">
        <f>(SUM(HH_hh_gas_kWh,HH_rest_gas_kWh)/1000)*0.903</f>
        <v>35472.656837162998</v>
      </c>
      <c r="E5" s="17">
        <f>B32*B41</f>
        <v>2694.6949753985296</v>
      </c>
      <c r="F5" s="17">
        <f>B36*B45</f>
        <v>59031.619163950163</v>
      </c>
      <c r="G5" s="18"/>
      <c r="H5" s="17"/>
      <c r="I5" s="17"/>
      <c r="J5" s="17">
        <f>B35*B44+C35*C44</f>
        <v>336.42765412539535</v>
      </c>
      <c r="K5" s="17"/>
      <c r="L5" s="17"/>
      <c r="M5" s="17"/>
      <c r="N5" s="17">
        <f>B34*B43+C34*C43</f>
        <v>9759.5475823162051</v>
      </c>
      <c r="O5" s="17">
        <f>B52*B53*B54</f>
        <v>247.99477742337896</v>
      </c>
      <c r="P5" s="17">
        <f>B60*B61*B62/1000-B60*B61*B62/1000/B63</f>
        <v>653.1054770764714</v>
      </c>
    </row>
    <row r="6" spans="1:16">
      <c r="A6" s="16" t="s">
        <v>603</v>
      </c>
      <c r="B6" s="780">
        <f>kWh_PV_kleiner_dan_10kW</f>
        <v>4347.5017870147558</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27181.962315014756</v>
      </c>
      <c r="C8" s="21">
        <f>C5</f>
        <v>0</v>
      </c>
      <c r="D8" s="21">
        <f>D5</f>
        <v>35472.656837162998</v>
      </c>
      <c r="E8" s="21">
        <f>E5</f>
        <v>2694.6949753985296</v>
      </c>
      <c r="F8" s="21">
        <f>F5</f>
        <v>59031.619163950163</v>
      </c>
      <c r="G8" s="21"/>
      <c r="H8" s="21"/>
      <c r="I8" s="21"/>
      <c r="J8" s="21">
        <f>J5</f>
        <v>336.42765412539535</v>
      </c>
      <c r="K8" s="21"/>
      <c r="L8" s="21">
        <f>L5</f>
        <v>0</v>
      </c>
      <c r="M8" s="21">
        <f>M5</f>
        <v>0</v>
      </c>
      <c r="N8" s="21">
        <f>N5</f>
        <v>9759.5475823162051</v>
      </c>
      <c r="O8" s="21">
        <f>O5</f>
        <v>247.99477742337896</v>
      </c>
      <c r="P8" s="21">
        <f>P5</f>
        <v>653.1054770764714</v>
      </c>
    </row>
    <row r="9" spans="1:16">
      <c r="B9" s="19"/>
      <c r="C9" s="19"/>
      <c r="D9" s="254"/>
      <c r="E9" s="19"/>
      <c r="F9" s="19"/>
      <c r="G9" s="19"/>
      <c r="H9" s="19"/>
      <c r="I9" s="19"/>
      <c r="J9" s="19"/>
      <c r="K9" s="19"/>
      <c r="L9" s="19"/>
      <c r="M9" s="19"/>
      <c r="N9" s="19"/>
      <c r="O9" s="19"/>
      <c r="P9" s="19"/>
    </row>
    <row r="10" spans="1:16">
      <c r="A10" s="24" t="s">
        <v>213</v>
      </c>
      <c r="B10" s="25">
        <f ca="1">'EF ele_warmte'!B12</f>
        <v>0.2031809112336582</v>
      </c>
      <c r="C10" s="25">
        <f ca="1">'EF ele_warmte'!B22</f>
        <v>0.23761629374341836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5522.8558722836551</v>
      </c>
      <c r="C12" s="23">
        <f ca="1">C10*C8</f>
        <v>0</v>
      </c>
      <c r="D12" s="23">
        <f>D8*D10</f>
        <v>7165.4766811069258</v>
      </c>
      <c r="E12" s="23">
        <f>E10*E8</f>
        <v>611.69575941546623</v>
      </c>
      <c r="F12" s="23">
        <f>F10*F8</f>
        <v>15761.442316774694</v>
      </c>
      <c r="G12" s="23"/>
      <c r="H12" s="23"/>
      <c r="I12" s="23"/>
      <c r="J12" s="23">
        <f>J10*J8</f>
        <v>119.09538956038995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6780</v>
      </c>
      <c r="C26" s="36"/>
      <c r="D26" s="225"/>
    </row>
    <row r="27" spans="1:5" s="15" customFormat="1">
      <c r="A27" s="227" t="s">
        <v>866</v>
      </c>
      <c r="B27" s="37">
        <f>SUM(HH_hh_gas_aantal,HH_rest_gas_aantal)</f>
        <v>2603</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2472.85</v>
      </c>
      <c r="C31" s="34" t="s">
        <v>110</v>
      </c>
      <c r="D31" s="171"/>
    </row>
    <row r="32" spans="1:5">
      <c r="A32" s="168" t="s">
        <v>72</v>
      </c>
      <c r="B32" s="33">
        <f>IF((B21*($B$26-($B$27-0.05*$B$27)-$B$60))&lt;0,0,(B21*($B$26-($B$27-0.05*$B$27)-$B$60)))</f>
        <v>67.392599735556871</v>
      </c>
      <c r="C32" s="34" t="s">
        <v>110</v>
      </c>
      <c r="D32" s="171"/>
    </row>
    <row r="33" spans="1:6">
      <c r="A33" s="168" t="s">
        <v>73</v>
      </c>
      <c r="B33" s="33">
        <f>IF((B22*($B$26-($B$27-0.05*$B$27)-$B$60))&lt;0,0,B22*($B$26-($B$27-0.05*$B$27)-$B$60))</f>
        <v>1094.322347196688</v>
      </c>
      <c r="C33" s="34" t="s">
        <v>110</v>
      </c>
      <c r="D33" s="171"/>
    </row>
    <row r="34" spans="1:6">
      <c r="A34" s="168" t="s">
        <v>74</v>
      </c>
      <c r="B34" s="33">
        <f>IF((B24*($B$26-($B$27-0.05*$B$27)-$B$60))&lt;0,0,B24*($B$26-($B$27-0.05*$B$27)-$B$60))</f>
        <v>209.79623868712582</v>
      </c>
      <c r="C34" s="33">
        <f>B26*C24</f>
        <v>1389.2622718883695</v>
      </c>
      <c r="D34" s="230"/>
    </row>
    <row r="35" spans="1:6">
      <c r="A35" s="168" t="s">
        <v>76</v>
      </c>
      <c r="B35" s="33">
        <f>IF((B19*($B$26-($B$27-0.05*$B$27)-$B$60))&lt;0,0,B19*($B$26-($B$27-0.05*$B$27)-$B$60))</f>
        <v>29.295402436691088</v>
      </c>
      <c r="C35" s="33">
        <f>B35/2</f>
        <v>14.647701218345544</v>
      </c>
      <c r="D35" s="230"/>
    </row>
    <row r="36" spans="1:6">
      <c r="A36" s="168" t="s">
        <v>77</v>
      </c>
      <c r="B36" s="33">
        <f>IF((B18*($B$26-($B$27-0.05*$B$27)-$B$60))&lt;0,0,B18*($B$26-($B$27-0.05*$B$27)-$B$60))</f>
        <v>2844.3434119439371</v>
      </c>
      <c r="C36" s="34" t="s">
        <v>110</v>
      </c>
      <c r="D36" s="171"/>
    </row>
    <row r="37" spans="1:6">
      <c r="A37" s="168" t="s">
        <v>78</v>
      </c>
      <c r="B37" s="33">
        <f>B60</f>
        <v>62</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125</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62</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10411.964453000001</v>
      </c>
      <c r="C5" s="17">
        <f>IF(ISERROR('Eigen informatie GS &amp; warmtenet'!B60),0,'Eigen informatie GS &amp; warmtenet'!B60)</f>
        <v>0</v>
      </c>
      <c r="D5" s="30">
        <f>SUM(D6:D12)</f>
        <v>12839.896147785001</v>
      </c>
      <c r="E5" s="17">
        <f>SUM(E6:E12)</f>
        <v>70.891210242317811</v>
      </c>
      <c r="F5" s="17">
        <f>SUM(F6:F12)</f>
        <v>2847.9883829042128</v>
      </c>
      <c r="G5" s="18"/>
      <c r="H5" s="17"/>
      <c r="I5" s="17"/>
      <c r="J5" s="17">
        <f>SUM(J6:J12)</f>
        <v>2.2928050066964585E-2</v>
      </c>
      <c r="K5" s="17"/>
      <c r="L5" s="17"/>
      <c r="M5" s="17"/>
      <c r="N5" s="17">
        <f>SUM(N6:N12)</f>
        <v>875.20556566917367</v>
      </c>
      <c r="O5" s="17">
        <f>B38*B39*B40</f>
        <v>0</v>
      </c>
      <c r="P5" s="17">
        <f>B46*B47*B48/1000-B46*B47*B48/1000/B49</f>
        <v>105.07827661299004</v>
      </c>
      <c r="R5" s="32"/>
    </row>
    <row r="6" spans="1:18">
      <c r="A6" s="32" t="s">
        <v>53</v>
      </c>
      <c r="B6" s="37">
        <f>B26</f>
        <v>1663.5573649999999</v>
      </c>
      <c r="C6" s="33"/>
      <c r="D6" s="37">
        <f>IF(ISERROR(TER_kantoor_gas_kWh/1000),0,TER_kantoor_gas_kWh/1000)*0.903</f>
        <v>1360.7623248660002</v>
      </c>
      <c r="E6" s="33">
        <f>$C$26*'E Balans VL '!I12/100/3.6*1000000</f>
        <v>0.39637668726230474</v>
      </c>
      <c r="F6" s="33">
        <f>$C$26*('E Balans VL '!L12+'E Balans VL '!N12)/100/3.6*1000000</f>
        <v>144.49625360598367</v>
      </c>
      <c r="G6" s="34"/>
      <c r="H6" s="33"/>
      <c r="I6" s="33"/>
      <c r="J6" s="33">
        <f>$C$26*('E Balans VL '!D12+'E Balans VL '!E12)/100/3.6*1000000</f>
        <v>0</v>
      </c>
      <c r="K6" s="33"/>
      <c r="L6" s="33"/>
      <c r="M6" s="33"/>
      <c r="N6" s="33">
        <f>$C$26*'E Balans VL '!Y12/100/3.6*1000000</f>
        <v>2.2235771503289961</v>
      </c>
      <c r="O6" s="33"/>
      <c r="P6" s="33"/>
      <c r="R6" s="32"/>
    </row>
    <row r="7" spans="1:18">
      <c r="A7" s="32" t="s">
        <v>52</v>
      </c>
      <c r="B7" s="37">
        <f t="shared" ref="B7:B12" si="0">B27</f>
        <v>801.72658000000001</v>
      </c>
      <c r="C7" s="33"/>
      <c r="D7" s="37">
        <f>IF(ISERROR(TER_horeca_gas_kWh/1000),0,TER_horeca_gas_kWh/1000)*0.903</f>
        <v>2463.1765194959999</v>
      </c>
      <c r="E7" s="33">
        <f>$C$27*'E Balans VL '!I9/100/3.6*1000000</f>
        <v>0</v>
      </c>
      <c r="F7" s="33">
        <f>$C$27*('E Balans VL '!L9+'E Balans VL '!N9)/100/3.6*1000000</f>
        <v>65.326207091491085</v>
      </c>
      <c r="G7" s="34"/>
      <c r="H7" s="33"/>
      <c r="I7" s="33"/>
      <c r="J7" s="33">
        <f>$C$27*('E Balans VL '!D9+'E Balans VL '!E9)/100/3.6*1000000</f>
        <v>0</v>
      </c>
      <c r="K7" s="33"/>
      <c r="L7" s="33"/>
      <c r="M7" s="33"/>
      <c r="N7" s="33">
        <f>$C$27*'E Balans VL '!Y9/100/3.6*1000000</f>
        <v>0.22206333663503633</v>
      </c>
      <c r="O7" s="33"/>
      <c r="P7" s="33"/>
      <c r="R7" s="32"/>
    </row>
    <row r="8" spans="1:18">
      <c r="A8" s="6" t="s">
        <v>51</v>
      </c>
      <c r="B8" s="37">
        <f t="shared" si="0"/>
        <v>5142.2666650000001</v>
      </c>
      <c r="C8" s="33"/>
      <c r="D8" s="37">
        <f>IF(ISERROR(TER_handel_gas_kWh/1000),0,TER_handel_gas_kWh/1000)*0.903</f>
        <v>6850.3617447930001</v>
      </c>
      <c r="E8" s="33">
        <f>$C$28*'E Balans VL '!I13/100/3.6*1000000</f>
        <v>41.105297883338494</v>
      </c>
      <c r="F8" s="33">
        <f>$C$28*('E Balans VL '!L13+'E Balans VL '!N13)/100/3.6*1000000</f>
        <v>510.85222697309865</v>
      </c>
      <c r="G8" s="34"/>
      <c r="H8" s="33"/>
      <c r="I8" s="33"/>
      <c r="J8" s="33">
        <f>$C$28*('E Balans VL '!D13+'E Balans VL '!E13)/100/3.6*1000000</f>
        <v>0</v>
      </c>
      <c r="K8" s="33"/>
      <c r="L8" s="33"/>
      <c r="M8" s="33"/>
      <c r="N8" s="33">
        <f>$C$28*'E Balans VL '!Y13/100/3.6*1000000</f>
        <v>1.9209426874636943</v>
      </c>
      <c r="O8" s="33"/>
      <c r="P8" s="33"/>
      <c r="R8" s="32"/>
    </row>
    <row r="9" spans="1:18">
      <c r="A9" s="32" t="s">
        <v>50</v>
      </c>
      <c r="B9" s="37">
        <f t="shared" si="0"/>
        <v>522.59990700000003</v>
      </c>
      <c r="C9" s="33"/>
      <c r="D9" s="37">
        <f>IF(ISERROR(TER_gezond_gas_kWh/1000),0,TER_gezond_gas_kWh/1000)*0.903</f>
        <v>1301.3418465389998</v>
      </c>
      <c r="E9" s="33">
        <f>$C$29*'E Balans VL '!I10/100/3.6*1000000</f>
        <v>0</v>
      </c>
      <c r="F9" s="33">
        <f>$C$29*('E Balans VL '!L10+'E Balans VL '!N10)/100/3.6*1000000</f>
        <v>47.64349765260571</v>
      </c>
      <c r="G9" s="34"/>
      <c r="H9" s="33"/>
      <c r="I9" s="33"/>
      <c r="J9" s="33">
        <f>$C$29*('E Balans VL '!D10+'E Balans VL '!E10)/100/3.6*1000000</f>
        <v>0</v>
      </c>
      <c r="K9" s="33"/>
      <c r="L9" s="33"/>
      <c r="M9" s="33"/>
      <c r="N9" s="33">
        <f>$C$29*'E Balans VL '!Y10/100/3.6*1000000</f>
        <v>3.8197369870144846</v>
      </c>
      <c r="O9" s="33"/>
      <c r="P9" s="33"/>
      <c r="R9" s="32"/>
    </row>
    <row r="10" spans="1:18">
      <c r="A10" s="32" t="s">
        <v>49</v>
      </c>
      <c r="B10" s="37">
        <f t="shared" si="0"/>
        <v>2266.9230660000003</v>
      </c>
      <c r="C10" s="33"/>
      <c r="D10" s="37">
        <f>IF(ISERROR(TER_ander_gas_kWh/1000),0,TER_ander_gas_kWh/1000)*0.903</f>
        <v>829.07966148000003</v>
      </c>
      <c r="E10" s="33">
        <f>$C$30*'E Balans VL '!I14/100/3.6*1000000</f>
        <v>29.38953567171701</v>
      </c>
      <c r="F10" s="33">
        <f>$C$30*('E Balans VL '!L14+'E Balans VL '!N14)/100/3.6*1000000</f>
        <v>2079.086733563754</v>
      </c>
      <c r="G10" s="34"/>
      <c r="H10" s="33"/>
      <c r="I10" s="33"/>
      <c r="J10" s="33">
        <f>$C$30*('E Balans VL '!D14+'E Balans VL '!E14)/100/3.6*1000000</f>
        <v>2.2928050066964585E-2</v>
      </c>
      <c r="K10" s="33"/>
      <c r="L10" s="33"/>
      <c r="M10" s="33"/>
      <c r="N10" s="33">
        <f>$C$30*'E Balans VL '!Y14/100/3.6*1000000</f>
        <v>866.97235047897209</v>
      </c>
      <c r="O10" s="33"/>
      <c r="P10" s="33"/>
      <c r="R10" s="32"/>
    </row>
    <row r="11" spans="1:18">
      <c r="A11" s="32" t="s">
        <v>54</v>
      </c>
      <c r="B11" s="37">
        <f t="shared" si="0"/>
        <v>14.890870000000001</v>
      </c>
      <c r="C11" s="33"/>
      <c r="D11" s="37">
        <f>IF(ISERROR(TER_onderwijs_gas_kWh/1000),0,TER_onderwijs_gas_kWh/1000)*0.903</f>
        <v>0</v>
      </c>
      <c r="E11" s="33">
        <f>$C$31*'E Balans VL '!I11/100/3.6*1000000</f>
        <v>0</v>
      </c>
      <c r="F11" s="33">
        <f>$C$31*('E Balans VL '!L11+'E Balans VL '!N11)/100/3.6*1000000</f>
        <v>0.5834640172798331</v>
      </c>
      <c r="G11" s="34"/>
      <c r="H11" s="33"/>
      <c r="I11" s="33"/>
      <c r="J11" s="33">
        <f>$C$31*('E Balans VL '!D11+'E Balans VL '!E11)/100/3.6*1000000</f>
        <v>0</v>
      </c>
      <c r="K11" s="33"/>
      <c r="L11" s="33"/>
      <c r="M11" s="33"/>
      <c r="N11" s="33">
        <f>$C$31*'E Balans VL '!Y11/100/3.6*1000000</f>
        <v>4.6895028759338403E-2</v>
      </c>
      <c r="O11" s="33"/>
      <c r="P11" s="33"/>
      <c r="R11" s="32"/>
    </row>
    <row r="12" spans="1:18">
      <c r="A12" s="32" t="s">
        <v>255</v>
      </c>
      <c r="B12" s="37">
        <f t="shared" si="0"/>
        <v>0</v>
      </c>
      <c r="C12" s="33"/>
      <c r="D12" s="37">
        <f>IF(ISERROR(TER_rest_gas_kWh/1000),0,TER_rest_gas_kWh/1000)*0.903</f>
        <v>35.174050610999998</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8.5</v>
      </c>
      <c r="C13" s="243">
        <f ca="1">'lokale energieproductie'!O39+'lokale energieproductie'!O32</f>
        <v>12.175675675675675</v>
      </c>
      <c r="D13" s="304">
        <f ca="1">('lokale energieproductie'!P32+'lokale energieproductie'!P39)*(-1)</f>
        <v>-22.972972972972972</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10420.464453000001</v>
      </c>
      <c r="C16" s="21">
        <f t="shared" ca="1" si="1"/>
        <v>12.175675675675675</v>
      </c>
      <c r="D16" s="21">
        <f t="shared" ca="1" si="1"/>
        <v>12816.923174812027</v>
      </c>
      <c r="E16" s="21">
        <f t="shared" si="1"/>
        <v>70.891210242317811</v>
      </c>
      <c r="F16" s="21">
        <f t="shared" ca="1" si="1"/>
        <v>2847.9883829042128</v>
      </c>
      <c r="G16" s="21">
        <f t="shared" si="1"/>
        <v>0</v>
      </c>
      <c r="H16" s="21">
        <f t="shared" si="1"/>
        <v>0</v>
      </c>
      <c r="I16" s="21">
        <f t="shared" si="1"/>
        <v>0</v>
      </c>
      <c r="J16" s="21">
        <f t="shared" si="1"/>
        <v>2.2928050066964585E-2</v>
      </c>
      <c r="K16" s="21">
        <f t="shared" si="1"/>
        <v>0</v>
      </c>
      <c r="L16" s="21">
        <f t="shared" ca="1" si="1"/>
        <v>0</v>
      </c>
      <c r="M16" s="21">
        <f t="shared" si="1"/>
        <v>0</v>
      </c>
      <c r="N16" s="21">
        <f t="shared" ca="1" si="1"/>
        <v>875.20556566917367</v>
      </c>
      <c r="O16" s="21">
        <f>O5</f>
        <v>0</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0.2031809112336582</v>
      </c>
      <c r="C18" s="25">
        <f ca="1">'EF ele_warmte'!B22</f>
        <v>0.23761629374341836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2117.2394630384838</v>
      </c>
      <c r="C20" s="23">
        <f t="shared" ref="C20:P20" ca="1" si="2">C16*C18</f>
        <v>2.893138927875945</v>
      </c>
      <c r="D20" s="23">
        <f t="shared" ca="1" si="2"/>
        <v>2589.0184813120295</v>
      </c>
      <c r="E20" s="23">
        <f t="shared" si="2"/>
        <v>16.092304725006144</v>
      </c>
      <c r="F20" s="23">
        <f t="shared" ca="1" si="2"/>
        <v>760.4128982354249</v>
      </c>
      <c r="G20" s="23">
        <f t="shared" si="2"/>
        <v>0</v>
      </c>
      <c r="H20" s="23">
        <f t="shared" si="2"/>
        <v>0</v>
      </c>
      <c r="I20" s="23">
        <f t="shared" si="2"/>
        <v>0</v>
      </c>
      <c r="J20" s="23">
        <f t="shared" si="2"/>
        <v>8.1165297237054627E-3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1663.5573649999999</v>
      </c>
      <c r="C26" s="39">
        <f>IF(ISERROR(B26*3.6/1000000/'E Balans VL '!Z12*100),0,B26*3.6/1000000/'E Balans VL '!Z12*100)</f>
        <v>4.772730425260726E-2</v>
      </c>
      <c r="D26" s="233" t="s">
        <v>841</v>
      </c>
      <c r="F26" s="6"/>
    </row>
    <row r="27" spans="1:18" ht="30">
      <c r="A27" s="228" t="s">
        <v>52</v>
      </c>
      <c r="B27" s="33">
        <f>IF(ISERROR(TER_horeca_ele_kWh/1000),0,TER_horeca_ele_kWh/1000)</f>
        <v>801.72658000000001</v>
      </c>
      <c r="C27" s="39">
        <f>IF(ISERROR(B27*3.6/1000000/'E Balans VL '!Z9*100),0,B27*3.6/1000000/'E Balans VL '!Z9*100)</f>
        <v>5.8734773090518749E-2</v>
      </c>
      <c r="D27" s="233" t="s">
        <v>841</v>
      </c>
      <c r="F27" s="6"/>
    </row>
    <row r="28" spans="1:18" ht="30">
      <c r="A28" s="168" t="s">
        <v>51</v>
      </c>
      <c r="B28" s="33">
        <f>IF(ISERROR(TER_handel_ele_kWh/1000),0,TER_handel_ele_kWh/1000)</f>
        <v>5142.2666650000001</v>
      </c>
      <c r="C28" s="39">
        <f>IF(ISERROR(B28*3.6/1000000/'E Balans VL '!Z13*100),0,B28*3.6/1000000/'E Balans VL '!Z13*100)</f>
        <v>0.15890037720019226</v>
      </c>
      <c r="D28" s="233" t="s">
        <v>841</v>
      </c>
      <c r="F28" s="6"/>
    </row>
    <row r="29" spans="1:18" ht="30">
      <c r="A29" s="228" t="s">
        <v>50</v>
      </c>
      <c r="B29" s="33">
        <f>IF(ISERROR(TER_gezond_ele_kWh/1000),0,TER_gezond_ele_kWh/1000)</f>
        <v>522.59990700000003</v>
      </c>
      <c r="C29" s="39">
        <f>IF(ISERROR(B29*3.6/1000000/'E Balans VL '!Z10*100),0,B29*3.6/1000000/'E Balans VL '!Z10*100)</f>
        <v>5.12180043293105E-2</v>
      </c>
      <c r="D29" s="233" t="s">
        <v>841</v>
      </c>
      <c r="F29" s="6"/>
    </row>
    <row r="30" spans="1:18" ht="30">
      <c r="A30" s="228" t="s">
        <v>49</v>
      </c>
      <c r="B30" s="33">
        <f>IF(ISERROR(TER_ander_ele_kWh/1000),0,TER_ander_ele_kWh/1000)</f>
        <v>2266.9230660000003</v>
      </c>
      <c r="C30" s="39">
        <f>IF(ISERROR(B30*3.6/1000000/'E Balans VL '!Z14*100),0,B30*3.6/1000000/'E Balans VL '!Z14*100)</f>
        <v>9.3903276724769627E-2</v>
      </c>
      <c r="D30" s="233" t="s">
        <v>841</v>
      </c>
      <c r="F30" s="6"/>
    </row>
    <row r="31" spans="1:18" ht="30">
      <c r="A31" s="228" t="s">
        <v>54</v>
      </c>
      <c r="B31" s="33">
        <f>IF(ISERROR(TER_onderwijs_ele_kWh/1000),0,TER_onderwijs_ele_kWh/1000)</f>
        <v>14.890870000000001</v>
      </c>
      <c r="C31" s="39">
        <f>IF(ISERROR(B31*3.6/1000000/'E Balans VL '!Z11*100),0,B31*3.6/1000000/'E Balans VL '!Z11*100)</f>
        <v>4.5755116295366494E-3</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2</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13167.983555999997</v>
      </c>
      <c r="C5" s="17">
        <f>IF(ISERROR('Eigen informatie GS &amp; warmtenet'!B61),0,'Eigen informatie GS &amp; warmtenet'!B61)</f>
        <v>0</v>
      </c>
      <c r="D5" s="30">
        <f>SUM(D6:D15)</f>
        <v>19059.097095654004</v>
      </c>
      <c r="E5" s="17">
        <f>SUM(E6:E15)</f>
        <v>372.55379443880372</v>
      </c>
      <c r="F5" s="17">
        <f>SUM(F6:F15)</f>
        <v>1227.2362893329064</v>
      </c>
      <c r="G5" s="18"/>
      <c r="H5" s="17"/>
      <c r="I5" s="17"/>
      <c r="J5" s="17">
        <f>SUM(J6:J15)</f>
        <v>9.2312425337838668</v>
      </c>
      <c r="K5" s="17"/>
      <c r="L5" s="17"/>
      <c r="M5" s="17"/>
      <c r="N5" s="17">
        <f>SUM(N6:N15)</f>
        <v>272.30370883359819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10514.019531</v>
      </c>
      <c r="C8" s="33"/>
      <c r="D8" s="37">
        <f>IF( ISERROR(IND_metaal_Gas_kWH/1000),0,IND_metaal_Gas_kWH/1000)*0.903</f>
        <v>16102.814508018002</v>
      </c>
      <c r="E8" s="33">
        <f>C30*'E Balans VL '!I18/100/3.6*1000000</f>
        <v>57.313560203387844</v>
      </c>
      <c r="F8" s="33">
        <f>C30*'E Balans VL '!L18/100/3.6*1000000+C30*'E Balans VL '!N18/100/3.6*1000000</f>
        <v>677.1036608856158</v>
      </c>
      <c r="G8" s="34"/>
      <c r="H8" s="33"/>
      <c r="I8" s="33"/>
      <c r="J8" s="40">
        <f>C30*'E Balans VL '!D18/100/3.6*1000000+C30*'E Balans VL '!E18/100/3.6*1000000</f>
        <v>8.6122644792532022</v>
      </c>
      <c r="K8" s="33"/>
      <c r="L8" s="33"/>
      <c r="M8" s="33"/>
      <c r="N8" s="33">
        <f>C30*'E Balans VL '!Y18/100/3.6*1000000</f>
        <v>227.14844433576894</v>
      </c>
      <c r="O8" s="33"/>
      <c r="P8" s="33"/>
      <c r="R8" s="32"/>
    </row>
    <row r="9" spans="1:18">
      <c r="A9" s="6" t="s">
        <v>32</v>
      </c>
      <c r="B9" s="37">
        <f t="shared" si="0"/>
        <v>802.783097</v>
      </c>
      <c r="C9" s="33"/>
      <c r="D9" s="37">
        <f>IF( ISERROR(IND_andere_gas_kWh/1000),0,IND_andere_gas_kWh/1000)*0.903</f>
        <v>552.81558954299999</v>
      </c>
      <c r="E9" s="33">
        <f>C31*'E Balans VL '!I19/100/3.6*1000000</f>
        <v>2.5915205515234754</v>
      </c>
      <c r="F9" s="33">
        <f>C31*'E Balans VL '!L19/100/3.6*1000000+C31*'E Balans VL '!N19/100/3.6*1000000</f>
        <v>519.08585241681726</v>
      </c>
      <c r="G9" s="34"/>
      <c r="H9" s="33"/>
      <c r="I9" s="33"/>
      <c r="J9" s="40">
        <f>C31*'E Balans VL '!D19/100/3.6*1000000+C31*'E Balans VL '!E19/100/3.6*1000000</f>
        <v>0</v>
      </c>
      <c r="K9" s="33"/>
      <c r="L9" s="33"/>
      <c r="M9" s="33"/>
      <c r="N9" s="33">
        <f>C31*'E Balans VL '!Y19/100/3.6*1000000</f>
        <v>32.439537653969204</v>
      </c>
      <c r="O9" s="33"/>
      <c r="P9" s="33"/>
      <c r="R9" s="32"/>
    </row>
    <row r="10" spans="1:18">
      <c r="A10" s="6" t="s">
        <v>40</v>
      </c>
      <c r="B10" s="37">
        <f t="shared" si="0"/>
        <v>217.963154</v>
      </c>
      <c r="C10" s="33"/>
      <c r="D10" s="37">
        <f>IF( ISERROR(IND_voed_gas_kWh/1000),0,IND_voed_gas_kWh/1000)*0.903</f>
        <v>27.204224082</v>
      </c>
      <c r="E10" s="33">
        <f>C32*'E Balans VL '!I20/100/3.6*1000000</f>
        <v>0.45690418778995695</v>
      </c>
      <c r="F10" s="33">
        <f>C32*'E Balans VL '!L20/100/3.6*1000000+C32*'E Balans VL '!N20/100/3.6*1000000</f>
        <v>4.2466754938048217</v>
      </c>
      <c r="G10" s="34"/>
      <c r="H10" s="33"/>
      <c r="I10" s="33"/>
      <c r="J10" s="40">
        <f>C32*'E Balans VL '!D20/100/3.6*1000000+C32*'E Balans VL '!E20/100/3.6*1000000</f>
        <v>0</v>
      </c>
      <c r="K10" s="33"/>
      <c r="L10" s="33"/>
      <c r="M10" s="33"/>
      <c r="N10" s="33">
        <f>C32*'E Balans VL '!Y20/100/3.6*1000000</f>
        <v>8.6699699836947204</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57.922516000000002</v>
      </c>
      <c r="C13" s="33"/>
      <c r="D13" s="37">
        <f>IF( ISERROR(IND_papier_gas_kWh/1000),0,IND_papier_gas_kWh/1000)*0.903</f>
        <v>0</v>
      </c>
      <c r="E13" s="33">
        <f>C35*'E Balans VL '!I23/100/3.6*1000000</f>
        <v>0</v>
      </c>
      <c r="F13" s="33">
        <f>C35*'E Balans VL '!L23/100/3.6*1000000+C35*'E Balans VL '!N23/100/3.6*1000000</f>
        <v>7.7589036284981495E-3</v>
      </c>
      <c r="G13" s="34"/>
      <c r="H13" s="33"/>
      <c r="I13" s="33"/>
      <c r="J13" s="40">
        <f>C35*'E Balans VL '!D23/100/3.6*1000000+C35*'E Balans VL '!E23/100/3.6*1000000</f>
        <v>1.1457438111568857E-2</v>
      </c>
      <c r="K13" s="33"/>
      <c r="L13" s="33"/>
      <c r="M13" s="33"/>
      <c r="N13" s="33">
        <f>C35*'E Balans VL '!Y23/100/3.6*1000000</f>
        <v>0</v>
      </c>
      <c r="O13" s="33"/>
      <c r="P13" s="33"/>
      <c r="R13" s="32"/>
    </row>
    <row r="14" spans="1:18">
      <c r="A14" s="6" t="s">
        <v>33</v>
      </c>
      <c r="B14" s="37">
        <f t="shared" si="0"/>
        <v>1463.4030719999998</v>
      </c>
      <c r="C14" s="33"/>
      <c r="D14" s="37">
        <f>IF( ISERROR(IND_chemie_gas_kWh/1000),0,IND_chemie_gas_kWh/1000)*0.903</f>
        <v>0</v>
      </c>
      <c r="E14" s="33">
        <f>C36*'E Balans VL '!I24/100/3.6*1000000</f>
        <v>305.60443805145917</v>
      </c>
      <c r="F14" s="33">
        <f>C36*'E Balans VL '!L24/100/3.6*1000000+C36*'E Balans VL '!N24/100/3.6*1000000</f>
        <v>9.7227936643644775</v>
      </c>
      <c r="G14" s="34"/>
      <c r="H14" s="33"/>
      <c r="I14" s="33"/>
      <c r="J14" s="40">
        <f>C36*'E Balans VL '!D24/100/3.6*1000000+C36*'E Balans VL '!E24/100/3.6*1000000</f>
        <v>0</v>
      </c>
      <c r="K14" s="33"/>
      <c r="L14" s="33"/>
      <c r="M14" s="33"/>
      <c r="N14" s="33">
        <f>C36*'E Balans VL '!Y24/100/3.6*1000000</f>
        <v>0.51065932096781064</v>
      </c>
      <c r="O14" s="33"/>
      <c r="P14" s="33"/>
      <c r="R14" s="32"/>
    </row>
    <row r="15" spans="1:18">
      <c r="A15" s="6" t="s">
        <v>265</v>
      </c>
      <c r="B15" s="37">
        <f t="shared" si="0"/>
        <v>111.892186</v>
      </c>
      <c r="C15" s="33"/>
      <c r="D15" s="37">
        <f>IF( ISERROR(IND_rest_gas_kWh/1000),0,IND_rest_gas_kWh/1000)*0.903</f>
        <v>2376.2627740110001</v>
      </c>
      <c r="E15" s="33">
        <f>C37*'E Balans VL '!I15/100/3.6*1000000</f>
        <v>6.5873714446432574</v>
      </c>
      <c r="F15" s="33">
        <f>C37*'E Balans VL '!L15/100/3.6*1000000+C37*'E Balans VL '!N15/100/3.6*1000000</f>
        <v>17.069547968675465</v>
      </c>
      <c r="G15" s="34"/>
      <c r="H15" s="33"/>
      <c r="I15" s="33"/>
      <c r="J15" s="40">
        <f>C37*'E Balans VL '!D15/100/3.6*1000000+C37*'E Balans VL '!E15/100/3.6*1000000</f>
        <v>0.6075206164190966</v>
      </c>
      <c r="K15" s="33"/>
      <c r="L15" s="33"/>
      <c r="M15" s="33"/>
      <c r="N15" s="33">
        <f>C37*'E Balans VL '!Y15/100/3.6*1000000</f>
        <v>3.5350975391975137</v>
      </c>
      <c r="O15" s="33"/>
      <c r="P15" s="33"/>
      <c r="R15" s="32"/>
    </row>
    <row r="16" spans="1:18">
      <c r="A16" s="16" t="s">
        <v>473</v>
      </c>
      <c r="B16" s="243">
        <f>'lokale energieproductie'!N38+'lokale energieproductie'!N31</f>
        <v>3645.0000000000005</v>
      </c>
      <c r="C16" s="243">
        <f>'lokale energieproductie'!O38+'lokale energieproductie'!O31</f>
        <v>5207.1428571428578</v>
      </c>
      <c r="D16" s="304">
        <f>('lokale energieproductie'!P31+'lokale energieproductie'!P38)*(-1)</f>
        <v>-10414.285714285716</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16812.983555999999</v>
      </c>
      <c r="C18" s="21">
        <f>C5+C16</f>
        <v>5207.1428571428578</v>
      </c>
      <c r="D18" s="21">
        <f>MAX((D5+D16),0)</f>
        <v>8644.8113813682885</v>
      </c>
      <c r="E18" s="21">
        <f>MAX((E5+E16),0)</f>
        <v>372.55379443880372</v>
      </c>
      <c r="F18" s="21">
        <f>MAX((F5+F16),0)</f>
        <v>1227.2362893329064</v>
      </c>
      <c r="G18" s="21"/>
      <c r="H18" s="21"/>
      <c r="I18" s="21"/>
      <c r="J18" s="21">
        <f>MAX((J5+J16),0)</f>
        <v>9.2312425337838668</v>
      </c>
      <c r="K18" s="21"/>
      <c r="L18" s="21">
        <f>MAX((L5+L16),0)</f>
        <v>0</v>
      </c>
      <c r="M18" s="21"/>
      <c r="N18" s="21">
        <f>MAX((N5+N16),0)</f>
        <v>272.30370883359819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0.2031809112336582</v>
      </c>
      <c r="C20" s="25">
        <f ca="1">'EF ele_warmte'!B22</f>
        <v>0.23761629374341836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3416.0773194645908</v>
      </c>
      <c r="C22" s="23">
        <f ca="1">C18*C20</f>
        <v>1237.3019867068001</v>
      </c>
      <c r="D22" s="23">
        <f>D18*D20</f>
        <v>1746.2518990363944</v>
      </c>
      <c r="E22" s="23">
        <f>E18*E20</f>
        <v>84.569711337608453</v>
      </c>
      <c r="F22" s="23">
        <f>F18*F20</f>
        <v>327.67208925188601</v>
      </c>
      <c r="G22" s="23"/>
      <c r="H22" s="23"/>
      <c r="I22" s="23"/>
      <c r="J22" s="23">
        <f>J18*J20</f>
        <v>3.2678598569594888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10514.019531</v>
      </c>
      <c r="C30" s="39">
        <f>IF(ISERROR(B30*3.6/1000000/'E Balans VL '!Z18*100),0,B30*3.6/1000000/'E Balans VL '!Z18*100)</f>
        <v>0.63312542628776036</v>
      </c>
      <c r="D30" s="233" t="s">
        <v>841</v>
      </c>
    </row>
    <row r="31" spans="1:18" ht="30">
      <c r="A31" s="6" t="s">
        <v>32</v>
      </c>
      <c r="B31" s="37">
        <f>IF( ISERROR(IND_ander_ele_kWh/1000),0,IND_ander_ele_kWh/1000)</f>
        <v>802.783097</v>
      </c>
      <c r="C31" s="39">
        <f>IF(ISERROR(B31*3.6/1000000/'E Balans VL '!Z19*100),0,B31*3.6/1000000/'E Balans VL '!Z19*100)</f>
        <v>3.2707045324050374E-2</v>
      </c>
      <c r="D31" s="233" t="s">
        <v>841</v>
      </c>
    </row>
    <row r="32" spans="1:18" ht="30">
      <c r="A32" s="168" t="s">
        <v>40</v>
      </c>
      <c r="B32" s="37">
        <f>IF( ISERROR(IND_voed_ele_kWh/1000),0,IND_voed_ele_kWh/1000)</f>
        <v>217.963154</v>
      </c>
      <c r="C32" s="39">
        <f>IF(ISERROR(B32*3.6/1000000/'E Balans VL '!Z20*100),0,B32*3.6/1000000/'E Balans VL '!Z20*100)</f>
        <v>6.3021919314147218E-3</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57.922516000000002</v>
      </c>
      <c r="C35" s="39">
        <f>IF(ISERROR(B35*3.6/1000000/'E Balans VL '!Z22*100),0,B35*3.6/1000000/'E Balans VL '!Z22*100)</f>
        <v>2.4732376101579457E-2</v>
      </c>
      <c r="D35" s="233" t="s">
        <v>841</v>
      </c>
    </row>
    <row r="36" spans="1:5" ht="30">
      <c r="A36" s="168" t="s">
        <v>33</v>
      </c>
      <c r="B36" s="37">
        <f>IF( ISERROR(IND_chemie_ele_kWh/1000),0,IND_chemie_ele_kWh/1000)</f>
        <v>1463.4030719999998</v>
      </c>
      <c r="C36" s="39">
        <f>IF(ISERROR(B36*3.6/1000000/'E Balans VL '!Z24*100),0,B36*3.6/1000000/'E Balans VL '!Z24*100)</f>
        <v>4.440515834502725E-2</v>
      </c>
      <c r="D36" s="233" t="s">
        <v>841</v>
      </c>
    </row>
    <row r="37" spans="1:5" ht="30">
      <c r="A37" s="168" t="s">
        <v>265</v>
      </c>
      <c r="B37" s="37">
        <f>IF( ISERROR(IND_rest_ele_kWh/1000),0,IND_rest_ele_kWh/1000)</f>
        <v>111.892186</v>
      </c>
      <c r="C37" s="39">
        <f>IF(ISERROR(B37*3.6/1000000/'E Balans VL '!Z15*100),0,B37*3.6/1000000/'E Balans VL '!Z15*100)</f>
        <v>9.1871959661532694E-4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1803.0728459999998</v>
      </c>
      <c r="C5" s="17">
        <f>'Eigen informatie GS &amp; warmtenet'!B62</f>
        <v>0</v>
      </c>
      <c r="D5" s="30">
        <f>IF(ISERROR(SUM(LB_lb_gas_kWh,LB_rest_gas_kWh)/1000),0,SUM(LB_lb_gas_kWh,LB_rest_gas_kWh)/1000)*0.903</f>
        <v>280.653363501</v>
      </c>
      <c r="E5" s="17">
        <f>B17*'E Balans VL '!I25/3.6*1000000/100</f>
        <v>51.643057667336379</v>
      </c>
      <c r="F5" s="17">
        <f>B17*('E Balans VL '!L25/3.6*1000000+'E Balans VL '!N25/3.6*1000000)/100</f>
        <v>5707.5972300500516</v>
      </c>
      <c r="G5" s="18"/>
      <c r="H5" s="17"/>
      <c r="I5" s="17"/>
      <c r="J5" s="17">
        <f>('E Balans VL '!D25+'E Balans VL '!E25)/3.6*1000000*landbouw!B17/100</f>
        <v>458.46480393749101</v>
      </c>
      <c r="K5" s="17"/>
      <c r="L5" s="17">
        <f>L6*(-1)</f>
        <v>0</v>
      </c>
      <c r="M5" s="17"/>
      <c r="N5" s="17">
        <f>N6*(-1)</f>
        <v>0</v>
      </c>
      <c r="O5" s="17"/>
      <c r="P5" s="17"/>
      <c r="R5" s="32"/>
    </row>
    <row r="6" spans="1:18">
      <c r="A6" s="16" t="s">
        <v>473</v>
      </c>
      <c r="B6" s="17" t="s">
        <v>210</v>
      </c>
      <c r="C6" s="17">
        <f>'lokale energieproductie'!O40+'lokale energieproductie'!O33</f>
        <v>0</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1803.0728459999998</v>
      </c>
      <c r="C8" s="21">
        <f>C5+C6</f>
        <v>0</v>
      </c>
      <c r="D8" s="21">
        <f>MAX((D5+D6),0)</f>
        <v>280.653363501</v>
      </c>
      <c r="E8" s="21">
        <f>MAX((E5+E6),0)</f>
        <v>51.643057667336379</v>
      </c>
      <c r="F8" s="21">
        <f>MAX((F5+F6),0)</f>
        <v>5707.5972300500516</v>
      </c>
      <c r="G8" s="21"/>
      <c r="H8" s="21"/>
      <c r="I8" s="21"/>
      <c r="J8" s="21">
        <f>MAX((J5+J6),0)</f>
        <v>458.46480393749101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0.2031809112336582</v>
      </c>
      <c r="C10" s="31">
        <f ca="1">'EF ele_warmte'!B22</f>
        <v>0.23761629374341836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366.34998387094544</v>
      </c>
      <c r="C12" s="23">
        <f ca="1">C8*C10</f>
        <v>0</v>
      </c>
      <c r="D12" s="23">
        <f>D8*D10</f>
        <v>56.691979427202007</v>
      </c>
      <c r="E12" s="23">
        <f>E8*E10</f>
        <v>11.722974090485359</v>
      </c>
      <c r="F12" s="23">
        <f>F8*F10</f>
        <v>1523.928460423364</v>
      </c>
      <c r="G12" s="23"/>
      <c r="H12" s="23"/>
      <c r="I12" s="23"/>
      <c r="J12" s="23">
        <f>J8*J10</f>
        <v>162.29654059387181</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0.24968468556239382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75.221636722124614</v>
      </c>
      <c r="C26" s="243">
        <f>B26*'GWP N2O_CH4'!B5</f>
        <v>1579.6543711646168</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23.60915895288187</v>
      </c>
      <c r="C27" s="243">
        <f>B27*'GWP N2O_CH4'!B5</f>
        <v>495.7923380105193</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1.1547845461222828</v>
      </c>
      <c r="C28" s="243">
        <f>B28*'GWP N2O_CH4'!B4</f>
        <v>357.98320929790765</v>
      </c>
      <c r="D28" s="50"/>
    </row>
    <row r="29" spans="1:4">
      <c r="A29" s="41" t="s">
        <v>272</v>
      </c>
      <c r="B29" s="243">
        <f>B34*'ha_N2O bodem landbouw'!B4</f>
        <v>26.346308421109772</v>
      </c>
      <c r="C29" s="243">
        <f>B29*'GWP N2O_CH4'!B4</f>
        <v>8167.3556105440293</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5.9854097460781634E-3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8.2205431875937752E-4</v>
      </c>
      <c r="C5" s="434" t="s">
        <v>210</v>
      </c>
      <c r="D5" s="419">
        <f>SUM(D6:D11)</f>
        <v>1.4098721920370828E-3</v>
      </c>
      <c r="E5" s="419">
        <f>SUM(E6:E11)</f>
        <v>5.9382315012616307E-4</v>
      </c>
      <c r="F5" s="432" t="s">
        <v>210</v>
      </c>
      <c r="G5" s="419">
        <f>SUM(G6:G11)</f>
        <v>0.24389578566096312</v>
      </c>
      <c r="H5" s="419">
        <f>SUM(H6:H11)</f>
        <v>7.0130741360969667E-2</v>
      </c>
      <c r="I5" s="434" t="s">
        <v>210</v>
      </c>
      <c r="J5" s="434" t="s">
        <v>210</v>
      </c>
      <c r="K5" s="434" t="s">
        <v>210</v>
      </c>
      <c r="L5" s="434" t="s">
        <v>210</v>
      </c>
      <c r="M5" s="419">
        <f>SUM(M6:M11)</f>
        <v>1.8975743374851601E-2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2.6154976428627281E-4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4.3607833034821586E-4</v>
      </c>
      <c r="E6" s="886">
        <f>vkm_GW_PW*SUMIFS(TableVerdeelsleutelVkm[LPG],TableVerdeelsleutelVkm[Voertuigtype],"Lichte voertuigen")*SUMIFS(TableECFTransport[EnergieConsumptieFactor (PJ per km)],TableECFTransport[Index],CONCATENATE($A6,"_LPG_LPG"))</f>
        <v>1.7288732172657758E-4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5.1956983184470243E-2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2.138604456469111E-2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4.499378457311117E-3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5.0347107817529901E-7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1.9957910882092814E-2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1.4726049420982155E-7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1.1459494911446127E-3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2.1022877705302066E-4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4.8004757798270016E-4</v>
      </c>
      <c r="E8" s="422">
        <f>vkm_NGW_PW*SUMIFS(TableVerdeelsleutelVkm[LPG],TableVerdeelsleutelVkm[Voertuigtype],"Lichte voertuigen")*SUMIFS(TableECFTransport[EnergieConsumptieFactor (PJ per km)],TableECFTransport[Index],CONCATENATE($A8,"_LPG_LPG"))</f>
        <v>1.8222853204442793E-4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5.016388515659824E-2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2.3322553141792397E-2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4.5337078832480403E-3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1.0936605870343908E-7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5.5828985094107412E-3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3.8610971904593787E-8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3.2056040782557632E-4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3.4829176931253493E-4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4.9374628370616683E-4</v>
      </c>
      <c r="E10" s="422">
        <f>vkm_SW_PW*SUMIFS(TableVerdeelsleutelVkm[LPG],TableVerdeelsleutelVkm[Voertuigtype],"Lichte voertuigen")*SUMIFS(TableECFTransport[EnergieConsumptieFactor (PJ per km)],TableECFTransport[Index],CONCATENATE($A10,"_LPG_LPG"))</f>
        <v>2.3870729635515749E-4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6.5082825217270032E-2</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2.5421544988640452E-2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5.5391244786163491E-3</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1.3711709706704594E-6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5.1151282711121043E-2</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4.1279437959805093E-7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2.9370226567059067E-3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228.34842187760489</v>
      </c>
      <c r="C14" s="21"/>
      <c r="D14" s="21">
        <f t="shared" ref="D14:M14" si="0">((D5)*10^9/3600)+D12</f>
        <v>391.6311644547452</v>
      </c>
      <c r="E14" s="21">
        <f t="shared" si="0"/>
        <v>164.9508750350453</v>
      </c>
      <c r="F14" s="21"/>
      <c r="G14" s="21">
        <f t="shared" si="0"/>
        <v>67748.829350267537</v>
      </c>
      <c r="H14" s="21">
        <f t="shared" si="0"/>
        <v>19480.761489158238</v>
      </c>
      <c r="I14" s="21"/>
      <c r="J14" s="21"/>
      <c r="K14" s="21"/>
      <c r="L14" s="21"/>
      <c r="M14" s="21">
        <f t="shared" si="0"/>
        <v>5271.0398263476663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0.2031809112336582</v>
      </c>
      <c r="C16" s="56">
        <f ca="1">'EF ele_warmte'!B22</f>
        <v>0.23761629374341836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46.396040435859575</v>
      </c>
      <c r="C18" s="23"/>
      <c r="D18" s="23">
        <f t="shared" ref="D18:M18" si="1">D14*D16</f>
        <v>79.10949521985853</v>
      </c>
      <c r="E18" s="23">
        <f t="shared" si="1"/>
        <v>37.443848632955287</v>
      </c>
      <c r="F18" s="23"/>
      <c r="G18" s="23">
        <f t="shared" si="1"/>
        <v>18088.937436521432</v>
      </c>
      <c r="H18" s="23">
        <f t="shared" si="1"/>
        <v>4850.7096108004016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5.5490923751386533E-5</v>
      </c>
      <c r="C50" s="315">
        <f t="shared" ref="C50:P50" si="2">SUM(C51:C52)</f>
        <v>0</v>
      </c>
      <c r="D50" s="315">
        <f t="shared" si="2"/>
        <v>0</v>
      </c>
      <c r="E50" s="315">
        <f t="shared" si="2"/>
        <v>0</v>
      </c>
      <c r="F50" s="315">
        <f t="shared" si="2"/>
        <v>0</v>
      </c>
      <c r="G50" s="315">
        <f t="shared" si="2"/>
        <v>3.4738995876486484E-3</v>
      </c>
      <c r="H50" s="315">
        <f t="shared" si="2"/>
        <v>0</v>
      </c>
      <c r="I50" s="315">
        <f t="shared" si="2"/>
        <v>0</v>
      </c>
      <c r="J50" s="315">
        <f t="shared" si="2"/>
        <v>0</v>
      </c>
      <c r="K50" s="315">
        <f t="shared" si="2"/>
        <v>0</v>
      </c>
      <c r="L50" s="315">
        <f t="shared" si="2"/>
        <v>0</v>
      </c>
      <c r="M50" s="315">
        <f t="shared" si="2"/>
        <v>1.9946362230022376E-4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5.5490923751386533E-5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3.4738995876486484E-3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1.9946362230022376E-4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15.414145486496258</v>
      </c>
      <c r="C54" s="21">
        <f t="shared" ref="C54:P54" si="3">(C50)*10^9/3600</f>
        <v>0</v>
      </c>
      <c r="D54" s="21">
        <f t="shared" si="3"/>
        <v>0</v>
      </c>
      <c r="E54" s="21">
        <f t="shared" si="3"/>
        <v>0</v>
      </c>
      <c r="F54" s="21">
        <f t="shared" si="3"/>
        <v>0</v>
      </c>
      <c r="G54" s="21">
        <f t="shared" si="3"/>
        <v>964.9721076801801</v>
      </c>
      <c r="H54" s="21">
        <f t="shared" si="3"/>
        <v>0</v>
      </c>
      <c r="I54" s="21">
        <f t="shared" si="3"/>
        <v>0</v>
      </c>
      <c r="J54" s="21">
        <f t="shared" si="3"/>
        <v>0</v>
      </c>
      <c r="K54" s="21">
        <f t="shared" si="3"/>
        <v>0</v>
      </c>
      <c r="L54" s="21">
        <f t="shared" si="3"/>
        <v>0</v>
      </c>
      <c r="M54" s="21">
        <f t="shared" si="3"/>
        <v>55.40656175006216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0.2031809112336582</v>
      </c>
      <c r="C56" s="56">
        <f ca="1">'EF ele_warmte'!B22</f>
        <v>0.23761629374341836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3.1318601258344891</v>
      </c>
      <c r="C58" s="23">
        <f t="shared" ref="C58:P58" ca="1" si="4">C54*C56</f>
        <v>0</v>
      </c>
      <c r="D58" s="23">
        <f t="shared" si="4"/>
        <v>0</v>
      </c>
      <c r="E58" s="23">
        <f t="shared" si="4"/>
        <v>0</v>
      </c>
      <c r="F58" s="23">
        <f t="shared" si="4"/>
        <v>0</v>
      </c>
      <c r="G58" s="23">
        <f t="shared" si="4"/>
        <v>257.6475527506081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zoomScale="65" zoomScaleNormal="65" workbookViewId="0">
      <selection activeCell="M29" sqref="M2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5006.6190602211918</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N30</f>
        <v>3653.5000000000005</v>
      </c>
      <c r="C8" s="545">
        <f>B49</f>
        <v>4297.6788573840549</v>
      </c>
      <c r="D8" s="546"/>
      <c r="E8" s="546">
        <f>E49</f>
        <v>0</v>
      </c>
      <c r="F8" s="547"/>
      <c r="G8" s="548"/>
      <c r="H8" s="546">
        <f>I49</f>
        <v>0</v>
      </c>
      <c r="I8" s="546">
        <f>G49+F49</f>
        <v>0</v>
      </c>
      <c r="J8" s="546">
        <f>H49+D49+C49</f>
        <v>0</v>
      </c>
      <c r="K8" s="546"/>
      <c r="L8" s="546"/>
      <c r="M8" s="546"/>
      <c r="N8" s="549"/>
      <c r="O8" s="550">
        <f>C8*$C$12+D8*$D$12+E8*$E$12+F8*$F$12+G8*$G$12+H8*$H$12+I8*$I$12+J8*$J$12</f>
        <v>868.13112919157913</v>
      </c>
      <c r="P8" s="1285"/>
      <c r="Q8" s="1286"/>
      <c r="S8" s="540"/>
      <c r="T8" s="1282"/>
      <c r="U8" s="1282"/>
    </row>
    <row r="9" spans="1:21" s="531" customFormat="1" ht="17.45" customHeight="1" thickBot="1">
      <c r="A9" s="551" t="s">
        <v>243</v>
      </c>
      <c r="B9" s="552">
        <f>N37+'Eigen informatie GS &amp; warmtenet'!B12</f>
        <v>0</v>
      </c>
      <c r="C9" s="553">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8660.1190602211918</v>
      </c>
      <c r="C10" s="560">
        <f t="shared" ref="C10:L10" si="0">SUM(C8:C9)</f>
        <v>4297.6788573840549</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868.13112919157913</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O30</f>
        <v>5219.3185328185336</v>
      </c>
      <c r="C17" s="576">
        <f>B50</f>
        <v>6139.579829874634</v>
      </c>
      <c r="D17" s="577"/>
      <c r="E17" s="577">
        <f>E50</f>
        <v>0</v>
      </c>
      <c r="F17" s="578"/>
      <c r="G17" s="579"/>
      <c r="H17" s="576">
        <f>I50</f>
        <v>0</v>
      </c>
      <c r="I17" s="577">
        <f>G50+F50</f>
        <v>0</v>
      </c>
      <c r="J17" s="577">
        <f>H50+D50+C50</f>
        <v>0</v>
      </c>
      <c r="K17" s="577"/>
      <c r="L17" s="577"/>
      <c r="M17" s="577"/>
      <c r="N17" s="962"/>
      <c r="O17" s="580">
        <f>C17*$C$22+E17*$E$22+H17*$H$22+I17*$I$22+J17*$J$22+D17*$D$22+F17*$F$22+G17*$G$22+K17*$K$22+L17*$L$22</f>
        <v>1240.1951256346761</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5219.3185328185336</v>
      </c>
      <c r="C20" s="559">
        <f>SUM(C17:C19)</f>
        <v>6139.579829874634</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1240.1951256346761</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24059</v>
      </c>
      <c r="C28" s="787">
        <v>3400</v>
      </c>
      <c r="D28" s="637" t="s">
        <v>874</v>
      </c>
      <c r="E28" s="636" t="s">
        <v>875</v>
      </c>
      <c r="F28" s="636" t="s">
        <v>876</v>
      </c>
      <c r="G28" s="636" t="s">
        <v>877</v>
      </c>
      <c r="H28" s="636" t="s">
        <v>878</v>
      </c>
      <c r="I28" s="636" t="s">
        <v>875</v>
      </c>
      <c r="J28" s="786">
        <v>41906</v>
      </c>
      <c r="K28" s="786">
        <v>41906</v>
      </c>
      <c r="L28" s="636" t="s">
        <v>879</v>
      </c>
      <c r="M28" s="636">
        <v>810</v>
      </c>
      <c r="N28" s="636">
        <v>3645.0000000000005</v>
      </c>
      <c r="O28" s="636">
        <v>5207.1428571428578</v>
      </c>
      <c r="P28" s="636">
        <v>10414.285714285716</v>
      </c>
      <c r="Q28" s="636">
        <v>0</v>
      </c>
      <c r="R28" s="636">
        <v>0</v>
      </c>
      <c r="S28" s="636">
        <v>0</v>
      </c>
      <c r="T28" s="636">
        <v>0</v>
      </c>
      <c r="U28" s="636">
        <v>0</v>
      </c>
      <c r="V28" s="636">
        <v>0</v>
      </c>
      <c r="W28" s="636">
        <v>0</v>
      </c>
      <c r="X28" s="636">
        <v>800</v>
      </c>
      <c r="Y28" s="636" t="s">
        <v>35</v>
      </c>
      <c r="Z28" s="638" t="s">
        <v>379</v>
      </c>
    </row>
    <row r="29" spans="1:26" s="590" customFormat="1" ht="63.75">
      <c r="A29" s="589"/>
      <c r="B29" s="787">
        <v>24059</v>
      </c>
      <c r="C29" s="787">
        <v>3400</v>
      </c>
      <c r="D29" s="637"/>
      <c r="E29" s="636"/>
      <c r="F29" s="636" t="s">
        <v>880</v>
      </c>
      <c r="G29" s="636" t="s">
        <v>881</v>
      </c>
      <c r="H29" s="636" t="s">
        <v>881</v>
      </c>
      <c r="I29" s="636" t="s">
        <v>882</v>
      </c>
      <c r="J29" s="786">
        <v>42311</v>
      </c>
      <c r="K29" s="786">
        <v>42311</v>
      </c>
      <c r="L29" s="636" t="s">
        <v>879</v>
      </c>
      <c r="M29" s="636">
        <v>1.7</v>
      </c>
      <c r="N29" s="636">
        <v>8.5</v>
      </c>
      <c r="O29" s="636">
        <v>12.175675675675675</v>
      </c>
      <c r="P29" s="636">
        <v>22.972972972972972</v>
      </c>
      <c r="Q29" s="636">
        <v>0</v>
      </c>
      <c r="R29" s="636">
        <v>0</v>
      </c>
      <c r="S29" s="636">
        <v>0</v>
      </c>
      <c r="T29" s="636">
        <v>0</v>
      </c>
      <c r="U29" s="636">
        <v>0</v>
      </c>
      <c r="V29" s="636">
        <v>0</v>
      </c>
      <c r="W29" s="636">
        <v>0</v>
      </c>
      <c r="X29" s="636">
        <v>1600</v>
      </c>
      <c r="Y29" s="636" t="s">
        <v>49</v>
      </c>
      <c r="Z29" s="638" t="s">
        <v>155</v>
      </c>
    </row>
    <row r="30" spans="1:26" s="570" customFormat="1">
      <c r="A30" s="592" t="s">
        <v>275</v>
      </c>
      <c r="B30" s="593"/>
      <c r="C30" s="593"/>
      <c r="D30" s="593"/>
      <c r="E30" s="593"/>
      <c r="F30" s="593"/>
      <c r="G30" s="593"/>
      <c r="H30" s="593"/>
      <c r="I30" s="593"/>
      <c r="J30" s="593"/>
      <c r="K30" s="593"/>
      <c r="L30" s="594"/>
      <c r="M30" s="594">
        <f>SUM(M28:M29)</f>
        <v>811.7</v>
      </c>
      <c r="N30" s="594">
        <f>SUM(N28:N29)</f>
        <v>3653.5000000000005</v>
      </c>
      <c r="O30" s="594">
        <f>SUM(O28:O29)</f>
        <v>5219.3185328185336</v>
      </c>
      <c r="P30" s="594">
        <f>SUM(P28:P29)</f>
        <v>10437.258687258689</v>
      </c>
      <c r="Q30" s="594">
        <f>SUM(Q28:Q29)</f>
        <v>0</v>
      </c>
      <c r="R30" s="594">
        <f>SUM(R28:R29)</f>
        <v>0</v>
      </c>
      <c r="S30" s="594">
        <f>SUM(S28:S29)</f>
        <v>0</v>
      </c>
      <c r="T30" s="594">
        <f>SUM(T28:T29)</f>
        <v>0</v>
      </c>
      <c r="U30" s="594">
        <f>SUM(U28:U29)</f>
        <v>0</v>
      </c>
      <c r="V30" s="594">
        <f>SUM(V28:V29)</f>
        <v>0</v>
      </c>
      <c r="W30" s="594">
        <f>SUM(W28:W29)</f>
        <v>0</v>
      </c>
      <c r="X30" s="595"/>
      <c r="Y30" s="595"/>
      <c r="Z30" s="596"/>
    </row>
    <row r="31" spans="1:26" s="570" customFormat="1">
      <c r="A31" s="592" t="s">
        <v>282</v>
      </c>
      <c r="B31" s="593"/>
      <c r="C31" s="593"/>
      <c r="D31" s="593"/>
      <c r="E31" s="593"/>
      <c r="F31" s="593"/>
      <c r="G31" s="593"/>
      <c r="H31" s="593"/>
      <c r="I31" s="593"/>
      <c r="J31" s="593"/>
      <c r="K31" s="593"/>
      <c r="L31" s="594"/>
      <c r="M31" s="594">
        <f>SUMIF($Z$28:$Z$29,"industrie",M28:M29)</f>
        <v>810</v>
      </c>
      <c r="N31" s="594">
        <f>SUMIF($Z$28:$Z$29,"industrie",N28:N29)</f>
        <v>3645.0000000000005</v>
      </c>
      <c r="O31" s="594">
        <f>SUMIF($Z$28:$Z$29,"industrie",O28:O29)</f>
        <v>5207.1428571428578</v>
      </c>
      <c r="P31" s="594">
        <f>SUMIF($Z$28:$Z$29,"industrie",P28:P29)</f>
        <v>10414.285714285716</v>
      </c>
      <c r="Q31" s="594">
        <f>SUMIF($Z$28:$Z$29,"industrie",Q28:Q29)</f>
        <v>0</v>
      </c>
      <c r="R31" s="594">
        <f>SUMIF($Z$28:$Z$29,"industrie",R28:R29)</f>
        <v>0</v>
      </c>
      <c r="S31" s="594">
        <f>SUMIF($Z$28:$Z$29,"industrie",S28:S29)</f>
        <v>0</v>
      </c>
      <c r="T31" s="594">
        <f>SUMIF($Z$28:$Z$29,"industrie",T28:T29)</f>
        <v>0</v>
      </c>
      <c r="U31" s="594">
        <f>SUMIF($Z$28:$Z$29,"industrie",U28:U29)</f>
        <v>0</v>
      </c>
      <c r="V31" s="594">
        <f>SUMIF($Z$28:$Z$29,"industrie",V28:V29)</f>
        <v>0</v>
      </c>
      <c r="W31" s="594">
        <f>SUMIF($Z$28:$Z$29,"industrie",W28:W29)</f>
        <v>0</v>
      </c>
      <c r="X31" s="595"/>
      <c r="Y31" s="595"/>
      <c r="Z31" s="596"/>
    </row>
    <row r="32" spans="1:26" s="570" customFormat="1">
      <c r="A32" s="592" t="s">
        <v>283</v>
      </c>
      <c r="B32" s="593"/>
      <c r="C32" s="593"/>
      <c r="D32" s="593"/>
      <c r="E32" s="593"/>
      <c r="F32" s="593"/>
      <c r="G32" s="593"/>
      <c r="H32" s="593"/>
      <c r="I32" s="593"/>
      <c r="J32" s="593"/>
      <c r="K32" s="593"/>
      <c r="L32" s="594"/>
      <c r="M32" s="594">
        <f ca="1">SUMIF($Z$28:AC29,"tertiair",M28:M29)</f>
        <v>1.7</v>
      </c>
      <c r="N32" s="594">
        <f ca="1">SUMIF($Z$28:AD29,"tertiair",N28:N29)</f>
        <v>8.5</v>
      </c>
      <c r="O32" s="594">
        <f ca="1">SUMIF($Z$28:AE29,"tertiair",O28:O29)</f>
        <v>12.175675675675675</v>
      </c>
      <c r="P32" s="594">
        <f ca="1">SUMIF($Z$28:AF29,"tertiair",P28:P29)</f>
        <v>22.972972972972972</v>
      </c>
      <c r="Q32" s="594">
        <f ca="1">SUMIF($Z$28:AG29,"tertiair",Q28:Q29)</f>
        <v>0</v>
      </c>
      <c r="R32" s="594">
        <f ca="1">SUMIF($Z$28:AH29,"tertiair",R28:R29)</f>
        <v>0</v>
      </c>
      <c r="S32" s="594">
        <f ca="1">SUMIF($Z$28:AI29,"tertiair",S28:S29)</f>
        <v>0</v>
      </c>
      <c r="T32" s="594">
        <f ca="1">SUMIF($Z$28:AJ29,"tertiair",T28:T29)</f>
        <v>0</v>
      </c>
      <c r="U32" s="594">
        <f ca="1">SUMIF($Z$28:AK29,"tertiair",U28:U29)</f>
        <v>0</v>
      </c>
      <c r="V32" s="594">
        <f ca="1">SUMIF($Z$28:AL29,"tertiair",V28:V29)</f>
        <v>0</v>
      </c>
      <c r="W32" s="594">
        <f ca="1">SUMIF($Z$28:AM29,"tertiair",W28:W29)</f>
        <v>0</v>
      </c>
      <c r="X32" s="595"/>
      <c r="Y32" s="595"/>
      <c r="Z32" s="596"/>
    </row>
    <row r="33" spans="1:27" s="570" customFormat="1" ht="15.75" thickBot="1">
      <c r="A33" s="597" t="s">
        <v>284</v>
      </c>
      <c r="B33" s="598"/>
      <c r="C33" s="598"/>
      <c r="D33" s="598"/>
      <c r="E33" s="598"/>
      <c r="F33" s="598"/>
      <c r="G33" s="598"/>
      <c r="H33" s="598"/>
      <c r="I33" s="598"/>
      <c r="J33" s="598"/>
      <c r="K33" s="598"/>
      <c r="L33" s="599"/>
      <c r="M33" s="599">
        <f>SUMIF($Z$28:$Z$29,"landbouw",M28:M29)</f>
        <v>0</v>
      </c>
      <c r="N33" s="599">
        <f>SUMIF($Z$28:$Z$29,"landbouw",N28:N29)</f>
        <v>0</v>
      </c>
      <c r="O33" s="599">
        <f>SUMIF($Z$28:$Z$29,"landbouw",O28:O29)</f>
        <v>0</v>
      </c>
      <c r="P33" s="599">
        <f>SUMIF($Z$28:$Z$29,"landbouw",P28:P29)</f>
        <v>0</v>
      </c>
      <c r="Q33" s="599">
        <f>SUMIF($Z$28:$Z$29,"landbouw",Q28:Q29)</f>
        <v>0</v>
      </c>
      <c r="R33" s="599">
        <f>SUMIF($Z$28:$Z$29,"landbouw",R28:R29)</f>
        <v>0</v>
      </c>
      <c r="S33" s="599">
        <f>SUMIF($Z$28:$Z$29,"landbouw",S28:S29)</f>
        <v>0</v>
      </c>
      <c r="T33" s="599">
        <f>SUMIF($Z$28:$Z$29,"landbouw",T28:T29)</f>
        <v>0</v>
      </c>
      <c r="U33" s="599">
        <f>SUMIF($Z$28:$Z$29,"landbouw",U28:U29)</f>
        <v>0</v>
      </c>
      <c r="V33" s="599">
        <f>SUMIF($Z$28:$Z$29,"landbouw",V28:V29)</f>
        <v>0</v>
      </c>
      <c r="W33" s="599">
        <f>SUMIF($Z$28:$Z$29,"landbouw",W28:W29)</f>
        <v>0</v>
      </c>
      <c r="X33" s="600"/>
      <c r="Y33" s="600"/>
      <c r="Z33" s="601"/>
    </row>
    <row r="34" spans="1:27" s="531" customFormat="1" ht="15.75" thickBot="1">
      <c r="A34" s="602"/>
      <c r="B34" s="603"/>
      <c r="C34" s="603"/>
      <c r="D34" s="603"/>
      <c r="E34" s="603"/>
      <c r="F34" s="603"/>
      <c r="G34" s="603"/>
      <c r="H34" s="603"/>
      <c r="I34" s="603"/>
      <c r="J34" s="603"/>
      <c r="K34" s="603"/>
      <c r="L34" s="586"/>
      <c r="M34" s="586"/>
      <c r="N34" s="586"/>
      <c r="O34" s="587"/>
      <c r="P34" s="587"/>
    </row>
    <row r="35" spans="1:27" s="531" customFormat="1" ht="45">
      <c r="A35" s="604" t="s">
        <v>276</v>
      </c>
      <c r="B35" s="633" t="s">
        <v>89</v>
      </c>
      <c r="C35" s="633" t="s">
        <v>90</v>
      </c>
      <c r="D35" s="633" t="s">
        <v>91</v>
      </c>
      <c r="E35" s="633" t="s">
        <v>92</v>
      </c>
      <c r="F35" s="633" t="s">
        <v>93</v>
      </c>
      <c r="G35" s="633" t="s">
        <v>94</v>
      </c>
      <c r="H35" s="633" t="s">
        <v>95</v>
      </c>
      <c r="I35" s="633" t="s">
        <v>96</v>
      </c>
      <c r="J35" s="633" t="s">
        <v>97</v>
      </c>
      <c r="K35" s="633" t="s">
        <v>98</v>
      </c>
      <c r="L35" s="633" t="s">
        <v>99</v>
      </c>
      <c r="M35" s="634" t="s">
        <v>293</v>
      </c>
      <c r="N35" s="634" t="s">
        <v>100</v>
      </c>
      <c r="O35" s="634" t="s">
        <v>101</v>
      </c>
      <c r="P35" s="634" t="s">
        <v>517</v>
      </c>
      <c r="Q35" s="634" t="s">
        <v>102</v>
      </c>
      <c r="R35" s="634" t="s">
        <v>103</v>
      </c>
      <c r="S35" s="634" t="s">
        <v>104</v>
      </c>
      <c r="T35" s="634" t="s">
        <v>105</v>
      </c>
      <c r="U35" s="634" t="s">
        <v>106</v>
      </c>
      <c r="V35" s="634" t="s">
        <v>107</v>
      </c>
      <c r="W35" s="633" t="s">
        <v>108</v>
      </c>
      <c r="X35" s="633" t="s">
        <v>294</v>
      </c>
      <c r="Y35" s="633" t="s">
        <v>109</v>
      </c>
      <c r="Z35" s="635" t="s">
        <v>295</v>
      </c>
    </row>
    <row r="36" spans="1:27" s="605" customFormat="1" ht="12.75">
      <c r="A36" s="591"/>
      <c r="B36" s="787"/>
      <c r="C36" s="787"/>
      <c r="D36" s="639"/>
      <c r="E36" s="639"/>
      <c r="F36" s="639"/>
      <c r="G36" s="639"/>
      <c r="H36" s="639"/>
      <c r="I36" s="639"/>
      <c r="J36" s="786"/>
      <c r="K36" s="786"/>
      <c r="L36" s="639"/>
      <c r="M36" s="639"/>
      <c r="N36" s="639"/>
      <c r="O36" s="639"/>
      <c r="P36" s="639"/>
      <c r="Q36" s="639"/>
      <c r="R36" s="639"/>
      <c r="S36" s="639"/>
      <c r="T36" s="639"/>
      <c r="U36" s="639"/>
      <c r="V36" s="639"/>
      <c r="W36" s="639"/>
      <c r="X36" s="639"/>
      <c r="Y36" s="639"/>
      <c r="Z36" s="640"/>
    </row>
    <row r="37" spans="1:27" s="570" customFormat="1">
      <c r="A37" s="592" t="s">
        <v>275</v>
      </c>
      <c r="B37" s="593"/>
      <c r="C37" s="593"/>
      <c r="D37" s="593"/>
      <c r="E37" s="593"/>
      <c r="F37" s="593"/>
      <c r="G37" s="593"/>
      <c r="H37" s="593"/>
      <c r="I37" s="593"/>
      <c r="J37" s="593"/>
      <c r="K37" s="593"/>
      <c r="L37" s="594"/>
      <c r="M37" s="594">
        <f>SUM(M36:M36)</f>
        <v>0</v>
      </c>
      <c r="N37" s="594">
        <f>SUM(N36:N36)</f>
        <v>0</v>
      </c>
      <c r="O37" s="594">
        <f>SUM(O36:O36)</f>
        <v>0</v>
      </c>
      <c r="P37" s="594">
        <f>SUM(P36:P36)</f>
        <v>0</v>
      </c>
      <c r="Q37" s="594">
        <f>SUM(Q36:Q36)</f>
        <v>0</v>
      </c>
      <c r="R37" s="594">
        <f>SUM(R36:R36)</f>
        <v>0</v>
      </c>
      <c r="S37" s="594">
        <f>SUM(S36:S36)</f>
        <v>0</v>
      </c>
      <c r="T37" s="594">
        <f>SUM(T36:T36)</f>
        <v>0</v>
      </c>
      <c r="U37" s="594">
        <f>SUM(U36:U36)</f>
        <v>0</v>
      </c>
      <c r="V37" s="594">
        <f>SUM(V36:V36)</f>
        <v>0</v>
      </c>
      <c r="W37" s="594">
        <f>SUM(W36:W36)</f>
        <v>0</v>
      </c>
      <c r="X37" s="595"/>
      <c r="Y37" s="595"/>
      <c r="Z37" s="596"/>
    </row>
    <row r="38" spans="1:27" s="570" customFormat="1">
      <c r="A38" s="592" t="s">
        <v>282</v>
      </c>
      <c r="B38" s="593"/>
      <c r="C38" s="593"/>
      <c r="D38" s="593"/>
      <c r="E38" s="593"/>
      <c r="F38" s="593"/>
      <c r="G38" s="593"/>
      <c r="H38" s="593"/>
      <c r="I38" s="593"/>
      <c r="J38" s="593"/>
      <c r="K38" s="593"/>
      <c r="L38" s="594"/>
      <c r="M38" s="594">
        <f>SUMIF($Z$36:$Z$36,"industrie",M36:M36)</f>
        <v>0</v>
      </c>
      <c r="N38" s="594">
        <f>SUMIF($Z$36:$Z$36,"industrie",N36:N36)</f>
        <v>0</v>
      </c>
      <c r="O38" s="594">
        <f>SUMIF($Z$36:$Z$36,"industrie",O36:O36)</f>
        <v>0</v>
      </c>
      <c r="P38" s="594">
        <f>SUMIF($Z$36:$Z$36,"industrie",P36:P36)</f>
        <v>0</v>
      </c>
      <c r="Q38" s="594">
        <f>SUMIF($Z$36:$Z$36,"industrie",Q36:Q36)</f>
        <v>0</v>
      </c>
      <c r="R38" s="594">
        <f>SUMIF($Z$36:$Z$36,"industrie",R36:R36)</f>
        <v>0</v>
      </c>
      <c r="S38" s="594">
        <f>SUMIF($Z$36:$Z$36,"industrie",S36:S36)</f>
        <v>0</v>
      </c>
      <c r="T38" s="594">
        <f>SUMIF($Z$36:$Z$36,"industrie",T36:T36)</f>
        <v>0</v>
      </c>
      <c r="U38" s="594">
        <f>SUMIF($Z$36:$Z$36,"industrie",U36:U36)</f>
        <v>0</v>
      </c>
      <c r="V38" s="594">
        <f>SUMIF($Z$36:$Z$36,"industrie",V36:V36)</f>
        <v>0</v>
      </c>
      <c r="W38" s="594">
        <f>SUMIF($Z$36:$Z$36,"industrie",W36:W36)</f>
        <v>0</v>
      </c>
      <c r="X38" s="595"/>
      <c r="Y38" s="595"/>
      <c r="Z38" s="596"/>
    </row>
    <row r="39" spans="1:27" s="570" customFormat="1">
      <c r="A39" s="592" t="s">
        <v>283</v>
      </c>
      <c r="B39" s="593"/>
      <c r="C39" s="593"/>
      <c r="D39" s="593"/>
      <c r="E39" s="593"/>
      <c r="F39" s="593"/>
      <c r="G39" s="593"/>
      <c r="H39" s="593"/>
      <c r="I39" s="593"/>
      <c r="J39" s="593"/>
      <c r="K39" s="593"/>
      <c r="L39" s="594"/>
      <c r="M39" s="594">
        <f>SUMIF($Z$36:$Z$37,"tertiair",M36:M37)</f>
        <v>0</v>
      </c>
      <c r="N39" s="594">
        <f>SUMIF($Z$36:$Z$37,"tertiair",N36:N37)</f>
        <v>0</v>
      </c>
      <c r="O39" s="594">
        <f>SUMIF($Z$36:$Z$37,"tertiair",O36:O37)</f>
        <v>0</v>
      </c>
      <c r="P39" s="594">
        <f>SUMIF($Z$36:$Z$37,"tertiair",P36:P37)</f>
        <v>0</v>
      </c>
      <c r="Q39" s="594">
        <f>SUMIF($Z$36:$Z$37,"tertiair",Q36:Q37)</f>
        <v>0</v>
      </c>
      <c r="R39" s="594">
        <f>SUMIF($Z$36:$Z$37,"tertiair",R36:R37)</f>
        <v>0</v>
      </c>
      <c r="S39" s="594">
        <f>SUMIF($Z$36:$Z$37,"tertiair",S36:S37)</f>
        <v>0</v>
      </c>
      <c r="T39" s="594">
        <f>SUMIF($Z$36:$Z$37,"tertiair",T36:T37)</f>
        <v>0</v>
      </c>
      <c r="U39" s="594">
        <f>SUMIF($Z$36:$Z$37,"tertiair",U36:U37)</f>
        <v>0</v>
      </c>
      <c r="V39" s="594">
        <f>SUMIF($Z$36:$Z$37,"tertiair",V36:V37)</f>
        <v>0</v>
      </c>
      <c r="W39" s="594">
        <f>SUMIF($Z$36:$Z$37,"tertiair",W36:W37)</f>
        <v>0</v>
      </c>
      <c r="X39" s="595"/>
      <c r="Y39" s="595"/>
      <c r="Z39" s="596"/>
    </row>
    <row r="40" spans="1:27" s="570" customFormat="1" ht="15.75" thickBot="1">
      <c r="A40" s="597" t="s">
        <v>284</v>
      </c>
      <c r="B40" s="598"/>
      <c r="C40" s="598"/>
      <c r="D40" s="598"/>
      <c r="E40" s="598"/>
      <c r="F40" s="598"/>
      <c r="G40" s="598"/>
      <c r="H40" s="598"/>
      <c r="I40" s="598"/>
      <c r="J40" s="598"/>
      <c r="K40" s="598"/>
      <c r="L40" s="599"/>
      <c r="M40" s="599">
        <f>SUMIF($Z$36:$Z$38,"landbouw",M36:M38)</f>
        <v>0</v>
      </c>
      <c r="N40" s="599">
        <f>SUMIF($Z$36:$Z$38,"landbouw",N36:N38)</f>
        <v>0</v>
      </c>
      <c r="O40" s="599">
        <f>SUMIF($Z$36:$Z$38,"landbouw",O36:O38)</f>
        <v>0</v>
      </c>
      <c r="P40" s="599">
        <f>SUMIF($Z$36:$Z$38,"landbouw",P36:P38)</f>
        <v>0</v>
      </c>
      <c r="Q40" s="599">
        <f>SUMIF($Z$36:$Z$38,"landbouw",Q36:Q38)</f>
        <v>0</v>
      </c>
      <c r="R40" s="599">
        <f>SUMIF($Z$36:$Z$38,"landbouw",R36:R38)</f>
        <v>0</v>
      </c>
      <c r="S40" s="599">
        <f>SUMIF($Z$36:$Z$38,"landbouw",S36:S38)</f>
        <v>0</v>
      </c>
      <c r="T40" s="599">
        <f>SUMIF($Z$36:$Z$38,"landbouw",T36:T38)</f>
        <v>0</v>
      </c>
      <c r="U40" s="599">
        <f>SUMIF($Z$36:$Z$38,"landbouw",U36:U38)</f>
        <v>0</v>
      </c>
      <c r="V40" s="599">
        <f>SUMIF($Z$36:$Z$38,"landbouw",V36:V38)</f>
        <v>0</v>
      </c>
      <c r="W40" s="599">
        <f>SUMIF($Z$36:$Z$38,"landbouw",W36:W38)</f>
        <v>0</v>
      </c>
      <c r="X40" s="600"/>
      <c r="Y40" s="600"/>
      <c r="Z40" s="601"/>
    </row>
    <row r="41" spans="1:27" s="606" customForma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row>
    <row r="42" spans="1:27" s="606" customFormat="1" ht="15.75" thickBot="1">
      <c r="A42" s="602"/>
      <c r="B42" s="586"/>
      <c r="C42" s="586"/>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row>
    <row r="43" spans="1:27">
      <c r="A43" s="607" t="s">
        <v>277</v>
      </c>
      <c r="B43" s="608"/>
      <c r="C43" s="608"/>
      <c r="D43" s="608"/>
      <c r="E43" s="608"/>
      <c r="F43" s="608"/>
      <c r="G43" s="608"/>
      <c r="H43" s="608"/>
      <c r="I43" s="609"/>
      <c r="J43" s="610"/>
      <c r="K43" s="610"/>
      <c r="L43" s="611"/>
      <c r="M43" s="611"/>
      <c r="N43" s="611"/>
      <c r="O43" s="611"/>
      <c r="P43" s="611"/>
    </row>
    <row r="44" spans="1:27">
      <c r="A44" s="613"/>
      <c r="B44" s="603"/>
      <c r="C44" s="603"/>
      <c r="D44" s="603"/>
      <c r="E44" s="603"/>
      <c r="F44" s="603"/>
      <c r="G44" s="603"/>
      <c r="H44" s="603"/>
      <c r="I44" s="614"/>
      <c r="J44" s="603"/>
      <c r="K44" s="603"/>
      <c r="L44" s="611"/>
      <c r="M44" s="611"/>
      <c r="N44" s="611"/>
      <c r="O44" s="611"/>
      <c r="P44" s="611"/>
    </row>
    <row r="45" spans="1:27">
      <c r="A45" s="615"/>
      <c r="B45" s="616" t="s">
        <v>278</v>
      </c>
      <c r="C45" s="616" t="s">
        <v>279</v>
      </c>
      <c r="D45" s="616"/>
      <c r="E45" s="616"/>
      <c r="F45" s="616"/>
      <c r="G45" s="616"/>
      <c r="H45" s="616"/>
      <c r="I45" s="617"/>
      <c r="J45" s="616"/>
      <c r="K45" s="616"/>
      <c r="L45" s="616"/>
      <c r="M45" s="616"/>
      <c r="N45" s="616"/>
      <c r="O45" s="616"/>
      <c r="P45" s="611"/>
    </row>
    <row r="46" spans="1:27">
      <c r="A46" s="613" t="s">
        <v>275</v>
      </c>
      <c r="B46" s="618">
        <f>IF(ISERROR(O30/(O30+N30)),0,O30/(O30+N30))</f>
        <v>0.58823681714141496</v>
      </c>
      <c r="C46" s="619">
        <f>IF(ISERROR(N30/(O30+N30)),0,N30/(N30+O30))</f>
        <v>0.4117631828585851</v>
      </c>
      <c r="D46" s="586"/>
      <c r="E46" s="586"/>
      <c r="F46" s="586"/>
      <c r="G46" s="586"/>
      <c r="H46" s="586"/>
      <c r="I46" s="620"/>
      <c r="J46" s="586"/>
      <c r="K46" s="586"/>
      <c r="L46" s="621"/>
      <c r="M46" s="621"/>
      <c r="N46" s="621"/>
      <c r="O46" s="621"/>
      <c r="P46" s="611"/>
    </row>
    <row r="47" spans="1:27">
      <c r="A47" s="613"/>
      <c r="B47" s="622"/>
      <c r="C47" s="622"/>
      <c r="D47" s="622"/>
      <c r="E47" s="622"/>
      <c r="F47" s="622"/>
      <c r="G47" s="622"/>
      <c r="H47" s="622"/>
      <c r="I47" s="623"/>
      <c r="J47" s="622"/>
      <c r="K47" s="622"/>
      <c r="L47" s="624"/>
      <c r="M47" s="624"/>
      <c r="N47" s="624"/>
      <c r="O47" s="624"/>
      <c r="P47" s="611"/>
    </row>
    <row r="48" spans="1:27" ht="30">
      <c r="A48" s="625"/>
      <c r="B48" s="626" t="s">
        <v>517</v>
      </c>
      <c r="C48" s="626" t="s">
        <v>102</v>
      </c>
      <c r="D48" s="626" t="s">
        <v>103</v>
      </c>
      <c r="E48" s="626" t="s">
        <v>104</v>
      </c>
      <c r="F48" s="626" t="s">
        <v>105</v>
      </c>
      <c r="G48" s="626" t="s">
        <v>106</v>
      </c>
      <c r="H48" s="626" t="s">
        <v>107</v>
      </c>
      <c r="I48" s="627" t="s">
        <v>108</v>
      </c>
      <c r="J48" s="616"/>
      <c r="K48" s="616"/>
      <c r="L48" s="624"/>
      <c r="M48" s="624"/>
      <c r="N48" s="624"/>
      <c r="O48" s="611"/>
      <c r="P48" s="611"/>
    </row>
    <row r="49" spans="1:16">
      <c r="A49" s="615" t="s">
        <v>280</v>
      </c>
      <c r="B49" s="628">
        <f t="shared" ref="B49:I49" si="2">$C$46*P30</f>
        <v>4297.6788573840549</v>
      </c>
      <c r="C49" s="628">
        <f t="shared" si="2"/>
        <v>0</v>
      </c>
      <c r="D49" s="628">
        <f t="shared" si="2"/>
        <v>0</v>
      </c>
      <c r="E49" s="628">
        <f t="shared" si="2"/>
        <v>0</v>
      </c>
      <c r="F49" s="628">
        <f t="shared" si="2"/>
        <v>0</v>
      </c>
      <c r="G49" s="628">
        <f t="shared" si="2"/>
        <v>0</v>
      </c>
      <c r="H49" s="628">
        <f t="shared" si="2"/>
        <v>0</v>
      </c>
      <c r="I49" s="629">
        <f t="shared" si="2"/>
        <v>0</v>
      </c>
      <c r="J49" s="586"/>
      <c r="K49" s="586"/>
      <c r="L49" s="624"/>
      <c r="M49" s="624"/>
      <c r="N49" s="624"/>
      <c r="O49" s="611"/>
      <c r="P49" s="611"/>
    </row>
    <row r="50" spans="1:16" ht="15.75" thickBot="1">
      <c r="A50" s="630" t="s">
        <v>281</v>
      </c>
      <c r="B50" s="631">
        <f t="shared" ref="B50:I50" si="3">$B$46*P30</f>
        <v>6139.579829874634</v>
      </c>
      <c r="C50" s="631">
        <f t="shared" si="3"/>
        <v>0</v>
      </c>
      <c r="D50" s="631">
        <f t="shared" si="3"/>
        <v>0</v>
      </c>
      <c r="E50" s="631">
        <f t="shared" si="3"/>
        <v>0</v>
      </c>
      <c r="F50" s="631">
        <f t="shared" si="3"/>
        <v>0</v>
      </c>
      <c r="G50" s="631">
        <f t="shared" si="3"/>
        <v>0</v>
      </c>
      <c r="H50" s="631">
        <f t="shared" si="3"/>
        <v>0</v>
      </c>
      <c r="I50" s="632">
        <f t="shared" si="3"/>
        <v>0</v>
      </c>
      <c r="J50" s="586"/>
      <c r="K50" s="586"/>
      <c r="L50" s="624"/>
      <c r="M50" s="624"/>
      <c r="N50" s="624"/>
      <c r="O50" s="611"/>
      <c r="P50" s="611"/>
    </row>
    <row r="51" spans="1:16">
      <c r="J51" s="566"/>
      <c r="K51" s="566"/>
      <c r="L51" s="566"/>
      <c r="M51" s="566"/>
      <c r="N51" s="566"/>
    </row>
    <row r="52" spans="1:16">
      <c r="J52" s="566"/>
      <c r="K52" s="566"/>
      <c r="L52" s="566"/>
      <c r="M52" s="566"/>
      <c r="N52"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2021-06-29T14:15:52Z</dcterms:modified>
</cp:coreProperties>
</file>