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36" i="13"/>
  <c r="B34" i="13"/>
  <c r="B33" i="13"/>
  <c r="B32" i="13"/>
  <c r="B35"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8" i="15"/>
  <c r="C20" i="15" s="1"/>
  <c r="D40" i="14" s="1"/>
  <c r="C10" i="13"/>
  <c r="C12" i="13" s="1"/>
  <c r="C56" i="22"/>
  <c r="C58" i="22" s="1"/>
  <c r="D49" i="14" s="1"/>
  <c r="D52" i="14" s="1"/>
  <c r="C20" i="16"/>
  <c r="C22" i="16" s="1"/>
  <c r="D43" i="14" s="1"/>
  <c r="C17" i="49"/>
  <c r="C22" i="59"/>
  <c r="C29" i="20"/>
  <c r="C17" i="19"/>
  <c r="C19" i="19" s="1"/>
  <c r="D39" i="14" s="1"/>
  <c r="F26" i="48"/>
  <c r="F33" i="48" s="1"/>
  <c r="B90" i="14"/>
  <c r="B17" i="59"/>
  <c r="B20" i="59" s="1"/>
  <c r="C90" i="14"/>
  <c r="C17" i="59"/>
  <c r="C20" i="59" s="1"/>
  <c r="J26" i="48"/>
  <c r="J33" i="48" s="1"/>
  <c r="J15" i="48"/>
  <c r="E15" i="48"/>
  <c r="D41" i="14"/>
  <c r="D46" i="14" s="1"/>
  <c r="O46" i="14"/>
  <c r="O61" i="14" s="1"/>
  <c r="O63" i="14" s="1"/>
  <c r="K46" i="14"/>
  <c r="K61" i="14" s="1"/>
  <c r="K63" i="14" s="1"/>
  <c r="F16" i="14"/>
  <c r="R13" i="14"/>
  <c r="R16" i="14" s="1"/>
  <c r="R27" i="14" s="1"/>
  <c r="Q8" i="48"/>
  <c r="Q15" i="48" s="1"/>
  <c r="D61" i="14" l="1"/>
  <c r="D63" i="14" s="1"/>
  <c r="C17" i="48"/>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<sst xmlns="http://schemas.openxmlformats.org/spreadsheetml/2006/main" count="2447" uniqueCount="887">
  <si>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</si>
  <si>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</si>
  <si>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</si>
  <si>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</si>
  <si>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</si>
  <si>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</si>
  <si>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</si>
  <si>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</si>
  <si>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</si>
  <si>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</si>
  <si>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</si>
  <si>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</si>
  <si>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</si>
  <si>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</si>
  <si>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</si>
  <si>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</si>
  <si>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</si>
  <si>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</si>
  <si>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</si>
  <si>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</si>
  <si>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</si>
  <si>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</si>
  <si>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</si>
  <si>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</si>
  <si>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</si>
  <si>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</si>
  <si>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</si>
  <si>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</si>
  <si>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</si>
  <si>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</si>
  <si>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</si>
  <si>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</si>
  <si>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</si>
  <si>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</si>
  <si>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</si>
  <si>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</si>
  <si>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</si>
  <si>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</si>
  <si>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</si>
  <si>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</si>
  <si>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</si>
  <si>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</si>
  <si>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</si>
  <si>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</si>
  <si>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</si>
  <si>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</si>
  <si>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</si>
  <si>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</si>
  <si>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</si>
  <si>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</si>
  <si>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</si>
  <si>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</si>
  <si>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</si>
  <si>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</si>
  <si>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</si>
  <si>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</si>
  <si>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</si>
  <si>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</si>
  <si>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</si>
  <si>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</si>
  <si>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</si>
  <si>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</si>
  <si>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</si>
  <si>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</si>
  <si>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</si>
  <si>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</si>
  <si>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</si>
  <si>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</si>
  <si>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</si>
  <si>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</si>
  <si>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</si>
  <si>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</si>
  <si>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</si>
  <si>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</si>
  <si>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</si>
  <si>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</si>
  <si>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</si>
  <si>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</si>
  <si>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</si>
  <si>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</si>
  <si>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</si>
  <si>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</si>
  <si>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</si>
  <si>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</si>
  <si>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</si>
  <si>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</si>
  <si>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</si>
  <si>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</si>
  <si>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</si>
  <si>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</si>
  <si>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</si>
  <si>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</si>
  <si>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</si>
  <si>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</si>
  <si>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</si>
  <si>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</si>
  <si>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</si>
  <si>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</si>
  <si>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</si>
  <si>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</si>
  <si>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</si>
  <si>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</si>
  <si>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</si>
  <si>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</si>
  <si>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</si>
  <si>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</si>
  <si>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</si>
  <si>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</si>
  <si>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</si>
  <si>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</si>
  <si>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</si>
  <si>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</si>
  <si>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</si>
  <si>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</si>
  <si>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</si>
  <si>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</si>
  <si>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</si>
  <si>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</si>
  <si>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</si>
  <si>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</si>
  <si>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</si>
  <si>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</si>
  <si>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</si>
  <si>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</si>
  <si>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</si>
  <si>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</si>
  <si>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</si>
  <si>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</si>
  <si>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</si>
  <si>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</si>
  <si>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</si>
  <si>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</si>
  <si>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</si>
  <si>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</si>
  <si>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</si>
  <si>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</si>
  <si>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</si>
  <si>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</si>
  <si>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</si>
  <si>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</si>
  <si>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</si>
  <si>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</si>
  <si>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</si>
  <si>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</si>
  <si>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</si>
  <si>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</si>
  <si>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</si>
  <si>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</si>
  <si>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</si>
  <si>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</si>
  <si>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</si>
  <si>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</si>
  <si>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</si>
  <si>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</si>
  <si>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</si>
  <si>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</si>
  <si>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</si>
  <si>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</si>
  <si>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</si>
  <si>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</si>
  <si>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</si>
  <si>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</si>
  <si>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</si>
  <si>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</si>
  <si>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</si>
  <si>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</si>
  <si>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</si>
  <si>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</si>
  <si>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</si>
  <si>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</si>
  <si>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</si>
  <si>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</si>
  <si>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</si>
  <si>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</si>
  <si>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</si>
  <si>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</si>
  <si>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</si>
  <si>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</si>
  <si>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</si>
  <si>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</si>
  <si>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</si>
  <si>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</si>
  <si>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</si>
  <si>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</si>
  <si>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</si>
  <si>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</si>
  <si>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</si>
  <si>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</si>
  <si>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</si>
  <si>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</si>
  <si>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</si>
  <si>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</si>
  <si>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</si>
  <si>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</si>
  <si>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</si>
  <si>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</si>
  <si>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</si>
  <si>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</si>
  <si>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</si>
  <si>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</si>
  <si>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</si>
  <si>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</si>
  <si>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</si>
  <si>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</si>
  <si>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</si>
  <si>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</si>
  <si>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</si>
  <si>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</si>
  <si>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</si>
  <si>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</si>
  <si>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</si>
  <si>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</si>
  <si>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</si>
  <si>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</si>
  <si>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</si>
  <si>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</si>
  <si>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</si>
  <si>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</si>
  <si>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</si>
  <si>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</si>
  <si>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</si>
  <si>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</si>
  <si>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</si>
  <si>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</si>
  <si>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</si>
  <si>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</si>
  <si>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</si>
  <si>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</si>
  <si>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</si>
  <si>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</si>
  <si>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</si>
  <si>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</si>
  <si>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</si>
  <si>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</si>
  <si>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</si>
  <si>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</si>
  <si>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</si>
  <si>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</si>
  <si>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</si>
  <si>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</si>
  <si>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</si>
  <si>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</si>
  <si>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</si>
  <si>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</si>
  <si>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</si>
  <si>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</si>
  <si>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</si>
  <si>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</si>
  <si>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</si>
  <si>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</si>
  <si>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</si>
  <si>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</si>
  <si>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</si>
  <si>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</si>
  <si>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</si>
  <si>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</si>
  <si>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</si>
  <si>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</si>
  <si>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</si>
  <si>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</si>
  <si>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</si>
  <si>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</si>
  <si>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</si>
  <si>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</si>
  <si>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</si>
  <si>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</si>
  <si>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</si>
  <si>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</si>
  <si>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</si>
  <si>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</si>
  <si>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</si>
  <si>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</si>
  <si>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</si>
  <si>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</si>
  <si>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</si>
  <si>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</si>
  <si>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</si>
  <si>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</si>
  <si>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</si>
  <si>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</si>
  <si>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</si>
  <si>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</si>
  <si>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</si>
  <si>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</si>
  <si>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</si>
  <si>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</si>
  <si>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</si>
  <si>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</si>
  <si>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</si>
  <si>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</si>
  <si>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</si>
  <si>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</si>
  <si>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</si>
  <si>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</si>
  <si>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</si>
  <si>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</si>
  <si>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</si>
  <si>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</si>
  <si>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</si>
  <si>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</si>
  <si>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</si>
  <si>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</si>
  <si>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</si>
  <si>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</si>
  <si>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</si>
  <si>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</si>
  <si>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</si>
  <si>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</si>
  <si>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</si>
  <si>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</si>
  <si>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</si>
  <si>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</si>
  <si>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</si>
  <si>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</si>
  <si>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</si>
  <si>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</si>
  <si>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</si>
  <si>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</si>
  <si>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</si>
  <si>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</si>
  <si>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</si>
  <si>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</si>
  <si>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</si>
  <si>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</si>
  <si>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</si>
  <si>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</si>
  <si>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</si>
  <si>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</si>
  <si>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</si>
  <si>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</si>
  <si>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</si>
  <si>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</si>
  <si>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</si>
  <si>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</si>
  <si>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</si>
  <si>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</si>
  <si>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</si>
  <si>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</si>
  <si>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</si>
  <si>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</si>
  <si>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</si>
  <si>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</si>
  <si>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</si>
  <si>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</si>
  <si>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</si>
  <si>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</si>
  <si>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</si>
  <si>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</si>
  <si>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</si>
  <si>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</si>
  <si>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</si>
  <si>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</si>
  <si>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</si>
  <si>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</si>
  <si>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</si>
  <si>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</si>
  <si>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</si>
  <si>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</si>
  <si>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</si>
  <si>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</si>
  <si>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</si>
  <si>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</si>
  <si>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</si>
  <si>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</si>
  <si>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</si>
  <si>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</si>
  <si>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</si>
  <si>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</si>
  <si>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</si>
  <si>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</si>
  <si>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</si>
  <si>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</si>
  <si>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</si>
  <si>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</si>
  <si>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</si>
  <si>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</si>
  <si>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</si>
  <si>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</si>
  <si>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</si>
  <si>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</si>
  <si>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</si>
  <si>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</si>
  <si>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</si>
  <si>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</si>
  <si>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</si>
  <si>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</si>
  <si>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</si>
  <si>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</si>
  <si>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</si>
  <si>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</si>
  <si>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</si>
  <si>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</si>
  <si>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</si>
  <si>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</si>
  <si>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</si>
  <si>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</si>
  <si>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</si>
  <si>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</si>
  <si>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</si>
  <si>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</si>
  <si>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</si>
  <si>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</si>
  <si>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</si>
  <si>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</si>
  <si>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</si>
  <si>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</si>
  <si>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</si>
  <si>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</si>
  <si>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</si>
  <si>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</si>
  <si>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</si>
  <si>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</si>
  <si>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</si>
  <si>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</si>
  <si>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</si>
  <si>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</si>
  <si>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</si>
  <si>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</si>
  <si>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</si>
  <si>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</si>
  <si>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</si>
  <si>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</si>
  <si>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</si>
  <si>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</si>
  <si>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</si>
  <si>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</si>
  <si>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</si>
  <si>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</si>
  <si>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</si>
  <si>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</si>
  <si>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</si>
  <si>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</si>
  <si>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</si>
  <si>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</si>
  <si>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</si>
  <si>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</si>
  <si>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</si>
  <si>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</si>
  <si>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</si>
  <si>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</si>
  <si>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</si>
  <si>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</si>
  <si>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</si>
  <si>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</si>
  <si>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</si>
  <si>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</si>
  <si>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</si>
  <si>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</si>
  <si>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</si>
  <si>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</si>
  <si>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</si>
  <si>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</si>
  <si>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</si>
  <si>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</si>
  <si>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</si>
  <si>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</si>
  <si>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</si>
  <si>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</si>
  <si>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</si>
  <si>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</si>
  <si>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</si>
  <si>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</si>
  <si>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</si>
  <si>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</si>
  <si>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</si>
  <si>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</si>
  <si>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</si>
  <si>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</si>
  <si>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</si>
  <si>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</si>
  <si>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</si>
  <si>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</si>
  <si>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</si>
  <si>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</si>
  <si>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</si>
  <si>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</si>
  <si>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</si>
  <si>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</si>
  <si>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</si>
  <si>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</si>
  <si>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</si>
  <si>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</si>
  <si>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</si>
  <si>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</si>
  <si>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</si>
  <si>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</si>
  <si>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</si>
  <si>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</si>
  <si>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</si>
  <si>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</si>
  <si>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</si>
  <si>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</si>
  <si>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</si>
  <si>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</si>
  <si>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</si>
  <si>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</si>
  <si>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</si>
  <si>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</si>
  <si>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</si>
  <si>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</si>
  <si>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</si>
  <si>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</si>
  <si>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</si>
  <si>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</si>
  <si>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</si>
  <si>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</si>
  <si>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</si>
  <si>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</si>
  <si>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</si>
  <si>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</si>
  <si>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</si>
  <si>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</si>
  <si>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</si>
  <si>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</si>
  <si>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</si>
  <si>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</si>
  <si>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</si>
  <si>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</si>
  <si>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</si>
  <si>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</si>
  <si>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</si>
  <si>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</si>
  <si>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</si>
  <si>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</si>
  <si>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</si>
  <si>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</si>
  <si>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</si>
  <si>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</si>
  <si>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</si>
  <si>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</si>
  <si>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</si>
  <si>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</si>
  <si>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</si>
  <si>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</si>
  <si>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</si>
  <si>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</si>
  <si>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</si>
  <si>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</si>
  <si>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</si>
  <si>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</si>
  <si>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</si>
  <si>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</si>
  <si>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</si>
  <si>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</si>
  <si>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</si>
  <si>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</si>
  <si>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</si>
  <si>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</si>
  <si>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</si>
  <si>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</si>
  <si>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</si>
  <si>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</si>
  <si>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</si>
  <si>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</si>
  <si>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</si>
  <si>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</si>
  <si>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</si>
  <si>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</si>
  <si>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</si>
  <si>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</si>
  <si>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</si>
  <si>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</si>
  <si>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</si>
  <si>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</si>
  <si>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</si>
  <si>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</si>
  <si>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</si>
  <si>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</si>
  <si>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</si>
  <si>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</si>
  <si>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</si>
  <si>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</si>
  <si>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</si>
  <si>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</si>
  <si>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</si>
  <si>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</si>
  <si>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</si>
  <si>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</si>
  <si>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</si>
  <si>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</si>
  <si>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</si>
  <si>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</si>
  <si>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</si>
  <si>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</si>
  <si>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</si>
  <si>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</si>
  <si>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</si>
  <si>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</si>
  <si>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</si>
  <si>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</si>
  <si>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</si>
  <si>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</si>
  <si>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</si>
  <si>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</si>
  <si>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</si>
  <si>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</si>
  <si>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</si>
  <si>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</si>
  <si>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</si>
  <si>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</si>
  <si>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</si>
  <si>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</si>
  <si>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</si>
  <si>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</si>
  <si>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</si>
  <si>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</si>
  <si>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</si>
  <si>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</si>
  <si>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</si>
  <si>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</si>
  <si>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</si>
  <si>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</si>
  <si>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</si>
  <si>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</si>
  <si>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</si>
  <si>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</si>
  <si>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</si>
  <si>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</si>
  <si>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</si>
  <si>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</si>
  <si>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</si>
  <si>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</si>
  <si>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</si>
  <si>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</si>
  <si>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</si>
  <si>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</si>
  <si>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</si>
  <si>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</si>
  <si>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</si>
  <si>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</si>
  <si>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</si>
  <si>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</si>
  <si>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</si>
  <si>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</si>
  <si>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</si>
  <si>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</si>
  <si>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</si>
  <si>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</si>
  <si>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</si>
  <si>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</si>
  <si>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</si>
  <si>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</si>
  <si>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</si>
  <si>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</si>
  <si>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</si>
  <si>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</si>
  <si>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</si>
  <si>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</si>
  <si>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</si>
  <si>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</si>
  <si>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</si>
  <si>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</si>
  <si>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</si>
  <si>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</si>
  <si>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</si>
  <si>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</si>
  <si>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</si>
  <si>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</si>
  <si>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</si>
  <si>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</si>
  <si>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</si>
  <si>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</si>
  <si>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</si>
  <si>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</si>
  <si>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</si>
  <si>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</si>
  <si>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</si>
  <si>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</si>
  <si>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</si>
  <si>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</si>
  <si>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</si>
  <si>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</si>
  <si>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</si>
  <si>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</si>
  <si>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</si>
  <si>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</si>
  <si>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</si>
  <si>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</si>
  <si>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</si>
  <si>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</si>
  <si>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</si>
  <si>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</si>
  <si>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</si>
  <si>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</si>
  <si>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</si>
  <si>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</si>
  <si>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</si>
  <si>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</si>
  <si>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</si>
  <si>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</si>
  <si>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</si>
  <si>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</si>
  <si>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</si>
  <si>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</si>
  <si>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</si>
  <si>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</si>
  <si>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</si>
  <si>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</si>
  <si>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</si>
  <si>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</si>
  <si>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</si>
  <si>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</si>
  <si>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</si>
  <si>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</si>
  <si>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</si>
  <si>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</si>
  <si>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</si>
  <si>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</si>
  <si>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</si>
  <si>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</si>
  <si>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</si>
  <si>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</si>
  <si>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</si>
  <si>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</si>
  <si>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</si>
  <si>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</si>
  <si>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</si>
  <si>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</si>
  <si>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</si>
  <si>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</si>
  <si>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</si>
  <si>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</si>
  <si>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</si>
  <si>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</si>
  <si>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</si>
  <si>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</si>
  <si>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</si>
  <si>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</si>
  <si>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</si>
  <si>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</si>
  <si>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</si>
  <si>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</si>
  <si>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</si>
  <si>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</si>
  <si>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</si>
  <si>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</si>
  <si>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</si>
  <si>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</si>
  <si>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</si>
  <si>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</si>
  <si>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</si>
  <si>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</si>
  <si>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</si>
  <si>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</si>
  <si>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</si>
  <si>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</si>
  <si>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</si>
  <si>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</si>
  <si>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</si>
  <si>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</si>
  <si>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</si>
  <si>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</si>
  <si>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</si>
  <si>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</si>
  <si>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</si>
  <si>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</si>
  <si>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</si>
  <si>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</si>
  <si>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</si>
  <si>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</si>
  <si>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</si>
  <si>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</si>
  <si>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</si>
  <si>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</si>
  <si>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</si>
  <si>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</si>
  <si>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</si>
  <si>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</si>
  <si>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</si>
  <si>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</si>
  <si>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</si>
  <si>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</si>
  <si>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</si>
  <si>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</si>
  <si>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</si>
  <si>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</si>
  <si>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</si>
  <si>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</si>
  <si>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</si>
  <si>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</si>
  <si>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</si>
  <si>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</si>
  <si>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</si>
  <si>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</si>
  <si>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</si>
  <si>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</si>
  <si>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</si>
  <si>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</si>
  <si>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</si>
  <si>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</si>
  <si>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</si>
  <si>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</si>
  <si>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</si>
  <si>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</si>
  <si>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</si>
  <si>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</si>
  <si>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</si>
  <si>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</si>
  <si>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</si>
  <si>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</si>
  <si>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</si>
  <si>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</si>
  <si>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</si>
  <si>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</si>
  <si>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</si>
  <si>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</si>
  <si>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</si>
  <si>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</si>
  <si>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</si>
  <si>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</si>
  <si>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</si>
  <si>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</si>
  <si>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</si>
  <si>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</si>
  <si>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</si>
  <si>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</si>
  <si>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</si>
  <si>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</si>
  <si>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</si>
  <si>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</si>
  <si>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</si>
  <si>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</si>
  <si>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</si>
  <si>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</si>
  <si>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</si>
  <si>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</si>
  <si>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</si>
  <si>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</si>
  <si>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</si>
  <si>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</si>
  <si>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</si>
  <si>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</si>
  <si>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</si>
  <si>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</si>
  <si>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</si>
  <si>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</si>
  <si>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</si>
  <si>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</si>
  <si>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</si>
  <si>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</si>
  <si>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</si>
  <si>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</si>
  <si>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</si>
  <si>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</si>
  <si>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</si>
  <si>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</si>
  <si>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</si>
  <si>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</si>
  <si>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</si>
  <si>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</si>
  <si>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</si>
  <si>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</si>
  <si>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</si>
  <si>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</si>
  <si>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</si>
  <si>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</si>
  <si>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</si>
  <si>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</si>
  <si>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</si>
  <si>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</si>
  <si>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</si>
  <si>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</si>
  <si>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</si>
  <si>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</si>
  <si>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</si>
  <si>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</si>
  <si>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</si>
  <si>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</si>
  <si>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</si>
  <si>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</si>
  <si>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24045</t>
  </si>
  <si>
    <t>HULDENBERG</t>
  </si>
  <si>
    <t>referentietaak LNE (2017); Jaarverslag De Lijn</t>
  </si>
  <si>
    <t>waterkracht</t>
  </si>
  <si>
    <t>Marc Siongers</t>
  </si>
  <si>
    <t>Biezenstraat 48 , 3040 Loonbeek</t>
  </si>
  <si>
    <t>WKK-0287 Siongers</t>
  </si>
  <si>
    <t>interne verbrandingsmotor</t>
  </si>
  <si>
    <t>WKK interne verbrandinsgmotor (vloeibaar)</t>
  </si>
  <si>
    <t>IVERLEK</t>
  </si>
  <si>
    <t>Electrabel NV</t>
  </si>
  <si>
    <t>Simon Bolivarlaan 34 , 1000 Brussel</t>
  </si>
  <si>
    <t xml:space="preserve">BGS-0026 De Kock-Watco </t>
  </si>
  <si>
    <t>biogas - stortgas</t>
  </si>
  <si>
    <t>niet WKK interne verbrandingsmotor (gas)</t>
  </si>
  <si>
    <t>Wolfshaegen 15 , 3040 Huldenberg</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</si>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</sst>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84858.826188229912</c:v>
                </c:pt>
                <c:pt idx="1">
                  <c:v>24347.432903729012</c:v>
                </c:pt>
                <c:pt idx="2">
                  <c:v>470.88299999999998</c:v>
                </c:pt>
                <c:pt idx="3">
                  <c:v>1925.9811135351763</c:v>
                </c:pt>
                <c:pt idx="4">
                  <c:v>1635.0946270081163</c:v>
                </c:pt>
                <c:pt idx="5">
                  <c:v>60468.622417238534</c:v>
                </c:pt>
                <c:pt idx="6">
                  <c:v>2282.9870233227939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84858.826188229912</c:v>
                </c:pt>
                <c:pt idx="1">
                  <c:v>24347.432903729012</c:v>
                </c:pt>
                <c:pt idx="2">
                  <c:v>470.88299999999998</c:v>
                </c:pt>
                <c:pt idx="3">
                  <c:v>1925.9811135351763</c:v>
                </c:pt>
                <c:pt idx="4">
                  <c:v>1635.0946270081163</c:v>
                </c:pt>
                <c:pt idx="5">
                  <c:v>60468.622417238534</c:v>
                </c:pt>
                <c:pt idx="6">
                  <c:v>2282.9870233227939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17191.461165160821</c:v>
                </c:pt>
                <c:pt idx="1">
                  <c:v>4579.6933154296939</c:v>
                </c:pt>
                <c:pt idx="2">
                  <c:v>78.127167633986247</c:v>
                </c:pt>
                <c:pt idx="3">
                  <c:v>471.68469430220438</c:v>
                </c:pt>
                <c:pt idx="4">
                  <c:v>321.31051966494215</c:v>
                </c:pt>
                <c:pt idx="5">
                  <c:v>14912.397212408832</c:v>
                </c:pt>
                <c:pt idx="6">
                  <c:v>573.51687958434206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17191.461165160821</c:v>
                </c:pt>
                <c:pt idx="1">
                  <c:v>4579.6933154296939</c:v>
                </c:pt>
                <c:pt idx="2">
                  <c:v>78.127167633986247</c:v>
                </c:pt>
                <c:pt idx="3">
                  <c:v>471.68469430220438</c:v>
                </c:pt>
                <c:pt idx="4">
                  <c:v>321.31051966494215</c:v>
                </c:pt>
                <c:pt idx="5">
                  <c:v>14912.397212408832</c:v>
                </c:pt>
                <c:pt idx="6">
                  <c:v>573.51687958434206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24045</v>
      </c>
      <c r="B6" s="386"/>
      <c r="C6" s="387"/>
    </row>
    <row r="7" spans="1:7" s="384" customFormat="1" ht="15.75" customHeight="1">
      <c r="A7" s="388" t="str">
        <f>txtMunicipality</f>
        <v>HULDENBERG</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13214.630842286979</v>
      </c>
      <c r="D10" s="683">
        <f ca="1">tertiair!C16</f>
        <v>60.75</v>
      </c>
      <c r="E10" s="683">
        <f ca="1">tertiair!D16</f>
        <v>8970.524378276963</v>
      </c>
      <c r="F10" s="683">
        <f>tertiair!E16</f>
        <v>40.126375424637864</v>
      </c>
      <c r="G10" s="683">
        <f ca="1">tertiair!F16</f>
        <v>2412.4930940849958</v>
      </c>
      <c r="H10" s="683">
        <f>tertiair!G16</f>
        <v>0</v>
      </c>
      <c r="I10" s="683">
        <f>tertiair!H16</f>
        <v>0</v>
      </c>
      <c r="J10" s="683">
        <f>tertiair!I16</f>
        <v>0</v>
      </c>
      <c r="K10" s="683">
        <f>tertiair!J16</f>
        <v>2.1154744923060426E-2</v>
      </c>
      <c r="L10" s="683">
        <f>tertiair!K16</f>
        <v>0</v>
      </c>
      <c r="M10" s="683">
        <f ca="1">tertiair!L16</f>
        <v>0</v>
      </c>
      <c r="N10" s="683">
        <f>tertiair!M16</f>
        <v>0</v>
      </c>
      <c r="O10" s="683">
        <f ca="1">tertiair!N16</f>
        <v>0</v>
      </c>
      <c r="P10" s="683">
        <f>tertiair!O16</f>
        <v>14.691782297523464</v>
      </c>
      <c r="Q10" s="684">
        <f>tertiair!P16</f>
        <v>105.07827661299004</v>
      </c>
      <c r="R10" s="686">
        <f ca="1">SUM(C10:Q10)</f>
        <v>24818.31590372901</v>
      </c>
      <c r="S10" s="67"/>
    </row>
    <row r="11" spans="1:19" s="445" customFormat="1">
      <c r="A11" s="804" t="s">
        <v>220</v>
      </c>
      <c r="B11" s="809"/>
      <c r="C11" s="683">
        <f>huishoudens!B8</f>
        <v>17533.012621196103</v>
      </c>
      <c r="D11" s="683">
        <f>huishoudens!C8</f>
        <v>0</v>
      </c>
      <c r="E11" s="683">
        <f>huishoudens!D8</f>
        <v>29725.605031344701</v>
      </c>
      <c r="F11" s="683">
        <f>huishoudens!E8</f>
        <v>1352.5367345866266</v>
      </c>
      <c r="G11" s="683">
        <f>huishoudens!F8</f>
        <v>29629.48836521367</v>
      </c>
      <c r="H11" s="683">
        <f>huishoudens!G8</f>
        <v>0</v>
      </c>
      <c r="I11" s="683">
        <f>huishoudens!H8</f>
        <v>0</v>
      </c>
      <c r="J11" s="683">
        <f>huishoudens!I8</f>
        <v>0</v>
      </c>
      <c r="K11" s="683">
        <f>huishoudens!J8</f>
        <v>168.86169488185016</v>
      </c>
      <c r="L11" s="683">
        <f>huishoudens!K8</f>
        <v>0</v>
      </c>
      <c r="M11" s="683">
        <f>huishoudens!L8</f>
        <v>0</v>
      </c>
      <c r="N11" s="683">
        <f>huishoudens!M8</f>
        <v>0</v>
      </c>
      <c r="O11" s="683">
        <f>huishoudens!N8</f>
        <v>5454.030020948685</v>
      </c>
      <c r="P11" s="683">
        <f>huishoudens!O8</f>
        <v>257.91456852031411</v>
      </c>
      <c r="Q11" s="684">
        <f>huishoudens!P8</f>
        <v>737.37715153795159</v>
      </c>
      <c r="R11" s="686">
        <f>SUM(C11:Q11)</f>
        <v>84858.826188229912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695.52937902448321</v>
      </c>
      <c r="D13" s="683">
        <f>industrie!C18</f>
        <v>0</v>
      </c>
      <c r="E13" s="683">
        <f>industrie!D18</f>
        <v>575.51401924564857</v>
      </c>
      <c r="F13" s="683">
        <f>industrie!E18</f>
        <v>3.2739673259852626</v>
      </c>
      <c r="G13" s="683">
        <f>industrie!F18</f>
        <v>332.85276499921133</v>
      </c>
      <c r="H13" s="683">
        <f>industrie!G18</f>
        <v>0</v>
      </c>
      <c r="I13" s="683">
        <f>industrie!H18</f>
        <v>0</v>
      </c>
      <c r="J13" s="683">
        <f>industrie!I18</f>
        <v>0</v>
      </c>
      <c r="K13" s="683">
        <f>industrie!J18</f>
        <v>0.11905106530771097</v>
      </c>
      <c r="L13" s="683">
        <f>industrie!K18</f>
        <v>0</v>
      </c>
      <c r="M13" s="683">
        <f>industrie!L18</f>
        <v>0</v>
      </c>
      <c r="N13" s="683">
        <f>industrie!M18</f>
        <v>0</v>
      </c>
      <c r="O13" s="683">
        <f>industrie!N18</f>
        <v>27.805445347480035</v>
      </c>
      <c r="P13" s="683">
        <f>industrie!O18</f>
        <v>0</v>
      </c>
      <c r="Q13" s="684">
        <f>industrie!P18</f>
        <v>0</v>
      </c>
      <c r="R13" s="686">
        <f>SUM(C13:Q13)</f>
        <v>1635.0946270081163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31443.172842507563</v>
      </c>
      <c r="D16" s="719">
        <f t="shared" ref="D16:R16" ca="1" si="0">SUM(D9:D15)</f>
        <v>60.75</v>
      </c>
      <c r="E16" s="719">
        <f t="shared" ca="1" si="0"/>
        <v>39271.643428867312</v>
      </c>
      <c r="F16" s="719">
        <f t="shared" si="0"/>
        <v>1395.9370773372498</v>
      </c>
      <c r="G16" s="719">
        <f t="shared" ca="1" si="0"/>
        <v>32374.834224297876</v>
      </c>
      <c r="H16" s="719">
        <f t="shared" si="0"/>
        <v>0</v>
      </c>
      <c r="I16" s="719">
        <f t="shared" si="0"/>
        <v>0</v>
      </c>
      <c r="J16" s="719">
        <f t="shared" si="0"/>
        <v>0</v>
      </c>
      <c r="K16" s="719">
        <f t="shared" si="0"/>
        <v>169.00190069208091</v>
      </c>
      <c r="L16" s="719">
        <f t="shared" si="0"/>
        <v>0</v>
      </c>
      <c r="M16" s="719">
        <f t="shared" ca="1" si="0"/>
        <v>0</v>
      </c>
      <c r="N16" s="719">
        <f t="shared" si="0"/>
        <v>0</v>
      </c>
      <c r="O16" s="719">
        <f t="shared" ca="1" si="0"/>
        <v>5481.8354662961647</v>
      </c>
      <c r="P16" s="719">
        <f t="shared" si="0"/>
        <v>272.60635081783755</v>
      </c>
      <c r="Q16" s="719">
        <f t="shared" si="0"/>
        <v>842.45542815094166</v>
      </c>
      <c r="R16" s="719">
        <f t="shared" ca="1" si="0"/>
        <v>111312.23671896705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33.974259730802743</v>
      </c>
      <c r="D19" s="683">
        <f>transport!C54</f>
        <v>0</v>
      </c>
      <c r="E19" s="683">
        <f>transport!D54</f>
        <v>0</v>
      </c>
      <c r="F19" s="683">
        <f>transport!E54</f>
        <v>0</v>
      </c>
      <c r="G19" s="683">
        <f>transport!F54</f>
        <v>0</v>
      </c>
      <c r="H19" s="683">
        <f>transport!G54</f>
        <v>2126.891370528946</v>
      </c>
      <c r="I19" s="683">
        <f>transport!H54</f>
        <v>0</v>
      </c>
      <c r="J19" s="683">
        <f>transport!I54</f>
        <v>0</v>
      </c>
      <c r="K19" s="683">
        <f>transport!J54</f>
        <v>0</v>
      </c>
      <c r="L19" s="683">
        <f>transport!K54</f>
        <v>0</v>
      </c>
      <c r="M19" s="683">
        <f>transport!L54</f>
        <v>0</v>
      </c>
      <c r="N19" s="683">
        <f>transport!M54</f>
        <v>122.12139306304512</v>
      </c>
      <c r="O19" s="683">
        <f>transport!N54</f>
        <v>0</v>
      </c>
      <c r="P19" s="683">
        <f>transport!O54</f>
        <v>0</v>
      </c>
      <c r="Q19" s="684">
        <f>transport!P54</f>
        <v>0</v>
      </c>
      <c r="R19" s="686">
        <f>SUM(C19:Q19)</f>
        <v>2282.9870233227939</v>
      </c>
      <c r="S19" s="67"/>
    </row>
    <row r="20" spans="1:19" s="445" customFormat="1">
      <c r="A20" s="804" t="s">
        <v>302</v>
      </c>
      <c r="B20" s="809"/>
      <c r="C20" s="683">
        <f>transport!B14</f>
        <v>155.17564333474041</v>
      </c>
      <c r="D20" s="683">
        <f>transport!C14</f>
        <v>0</v>
      </c>
      <c r="E20" s="683">
        <f>transport!D14</f>
        <v>310.36422795734711</v>
      </c>
      <c r="F20" s="683">
        <f>transport!E14</f>
        <v>119.80429808973055</v>
      </c>
      <c r="G20" s="683">
        <f>transport!F14</f>
        <v>0</v>
      </c>
      <c r="H20" s="683">
        <f>transport!G14</f>
        <v>41306.009532366726</v>
      </c>
      <c r="I20" s="683">
        <f>transport!H14</f>
        <v>15132.760434231124</v>
      </c>
      <c r="J20" s="683">
        <f>transport!I14</f>
        <v>0</v>
      </c>
      <c r="K20" s="683">
        <f>transport!J14</f>
        <v>0</v>
      </c>
      <c r="L20" s="683">
        <f>transport!K14</f>
        <v>0</v>
      </c>
      <c r="M20" s="683">
        <f>transport!L14</f>
        <v>0</v>
      </c>
      <c r="N20" s="683">
        <f>transport!M14</f>
        <v>3444.5082812588662</v>
      </c>
      <c r="O20" s="683">
        <f>transport!N14</f>
        <v>0</v>
      </c>
      <c r="P20" s="683">
        <f>transport!O14</f>
        <v>0</v>
      </c>
      <c r="Q20" s="684">
        <f>transport!P14</f>
        <v>0</v>
      </c>
      <c r="R20" s="686">
        <f>SUM(C20:Q20)</f>
        <v>60468.622417238534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189.14990306554316</v>
      </c>
      <c r="D22" s="807">
        <f t="shared" ref="D22:R22" si="1">SUM(D18:D21)</f>
        <v>0</v>
      </c>
      <c r="E22" s="807">
        <f t="shared" si="1"/>
        <v>310.36422795734711</v>
      </c>
      <c r="F22" s="807">
        <f t="shared" si="1"/>
        <v>119.80429808973055</v>
      </c>
      <c r="G22" s="807">
        <f t="shared" si="1"/>
        <v>0</v>
      </c>
      <c r="H22" s="807">
        <f t="shared" si="1"/>
        <v>43432.900902895672</v>
      </c>
      <c r="I22" s="807">
        <f t="shared" si="1"/>
        <v>15132.760434231124</v>
      </c>
      <c r="J22" s="807">
        <f t="shared" si="1"/>
        <v>0</v>
      </c>
      <c r="K22" s="807">
        <f t="shared" si="1"/>
        <v>0</v>
      </c>
      <c r="L22" s="807">
        <f t="shared" si="1"/>
        <v>0</v>
      </c>
      <c r="M22" s="807">
        <f t="shared" si="1"/>
        <v>0</v>
      </c>
      <c r="N22" s="807">
        <f t="shared" si="1"/>
        <v>3566.6296743219114</v>
      </c>
      <c r="O22" s="807">
        <f t="shared" si="1"/>
        <v>0</v>
      </c>
      <c r="P22" s="807">
        <f t="shared" si="1"/>
        <v>0</v>
      </c>
      <c r="Q22" s="807">
        <f t="shared" si="1"/>
        <v>0</v>
      </c>
      <c r="R22" s="807">
        <f t="shared" si="1"/>
        <v>62751.609440561326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395.31888127066998</v>
      </c>
      <c r="D24" s="683">
        <f>+landbouw!C8</f>
        <v>0</v>
      </c>
      <c r="E24" s="683">
        <f>+landbouw!D8</f>
        <v>167.44708188563217</v>
      </c>
      <c r="F24" s="683">
        <f>+landbouw!E8</f>
        <v>11.322601761619623</v>
      </c>
      <c r="G24" s="683">
        <f>+landbouw!F8</f>
        <v>1251.3753710685967</v>
      </c>
      <c r="H24" s="683">
        <f>+landbouw!G8</f>
        <v>0</v>
      </c>
      <c r="I24" s="683">
        <f>+landbouw!H8</f>
        <v>0</v>
      </c>
      <c r="J24" s="683">
        <f>+landbouw!I8</f>
        <v>0</v>
      </c>
      <c r="K24" s="683">
        <f>+landbouw!J8</f>
        <v>100.51717754865793</v>
      </c>
      <c r="L24" s="683">
        <f>+landbouw!K8</f>
        <v>0</v>
      </c>
      <c r="M24" s="683">
        <f>+landbouw!L8</f>
        <v>0</v>
      </c>
      <c r="N24" s="683">
        <f>+landbouw!M8</f>
        <v>0</v>
      </c>
      <c r="O24" s="683">
        <f>+landbouw!N8</f>
        <v>0</v>
      </c>
      <c r="P24" s="683">
        <f>+landbouw!O8</f>
        <v>0</v>
      </c>
      <c r="Q24" s="684">
        <f>+landbouw!P8</f>
        <v>0</v>
      </c>
      <c r="R24" s="686">
        <f>SUM(C24:Q24)</f>
        <v>1925.9811135351763</v>
      </c>
      <c r="S24" s="67"/>
    </row>
    <row r="25" spans="1:19" s="445" customFormat="1" ht="15" thickBot="1">
      <c r="A25" s="826" t="s">
        <v>696</v>
      </c>
      <c r="B25" s="939"/>
      <c r="C25" s="940">
        <f>IF(Onbekend_ele_kWh="---",0,Onbekend_ele_kWh)/1000+IF(REST_rest_ele_kWh="---",0,REST_rest_ele_kWh)/1000</f>
        <v>404.26100980056202</v>
      </c>
      <c r="D25" s="940"/>
      <c r="E25" s="940">
        <f>IF(onbekend_gas_kWh="---",0,onbekend_gas_kWh)/1000+IF(REST_rest_gas_kWh="---",0,REST_rest_gas_kWh)/1000</f>
        <v>564.06020522233405</v>
      </c>
      <c r="F25" s="940"/>
      <c r="G25" s="940"/>
      <c r="H25" s="940"/>
      <c r="I25" s="940"/>
      <c r="J25" s="940"/>
      <c r="K25" s="940"/>
      <c r="L25" s="940"/>
      <c r="M25" s="940"/>
      <c r="N25" s="940"/>
      <c r="O25" s="940"/>
      <c r="P25" s="940"/>
      <c r="Q25" s="941"/>
      <c r="R25" s="686">
        <f>SUM(C25:Q25)</f>
        <v>968.32121502289601</v>
      </c>
      <c r="S25" s="67"/>
    </row>
    <row r="26" spans="1:19" s="445" customFormat="1" ht="15.75" thickBot="1">
      <c r="A26" s="691" t="s">
        <v>697</v>
      </c>
      <c r="B26" s="812"/>
      <c r="C26" s="807">
        <f>SUM(C24:C25)</f>
        <v>799.57989107123194</v>
      </c>
      <c r="D26" s="807">
        <f t="shared" ref="D26:R26" si="2">SUM(D24:D25)</f>
        <v>0</v>
      </c>
      <c r="E26" s="807">
        <f t="shared" si="2"/>
        <v>731.50728710796625</v>
      </c>
      <c r="F26" s="807">
        <f t="shared" si="2"/>
        <v>11.322601761619623</v>
      </c>
      <c r="G26" s="807">
        <f t="shared" si="2"/>
        <v>1251.3753710685967</v>
      </c>
      <c r="H26" s="807">
        <f t="shared" si="2"/>
        <v>0</v>
      </c>
      <c r="I26" s="807">
        <f t="shared" si="2"/>
        <v>0</v>
      </c>
      <c r="J26" s="807">
        <f t="shared" si="2"/>
        <v>0</v>
      </c>
      <c r="K26" s="807">
        <f t="shared" si="2"/>
        <v>100.51717754865793</v>
      </c>
      <c r="L26" s="807">
        <f t="shared" si="2"/>
        <v>0</v>
      </c>
      <c r="M26" s="807">
        <f t="shared" si="2"/>
        <v>0</v>
      </c>
      <c r="N26" s="807">
        <f t="shared" si="2"/>
        <v>0</v>
      </c>
      <c r="O26" s="807">
        <f t="shared" si="2"/>
        <v>0</v>
      </c>
      <c r="P26" s="807">
        <f t="shared" si="2"/>
        <v>0</v>
      </c>
      <c r="Q26" s="807">
        <f t="shared" si="2"/>
        <v>0</v>
      </c>
      <c r="R26" s="807">
        <f t="shared" si="2"/>
        <v>2894.3023285580721</v>
      </c>
      <c r="S26" s="67"/>
    </row>
    <row r="27" spans="1:19" s="445" customFormat="1" ht="17.25" thickTop="1" thickBot="1">
      <c r="A27" s="692" t="s">
        <v>115</v>
      </c>
      <c r="B27" s="799"/>
      <c r="C27" s="693">
        <f ca="1">C22+C16+C26</f>
        <v>32431.90263664434</v>
      </c>
      <c r="D27" s="693">
        <f t="shared" ref="D27:R27" ca="1" si="3">D22+D16+D26</f>
        <v>60.75</v>
      </c>
      <c r="E27" s="693">
        <f t="shared" ca="1" si="3"/>
        <v>40313.514943932627</v>
      </c>
      <c r="F27" s="693">
        <f t="shared" si="3"/>
        <v>1527.0639771885999</v>
      </c>
      <c r="G27" s="693">
        <f t="shared" ca="1" si="3"/>
        <v>33626.209595366476</v>
      </c>
      <c r="H27" s="693">
        <f t="shared" si="3"/>
        <v>43432.900902895672</v>
      </c>
      <c r="I27" s="693">
        <f t="shared" si="3"/>
        <v>15132.760434231124</v>
      </c>
      <c r="J27" s="693">
        <f t="shared" si="3"/>
        <v>0</v>
      </c>
      <c r="K27" s="693">
        <f t="shared" si="3"/>
        <v>269.51907824073885</v>
      </c>
      <c r="L27" s="693">
        <f t="shared" si="3"/>
        <v>0</v>
      </c>
      <c r="M27" s="693">
        <f t="shared" ca="1" si="3"/>
        <v>0</v>
      </c>
      <c r="N27" s="693">
        <f t="shared" si="3"/>
        <v>3566.6296743219114</v>
      </c>
      <c r="O27" s="693">
        <f t="shared" ca="1" si="3"/>
        <v>5481.8354662961647</v>
      </c>
      <c r="P27" s="693">
        <f t="shared" si="3"/>
        <v>272.60635081783755</v>
      </c>
      <c r="Q27" s="693">
        <f t="shared" si="3"/>
        <v>842.45542815094166</v>
      </c>
      <c r="R27" s="693">
        <f t="shared" ca="1" si="3"/>
        <v>176958.14848808644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2192.5227265299441</v>
      </c>
      <c r="D40" s="683">
        <f ca="1">tertiair!C20</f>
        <v>0</v>
      </c>
      <c r="E40" s="683">
        <f ca="1">tertiair!D20</f>
        <v>1812.0459244119465</v>
      </c>
      <c r="F40" s="683">
        <f>tertiair!E20</f>
        <v>9.1086872213927954</v>
      </c>
      <c r="G40" s="683">
        <f ca="1">tertiair!F20</f>
        <v>644.13565612069397</v>
      </c>
      <c r="H40" s="683">
        <f>tertiair!G20</f>
        <v>0</v>
      </c>
      <c r="I40" s="683">
        <f>tertiair!H20</f>
        <v>0</v>
      </c>
      <c r="J40" s="683">
        <f>tertiair!I20</f>
        <v>0</v>
      </c>
      <c r="K40" s="683">
        <f>tertiair!J20</f>
        <v>7.4887797027633901E-3</v>
      </c>
      <c r="L40" s="683">
        <f>tertiair!K20</f>
        <v>0</v>
      </c>
      <c r="M40" s="683">
        <f ca="1">tertiair!L20</f>
        <v>0</v>
      </c>
      <c r="N40" s="683">
        <f>tertiair!M20</f>
        <v>0</v>
      </c>
      <c r="O40" s="683">
        <f ca="1">tertiair!N20</f>
        <v>0</v>
      </c>
      <c r="P40" s="683">
        <f>tertiair!O20</f>
        <v>0</v>
      </c>
      <c r="Q40" s="766">
        <f>tertiair!P20</f>
        <v>0</v>
      </c>
      <c r="R40" s="845">
        <f t="shared" ca="1" si="4"/>
        <v>4657.8204830636796</v>
      </c>
    </row>
    <row r="41" spans="1:18">
      <c r="A41" s="817" t="s">
        <v>220</v>
      </c>
      <c r="B41" s="824"/>
      <c r="C41" s="683">
        <f ca="1">huishoudens!B12</f>
        <v>2909.0126765778009</v>
      </c>
      <c r="D41" s="683">
        <f ca="1">huishoudens!C12</f>
        <v>0</v>
      </c>
      <c r="E41" s="683">
        <f>huishoudens!D12</f>
        <v>6004.5722163316304</v>
      </c>
      <c r="F41" s="683">
        <f>huishoudens!E12</f>
        <v>307.02583875116426</v>
      </c>
      <c r="G41" s="683">
        <f>huishoudens!F12</f>
        <v>7911.0733935120506</v>
      </c>
      <c r="H41" s="683">
        <f>huishoudens!G12</f>
        <v>0</v>
      </c>
      <c r="I41" s="683">
        <f>huishoudens!H12</f>
        <v>0</v>
      </c>
      <c r="J41" s="683">
        <f>huishoudens!I12</f>
        <v>0</v>
      </c>
      <c r="K41" s="683">
        <f>huishoudens!J12</f>
        <v>59.777039988174955</v>
      </c>
      <c r="L41" s="683">
        <f>huishoudens!K12</f>
        <v>0</v>
      </c>
      <c r="M41" s="683">
        <f>huishoudens!L12</f>
        <v>0</v>
      </c>
      <c r="N41" s="683">
        <f>huishoudens!M12</f>
        <v>0</v>
      </c>
      <c r="O41" s="683">
        <f>huishoudens!N12</f>
        <v>0</v>
      </c>
      <c r="P41" s="683">
        <f>huishoudens!O12</f>
        <v>0</v>
      </c>
      <c r="Q41" s="766">
        <f>huishoudens!P12</f>
        <v>0</v>
      </c>
      <c r="R41" s="845">
        <f t="shared" ca="1" si="4"/>
        <v>17191.461165160821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115.39966486241414</v>
      </c>
      <c r="D43" s="683">
        <f ca="1">industrie!C22</f>
        <v>0</v>
      </c>
      <c r="E43" s="683">
        <f>industrie!D22</f>
        <v>116.25383188762102</v>
      </c>
      <c r="F43" s="683">
        <f>industrie!E22</f>
        <v>0.74319058299865459</v>
      </c>
      <c r="G43" s="683">
        <f>industrie!F22</f>
        <v>88.871688254789433</v>
      </c>
      <c r="H43" s="683">
        <f>industrie!G22</f>
        <v>0</v>
      </c>
      <c r="I43" s="683">
        <f>industrie!H22</f>
        <v>0</v>
      </c>
      <c r="J43" s="683">
        <f>industrie!I22</f>
        <v>0</v>
      </c>
      <c r="K43" s="683">
        <f>industrie!J22</f>
        <v>4.2144077118929681E-2</v>
      </c>
      <c r="L43" s="683">
        <f>industrie!K22</f>
        <v>0</v>
      </c>
      <c r="M43" s="683">
        <f>industrie!L22</f>
        <v>0</v>
      </c>
      <c r="N43" s="683">
        <f>industrie!M22</f>
        <v>0</v>
      </c>
      <c r="O43" s="683">
        <f>industrie!N22</f>
        <v>0</v>
      </c>
      <c r="P43" s="683">
        <f>industrie!O22</f>
        <v>0</v>
      </c>
      <c r="Q43" s="766">
        <f>industrie!P22</f>
        <v>0</v>
      </c>
      <c r="R43" s="844">
        <f t="shared" ca="1" si="4"/>
        <v>321.31051966494215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5216.9350679701593</v>
      </c>
      <c r="D46" s="719">
        <f t="shared" ref="D46:Q46" ca="1" si="5">SUM(D39:D45)</f>
        <v>0</v>
      </c>
      <c r="E46" s="719">
        <f t="shared" ca="1" si="5"/>
        <v>7932.8719726311983</v>
      </c>
      <c r="F46" s="719">
        <f t="shared" si="5"/>
        <v>316.87771655555571</v>
      </c>
      <c r="G46" s="719">
        <f t="shared" ca="1" si="5"/>
        <v>8644.0807378875325</v>
      </c>
      <c r="H46" s="719">
        <f t="shared" si="5"/>
        <v>0</v>
      </c>
      <c r="I46" s="719">
        <f t="shared" si="5"/>
        <v>0</v>
      </c>
      <c r="J46" s="719">
        <f t="shared" si="5"/>
        <v>0</v>
      </c>
      <c r="K46" s="719">
        <f t="shared" si="5"/>
        <v>59.826672844996644</v>
      </c>
      <c r="L46" s="719">
        <f t="shared" si="5"/>
        <v>0</v>
      </c>
      <c r="M46" s="719">
        <f t="shared" ca="1" si="5"/>
        <v>0</v>
      </c>
      <c r="N46" s="719">
        <f t="shared" si="5"/>
        <v>0</v>
      </c>
      <c r="O46" s="719">
        <f t="shared" ca="1" si="5"/>
        <v>0</v>
      </c>
      <c r="P46" s="719">
        <f t="shared" si="5"/>
        <v>0</v>
      </c>
      <c r="Q46" s="719">
        <f t="shared" si="5"/>
        <v>0</v>
      </c>
      <c r="R46" s="719">
        <f ca="1">SUM(R39:R45)</f>
        <v>22170.592167889441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5.6368836531134372</v>
      </c>
      <c r="D49" s="683">
        <f ca="1">transport!C58</f>
        <v>0</v>
      </c>
      <c r="E49" s="683">
        <f>transport!D58</f>
        <v>0</v>
      </c>
      <c r="F49" s="683">
        <f>transport!E58</f>
        <v>0</v>
      </c>
      <c r="G49" s="683">
        <f>transport!F58</f>
        <v>0</v>
      </c>
      <c r="H49" s="683">
        <f>transport!G58</f>
        <v>567.87999593122868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573.51687958434206</v>
      </c>
    </row>
    <row r="50" spans="1:18">
      <c r="A50" s="820" t="s">
        <v>302</v>
      </c>
      <c r="B50" s="830"/>
      <c r="C50" s="689">
        <f ca="1">transport!B18</f>
        <v>25.746169429613992</v>
      </c>
      <c r="D50" s="689">
        <f>transport!C18</f>
        <v>0</v>
      </c>
      <c r="E50" s="689">
        <f>transport!D18</f>
        <v>62.693574047384118</v>
      </c>
      <c r="F50" s="689">
        <f>transport!E18</f>
        <v>27.195575666368835</v>
      </c>
      <c r="G50" s="689">
        <f>transport!F18</f>
        <v>0</v>
      </c>
      <c r="H50" s="689">
        <f>transport!G18</f>
        <v>11028.704545141916</v>
      </c>
      <c r="I50" s="689">
        <f>transport!H18</f>
        <v>3768.0573481235501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14912.397212408832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31.383053082727429</v>
      </c>
      <c r="D52" s="719">
        <f t="shared" ref="D52:Q52" ca="1" si="6">SUM(D48:D51)</f>
        <v>0</v>
      </c>
      <c r="E52" s="719">
        <f t="shared" si="6"/>
        <v>62.693574047384118</v>
      </c>
      <c r="F52" s="719">
        <f t="shared" si="6"/>
        <v>27.195575666368835</v>
      </c>
      <c r="G52" s="719">
        <f t="shared" si="6"/>
        <v>0</v>
      </c>
      <c r="H52" s="719">
        <f t="shared" si="6"/>
        <v>11596.584541073145</v>
      </c>
      <c r="I52" s="719">
        <f t="shared" si="6"/>
        <v>3768.0573481235501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15485.914091993174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65.589848233878783</v>
      </c>
      <c r="D54" s="689">
        <f ca="1">+landbouw!C12</f>
        <v>0</v>
      </c>
      <c r="E54" s="689">
        <f>+landbouw!D12</f>
        <v>33.824310540897699</v>
      </c>
      <c r="F54" s="689">
        <f>+landbouw!E12</f>
        <v>2.5702305998876547</v>
      </c>
      <c r="G54" s="689">
        <f>+landbouw!F12</f>
        <v>334.11722407531533</v>
      </c>
      <c r="H54" s="689">
        <f>+landbouw!G12</f>
        <v>0</v>
      </c>
      <c r="I54" s="689">
        <f>+landbouw!H12</f>
        <v>0</v>
      </c>
      <c r="J54" s="689">
        <f>+landbouw!I12</f>
        <v>0</v>
      </c>
      <c r="K54" s="689">
        <f>+landbouw!J12</f>
        <v>35.583080852224903</v>
      </c>
      <c r="L54" s="689">
        <f>+landbouw!K12</f>
        <v>0</v>
      </c>
      <c r="M54" s="689">
        <f>+landbouw!L12</f>
        <v>0</v>
      </c>
      <c r="N54" s="689">
        <f>+landbouw!M12</f>
        <v>0</v>
      </c>
      <c r="O54" s="689">
        <f>+landbouw!N12</f>
        <v>0</v>
      </c>
      <c r="P54" s="689">
        <f>+landbouw!O12</f>
        <v>0</v>
      </c>
      <c r="Q54" s="690">
        <f>+landbouw!P12</f>
        <v>0</v>
      </c>
      <c r="R54" s="718">
        <f ca="1">SUM(C54:Q54)</f>
        <v>471.68469430220438</v>
      </c>
    </row>
    <row r="55" spans="1:18" ht="15" thickBot="1">
      <c r="A55" s="820" t="s">
        <v>696</v>
      </c>
      <c r="B55" s="830"/>
      <c r="C55" s="689">
        <f ca="1">C25*'EF ele_warmte'!B12</f>
        <v>67.073493161938458</v>
      </c>
      <c r="D55" s="689"/>
      <c r="E55" s="689">
        <f>E25*EF_CO2_aardgas</f>
        <v>113.94016145491149</v>
      </c>
      <c r="F55" s="689"/>
      <c r="G55" s="689"/>
      <c r="H55" s="689"/>
      <c r="I55" s="689"/>
      <c r="J55" s="689"/>
      <c r="K55" s="689"/>
      <c r="L55" s="689"/>
      <c r="M55" s="689"/>
      <c r="N55" s="689"/>
      <c r="O55" s="689"/>
      <c r="P55" s="689"/>
      <c r="Q55" s="690"/>
      <c r="R55" s="718">
        <f ca="1">SUM(C55:Q55)</f>
        <v>181.01365461684995</v>
      </c>
    </row>
    <row r="56" spans="1:18" ht="15.75" thickBot="1">
      <c r="A56" s="818" t="s">
        <v>697</v>
      </c>
      <c r="B56" s="831"/>
      <c r="C56" s="719">
        <f ca="1">SUM(C54:C55)</f>
        <v>132.66334139581724</v>
      </c>
      <c r="D56" s="719">
        <f t="shared" ref="D56:Q56" ca="1" si="7">SUM(D54:D55)</f>
        <v>0</v>
      </c>
      <c r="E56" s="719">
        <f t="shared" si="7"/>
        <v>147.76447199580917</v>
      </c>
      <c r="F56" s="719">
        <f t="shared" si="7"/>
        <v>2.5702305998876547</v>
      </c>
      <c r="G56" s="719">
        <f t="shared" si="7"/>
        <v>334.11722407531533</v>
      </c>
      <c r="H56" s="719">
        <f t="shared" si="7"/>
        <v>0</v>
      </c>
      <c r="I56" s="719">
        <f t="shared" si="7"/>
        <v>0</v>
      </c>
      <c r="J56" s="719">
        <f t="shared" si="7"/>
        <v>0</v>
      </c>
      <c r="K56" s="719">
        <f t="shared" si="7"/>
        <v>35.583080852224903</v>
      </c>
      <c r="L56" s="719">
        <f t="shared" si="7"/>
        <v>0</v>
      </c>
      <c r="M56" s="719">
        <f t="shared" si="7"/>
        <v>0</v>
      </c>
      <c r="N56" s="719">
        <f t="shared" si="7"/>
        <v>0</v>
      </c>
      <c r="O56" s="719">
        <f t="shared" si="7"/>
        <v>0</v>
      </c>
      <c r="P56" s="719">
        <f t="shared" si="7"/>
        <v>0</v>
      </c>
      <c r="Q56" s="720">
        <f t="shared" si="7"/>
        <v>0</v>
      </c>
      <c r="R56" s="721">
        <f ca="1">SUM(R54:R55)</f>
        <v>652.6983489190543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5380.9814624487035</v>
      </c>
      <c r="D61" s="727">
        <f t="shared" ref="D61:Q61" ca="1" si="8">D46+D52+D56</f>
        <v>0</v>
      </c>
      <c r="E61" s="727">
        <f t="shared" ca="1" si="8"/>
        <v>8143.3300186743918</v>
      </c>
      <c r="F61" s="727">
        <f t="shared" si="8"/>
        <v>346.64352282181221</v>
      </c>
      <c r="G61" s="727">
        <f t="shared" ca="1" si="8"/>
        <v>8978.1979619628473</v>
      </c>
      <c r="H61" s="727">
        <f t="shared" si="8"/>
        <v>11596.584541073145</v>
      </c>
      <c r="I61" s="727">
        <f t="shared" si="8"/>
        <v>3768.0573481235501</v>
      </c>
      <c r="J61" s="727">
        <f t="shared" si="8"/>
        <v>0</v>
      </c>
      <c r="K61" s="727">
        <f t="shared" si="8"/>
        <v>95.409753697221547</v>
      </c>
      <c r="L61" s="727">
        <f t="shared" si="8"/>
        <v>0</v>
      </c>
      <c r="M61" s="727">
        <f t="shared" ca="1" si="8"/>
        <v>0</v>
      </c>
      <c r="N61" s="727">
        <f t="shared" si="8"/>
        <v>0</v>
      </c>
      <c r="O61" s="727">
        <f t="shared" ca="1" si="8"/>
        <v>0</v>
      </c>
      <c r="P61" s="727">
        <f t="shared" si="8"/>
        <v>0</v>
      </c>
      <c r="Q61" s="727">
        <f t="shared" si="8"/>
        <v>0</v>
      </c>
      <c r="R61" s="727">
        <f ca="1">R46+R52+R56</f>
        <v>38309.204608801672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0.1659163053964281</v>
      </c>
      <c r="D63" s="773">
        <f t="shared" ca="1" si="9"/>
        <v>0</v>
      </c>
      <c r="E63" s="965">
        <f t="shared" ca="1" si="9"/>
        <v>0.20200000000000004</v>
      </c>
      <c r="F63" s="773">
        <f t="shared" si="9"/>
        <v>0.22700000000000004</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3165.0702273741886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54</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63.529411764705884</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4864.5</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13898.571428571429</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8083.5702273741881</v>
      </c>
      <c r="C78" s="745">
        <f>SUM(C72:C77)</f>
        <v>0</v>
      </c>
      <c r="D78" s="746">
        <f t="shared" ref="D78:H78" si="10">SUM(D76:D77)</f>
        <v>0</v>
      </c>
      <c r="E78" s="746">
        <f t="shared" si="10"/>
        <v>0</v>
      </c>
      <c r="F78" s="746">
        <f t="shared" si="10"/>
        <v>0</v>
      </c>
      <c r="G78" s="746">
        <f t="shared" si="10"/>
        <v>0</v>
      </c>
      <c r="H78" s="746">
        <f t="shared" si="10"/>
        <v>0</v>
      </c>
      <c r="I78" s="746">
        <f>SUM(I76:I77)</f>
        <v>63.529411764705884</v>
      </c>
      <c r="J78" s="746">
        <f>SUM(J76:J77)</f>
        <v>13898.571428571429</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60.75</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71.470588235294116</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60.75</v>
      </c>
      <c r="C90" s="745">
        <f>SUM(C87:C89)</f>
        <v>0</v>
      </c>
      <c r="D90" s="745">
        <f t="shared" ref="D90:H90" si="12">SUM(D87:D89)</f>
        <v>0</v>
      </c>
      <c r="E90" s="745">
        <f t="shared" si="12"/>
        <v>0</v>
      </c>
      <c r="F90" s="745">
        <f t="shared" si="12"/>
        <v>0</v>
      </c>
      <c r="G90" s="745">
        <f t="shared" si="12"/>
        <v>0</v>
      </c>
      <c r="H90" s="745">
        <f t="shared" si="12"/>
        <v>0</v>
      </c>
      <c r="I90" s="745">
        <f>SUM(I87:I89)</f>
        <v>71.470588235294116</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17533.012621196103</v>
      </c>
      <c r="C4" s="449">
        <f>huishoudens!C8</f>
        <v>0</v>
      </c>
      <c r="D4" s="449">
        <f>huishoudens!D8</f>
        <v>29725.605031344701</v>
      </c>
      <c r="E4" s="449">
        <f>huishoudens!E8</f>
        <v>1352.5367345866266</v>
      </c>
      <c r="F4" s="449">
        <f>huishoudens!F8</f>
        <v>29629.48836521367</v>
      </c>
      <c r="G4" s="449">
        <f>huishoudens!G8</f>
        <v>0</v>
      </c>
      <c r="H4" s="449">
        <f>huishoudens!H8</f>
        <v>0</v>
      </c>
      <c r="I4" s="449">
        <f>huishoudens!I8</f>
        <v>0</v>
      </c>
      <c r="J4" s="449">
        <f>huishoudens!J8</f>
        <v>168.86169488185016</v>
      </c>
      <c r="K4" s="449">
        <f>huishoudens!K8</f>
        <v>0</v>
      </c>
      <c r="L4" s="449">
        <f>huishoudens!L8</f>
        <v>0</v>
      </c>
      <c r="M4" s="449">
        <f>huishoudens!M8</f>
        <v>0</v>
      </c>
      <c r="N4" s="449">
        <f>huishoudens!N8</f>
        <v>5454.030020948685</v>
      </c>
      <c r="O4" s="449">
        <f>huishoudens!O8</f>
        <v>257.91456852031411</v>
      </c>
      <c r="P4" s="450">
        <f>huishoudens!P8</f>
        <v>737.37715153795159</v>
      </c>
      <c r="Q4" s="451">
        <f>SUM(B4:P4)</f>
        <v>84858.826188229912</v>
      </c>
    </row>
    <row r="5" spans="1:17">
      <c r="A5" s="448" t="s">
        <v>155</v>
      </c>
      <c r="B5" s="449">
        <f ca="1">tertiair!B16</f>
        <v>12743.747842286979</v>
      </c>
      <c r="C5" s="449">
        <f ca="1">tertiair!C16</f>
        <v>60.75</v>
      </c>
      <c r="D5" s="449">
        <f ca="1">tertiair!D16</f>
        <v>8970.524378276963</v>
      </c>
      <c r="E5" s="449">
        <f>tertiair!E16</f>
        <v>40.126375424637864</v>
      </c>
      <c r="F5" s="449">
        <f ca="1">tertiair!F16</f>
        <v>2412.4930940849958</v>
      </c>
      <c r="G5" s="449">
        <f>tertiair!G16</f>
        <v>0</v>
      </c>
      <c r="H5" s="449">
        <f>tertiair!H16</f>
        <v>0</v>
      </c>
      <c r="I5" s="449">
        <f>tertiair!I16</f>
        <v>0</v>
      </c>
      <c r="J5" s="449">
        <f>tertiair!J16</f>
        <v>2.1154744923060426E-2</v>
      </c>
      <c r="K5" s="449">
        <f>tertiair!K16</f>
        <v>0</v>
      </c>
      <c r="L5" s="449">
        <f ca="1">tertiair!L16</f>
        <v>0</v>
      </c>
      <c r="M5" s="449">
        <f>tertiair!M16</f>
        <v>0</v>
      </c>
      <c r="N5" s="449">
        <f ca="1">tertiair!N16</f>
        <v>0</v>
      </c>
      <c r="O5" s="449">
        <f>tertiair!O16</f>
        <v>14.691782297523464</v>
      </c>
      <c r="P5" s="450">
        <f>tertiair!P16</f>
        <v>105.07827661299004</v>
      </c>
      <c r="Q5" s="448">
        <f t="shared" ref="Q5:Q14" ca="1" si="0">SUM(B5:P5)</f>
        <v>24347.432903729012</v>
      </c>
    </row>
    <row r="6" spans="1:17">
      <c r="A6" s="448" t="s">
        <v>193</v>
      </c>
      <c r="B6" s="449">
        <f>'openbare verlichting'!B8</f>
        <v>470.88299999999998</v>
      </c>
      <c r="C6" s="449"/>
      <c r="D6" s="449"/>
      <c r="E6" s="449"/>
      <c r="F6" s="449"/>
      <c r="G6" s="449"/>
      <c r="H6" s="449"/>
      <c r="I6" s="449"/>
      <c r="J6" s="449"/>
      <c r="K6" s="449"/>
      <c r="L6" s="449"/>
      <c r="M6" s="449"/>
      <c r="N6" s="449"/>
      <c r="O6" s="449"/>
      <c r="P6" s="450"/>
      <c r="Q6" s="448">
        <f t="shared" si="0"/>
        <v>470.88299999999998</v>
      </c>
    </row>
    <row r="7" spans="1:17">
      <c r="A7" s="448" t="s">
        <v>111</v>
      </c>
      <c r="B7" s="449">
        <f>landbouw!B8</f>
        <v>395.31888127066998</v>
      </c>
      <c r="C7" s="449">
        <f>landbouw!C8</f>
        <v>0</v>
      </c>
      <c r="D7" s="449">
        <f>landbouw!D8</f>
        <v>167.44708188563217</v>
      </c>
      <c r="E7" s="449">
        <f>landbouw!E8</f>
        <v>11.322601761619623</v>
      </c>
      <c r="F7" s="449">
        <f>landbouw!F8</f>
        <v>1251.3753710685967</v>
      </c>
      <c r="G7" s="449">
        <f>landbouw!G8</f>
        <v>0</v>
      </c>
      <c r="H7" s="449">
        <f>landbouw!H8</f>
        <v>0</v>
      </c>
      <c r="I7" s="449">
        <f>landbouw!I8</f>
        <v>0</v>
      </c>
      <c r="J7" s="449">
        <f>landbouw!J8</f>
        <v>100.51717754865793</v>
      </c>
      <c r="K7" s="449">
        <f>landbouw!K8</f>
        <v>0</v>
      </c>
      <c r="L7" s="449">
        <f>landbouw!L8</f>
        <v>0</v>
      </c>
      <c r="M7" s="449">
        <f>landbouw!M8</f>
        <v>0</v>
      </c>
      <c r="N7" s="449">
        <f>landbouw!N8</f>
        <v>0</v>
      </c>
      <c r="O7" s="449">
        <f>landbouw!O8</f>
        <v>0</v>
      </c>
      <c r="P7" s="450">
        <f>landbouw!P8</f>
        <v>0</v>
      </c>
      <c r="Q7" s="448">
        <f t="shared" si="0"/>
        <v>1925.9811135351763</v>
      </c>
    </row>
    <row r="8" spans="1:17">
      <c r="A8" s="448" t="s">
        <v>617</v>
      </c>
      <c r="B8" s="449">
        <f>industrie!B18</f>
        <v>695.52937902448321</v>
      </c>
      <c r="C8" s="449">
        <f>industrie!C18</f>
        <v>0</v>
      </c>
      <c r="D8" s="449">
        <f>industrie!D18</f>
        <v>575.51401924564857</v>
      </c>
      <c r="E8" s="449">
        <f>industrie!E18</f>
        <v>3.2739673259852626</v>
      </c>
      <c r="F8" s="449">
        <f>industrie!F18</f>
        <v>332.85276499921133</v>
      </c>
      <c r="G8" s="449">
        <f>industrie!G18</f>
        <v>0</v>
      </c>
      <c r="H8" s="449">
        <f>industrie!H18</f>
        <v>0</v>
      </c>
      <c r="I8" s="449">
        <f>industrie!I18</f>
        <v>0</v>
      </c>
      <c r="J8" s="449">
        <f>industrie!J18</f>
        <v>0.11905106530771097</v>
      </c>
      <c r="K8" s="449">
        <f>industrie!K18</f>
        <v>0</v>
      </c>
      <c r="L8" s="449">
        <f>industrie!L18</f>
        <v>0</v>
      </c>
      <c r="M8" s="449">
        <f>industrie!M18</f>
        <v>0</v>
      </c>
      <c r="N8" s="449">
        <f>industrie!N18</f>
        <v>27.805445347480035</v>
      </c>
      <c r="O8" s="449">
        <f>industrie!O18</f>
        <v>0</v>
      </c>
      <c r="P8" s="450">
        <f>industrie!P18</f>
        <v>0</v>
      </c>
      <c r="Q8" s="448">
        <f t="shared" si="0"/>
        <v>1635.0946270081163</v>
      </c>
    </row>
    <row r="9" spans="1:17" s="454" customFormat="1">
      <c r="A9" s="452" t="s">
        <v>543</v>
      </c>
      <c r="B9" s="453">
        <f>transport!B14</f>
        <v>155.17564333474041</v>
      </c>
      <c r="C9" s="453">
        <f>transport!C14</f>
        <v>0</v>
      </c>
      <c r="D9" s="453">
        <f>transport!D14</f>
        <v>310.36422795734711</v>
      </c>
      <c r="E9" s="453">
        <f>transport!E14</f>
        <v>119.80429808973055</v>
      </c>
      <c r="F9" s="453">
        <f>transport!F14</f>
        <v>0</v>
      </c>
      <c r="G9" s="453">
        <f>transport!G14</f>
        <v>41306.009532366726</v>
      </c>
      <c r="H9" s="453">
        <f>transport!H14</f>
        <v>15132.760434231124</v>
      </c>
      <c r="I9" s="453">
        <f>transport!I14</f>
        <v>0</v>
      </c>
      <c r="J9" s="453">
        <f>transport!J14</f>
        <v>0</v>
      </c>
      <c r="K9" s="453">
        <f>transport!K14</f>
        <v>0</v>
      </c>
      <c r="L9" s="453">
        <f>transport!L14</f>
        <v>0</v>
      </c>
      <c r="M9" s="453">
        <f>transport!M14</f>
        <v>3444.5082812588662</v>
      </c>
      <c r="N9" s="453">
        <f>transport!N14</f>
        <v>0</v>
      </c>
      <c r="O9" s="453">
        <f>transport!O14</f>
        <v>0</v>
      </c>
      <c r="P9" s="453">
        <f>transport!P14</f>
        <v>0</v>
      </c>
      <c r="Q9" s="452">
        <f>SUM(B9:P9)</f>
        <v>60468.622417238534</v>
      </c>
    </row>
    <row r="10" spans="1:17">
      <c r="A10" s="448" t="s">
        <v>533</v>
      </c>
      <c r="B10" s="449">
        <f>transport!B54</f>
        <v>33.974259730802743</v>
      </c>
      <c r="C10" s="449">
        <f>transport!C54</f>
        <v>0</v>
      </c>
      <c r="D10" s="449">
        <f>transport!D54</f>
        <v>0</v>
      </c>
      <c r="E10" s="449">
        <f>transport!E54</f>
        <v>0</v>
      </c>
      <c r="F10" s="449">
        <f>transport!F54</f>
        <v>0</v>
      </c>
      <c r="G10" s="449">
        <f>transport!G54</f>
        <v>2126.891370528946</v>
      </c>
      <c r="H10" s="449">
        <f>transport!H54</f>
        <v>0</v>
      </c>
      <c r="I10" s="449">
        <f>transport!I54</f>
        <v>0</v>
      </c>
      <c r="J10" s="449">
        <f>transport!J54</f>
        <v>0</v>
      </c>
      <c r="K10" s="449">
        <f>transport!K54</f>
        <v>0</v>
      </c>
      <c r="L10" s="449">
        <f>transport!L54</f>
        <v>0</v>
      </c>
      <c r="M10" s="449">
        <f>transport!M54</f>
        <v>122.12139306304512</v>
      </c>
      <c r="N10" s="449">
        <f>transport!N54</f>
        <v>0</v>
      </c>
      <c r="O10" s="449">
        <f>transport!O54</f>
        <v>0</v>
      </c>
      <c r="P10" s="450">
        <f>transport!P54</f>
        <v>0</v>
      </c>
      <c r="Q10" s="448">
        <f t="shared" si="0"/>
        <v>2282.9870233227939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404.26100980056202</v>
      </c>
      <c r="C14" s="456"/>
      <c r="D14" s="456">
        <f>'SEAP template'!E25</f>
        <v>564.06020522233405</v>
      </c>
      <c r="E14" s="456"/>
      <c r="F14" s="456"/>
      <c r="G14" s="456"/>
      <c r="H14" s="456"/>
      <c r="I14" s="456"/>
      <c r="J14" s="456"/>
      <c r="K14" s="456"/>
      <c r="L14" s="456"/>
      <c r="M14" s="456"/>
      <c r="N14" s="456"/>
      <c r="O14" s="456"/>
      <c r="P14" s="457"/>
      <c r="Q14" s="448">
        <f t="shared" si="0"/>
        <v>968.32121502289601</v>
      </c>
    </row>
    <row r="15" spans="1:17" s="460" customFormat="1">
      <c r="A15" s="458" t="s">
        <v>537</v>
      </c>
      <c r="B15" s="459">
        <f ca="1">SUM(B4:B14)</f>
        <v>32431.90263664434</v>
      </c>
      <c r="C15" s="459">
        <f t="shared" ref="C15:Q15" ca="1" si="1">SUM(C4:C14)</f>
        <v>60.75</v>
      </c>
      <c r="D15" s="459">
        <f t="shared" ca="1" si="1"/>
        <v>40313.514943932627</v>
      </c>
      <c r="E15" s="459">
        <f t="shared" si="1"/>
        <v>1527.0639771885999</v>
      </c>
      <c r="F15" s="459">
        <f t="shared" ca="1" si="1"/>
        <v>33626.209595366476</v>
      </c>
      <c r="G15" s="459">
        <f t="shared" si="1"/>
        <v>43432.900902895672</v>
      </c>
      <c r="H15" s="459">
        <f t="shared" si="1"/>
        <v>15132.760434231124</v>
      </c>
      <c r="I15" s="459">
        <f t="shared" si="1"/>
        <v>0</v>
      </c>
      <c r="J15" s="459">
        <f t="shared" si="1"/>
        <v>269.51907824073885</v>
      </c>
      <c r="K15" s="459">
        <f t="shared" si="1"/>
        <v>0</v>
      </c>
      <c r="L15" s="459">
        <f t="shared" ca="1" si="1"/>
        <v>0</v>
      </c>
      <c r="M15" s="459">
        <f t="shared" si="1"/>
        <v>3566.6296743219114</v>
      </c>
      <c r="N15" s="459">
        <f t="shared" ca="1" si="1"/>
        <v>5481.8354662961647</v>
      </c>
      <c r="O15" s="459">
        <f t="shared" si="1"/>
        <v>272.60635081783755</v>
      </c>
      <c r="P15" s="459">
        <f t="shared" si="1"/>
        <v>842.45542815094166</v>
      </c>
      <c r="Q15" s="459">
        <f t="shared" ca="1" si="1"/>
        <v>176958.14848808644</v>
      </c>
    </row>
    <row r="17" spans="1:17">
      <c r="A17" s="461" t="s">
        <v>538</v>
      </c>
      <c r="B17" s="778">
        <f ca="1">huishoudens!B10</f>
        <v>0.1659163053964281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2909.0126765778009</v>
      </c>
      <c r="C22" s="449">
        <f t="shared" ref="C22:C32" ca="1" si="3">C4*$C$17</f>
        <v>0</v>
      </c>
      <c r="D22" s="449">
        <f t="shared" ref="D22:D32" si="4">D4*$D$17</f>
        <v>6004.5722163316304</v>
      </c>
      <c r="E22" s="449">
        <f t="shared" ref="E22:E32" si="5">E4*$E$17</f>
        <v>307.02583875116426</v>
      </c>
      <c r="F22" s="449">
        <f t="shared" ref="F22:F32" si="6">F4*$F$17</f>
        <v>7911.0733935120506</v>
      </c>
      <c r="G22" s="449">
        <f t="shared" ref="G22:G32" si="7">G4*$G$17</f>
        <v>0</v>
      </c>
      <c r="H22" s="449">
        <f t="shared" ref="H22:H32" si="8">H4*$H$17</f>
        <v>0</v>
      </c>
      <c r="I22" s="449">
        <f t="shared" ref="I22:I32" si="9">I4*$I$17</f>
        <v>0</v>
      </c>
      <c r="J22" s="449">
        <f t="shared" ref="J22:J32" si="10">J4*$J$17</f>
        <v>59.777039988174955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17191.461165160821</v>
      </c>
    </row>
    <row r="23" spans="1:17">
      <c r="A23" s="448" t="s">
        <v>155</v>
      </c>
      <c r="B23" s="449">
        <f t="shared" ca="1" si="2"/>
        <v>2114.3955588959579</v>
      </c>
      <c r="C23" s="449">
        <f t="shared" ca="1" si="3"/>
        <v>0</v>
      </c>
      <c r="D23" s="449">
        <f t="shared" ca="1" si="4"/>
        <v>1812.0459244119465</v>
      </c>
      <c r="E23" s="449">
        <f t="shared" si="5"/>
        <v>9.1086872213927954</v>
      </c>
      <c r="F23" s="449">
        <f t="shared" ca="1" si="6"/>
        <v>644.13565612069397</v>
      </c>
      <c r="G23" s="449">
        <f t="shared" si="7"/>
        <v>0</v>
      </c>
      <c r="H23" s="449">
        <f t="shared" si="8"/>
        <v>0</v>
      </c>
      <c r="I23" s="449">
        <f t="shared" si="9"/>
        <v>0</v>
      </c>
      <c r="J23" s="449">
        <f t="shared" si="10"/>
        <v>7.4887797027633901E-3</v>
      </c>
      <c r="K23" s="449">
        <f t="shared" si="11"/>
        <v>0</v>
      </c>
      <c r="L23" s="449">
        <f t="shared" ca="1" si="12"/>
        <v>0</v>
      </c>
      <c r="M23" s="449">
        <f t="shared" si="13"/>
        <v>0</v>
      </c>
      <c r="N23" s="449">
        <f t="shared" ca="1" si="14"/>
        <v>0</v>
      </c>
      <c r="O23" s="449">
        <f t="shared" si="15"/>
        <v>0</v>
      </c>
      <c r="P23" s="450">
        <f t="shared" si="16"/>
        <v>0</v>
      </c>
      <c r="Q23" s="448">
        <f t="shared" ref="Q23:Q31" ca="1" si="17">SUM(B23:P23)</f>
        <v>4579.6933154296939</v>
      </c>
    </row>
    <row r="24" spans="1:17">
      <c r="A24" s="448" t="s">
        <v>193</v>
      </c>
      <c r="B24" s="449">
        <f t="shared" ca="1" si="2"/>
        <v>78.127167633986247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78.127167633986247</v>
      </c>
    </row>
    <row r="25" spans="1:17">
      <c r="A25" s="448" t="s">
        <v>111</v>
      </c>
      <c r="B25" s="449">
        <f t="shared" ca="1" si="2"/>
        <v>65.589848233878783</v>
      </c>
      <c r="C25" s="449">
        <f t="shared" ca="1" si="3"/>
        <v>0</v>
      </c>
      <c r="D25" s="449">
        <f t="shared" si="4"/>
        <v>33.824310540897699</v>
      </c>
      <c r="E25" s="449">
        <f t="shared" si="5"/>
        <v>2.5702305998876547</v>
      </c>
      <c r="F25" s="449">
        <f t="shared" si="6"/>
        <v>334.11722407531533</v>
      </c>
      <c r="G25" s="449">
        <f t="shared" si="7"/>
        <v>0</v>
      </c>
      <c r="H25" s="449">
        <f t="shared" si="8"/>
        <v>0</v>
      </c>
      <c r="I25" s="449">
        <f t="shared" si="9"/>
        <v>0</v>
      </c>
      <c r="J25" s="449">
        <f t="shared" si="10"/>
        <v>35.583080852224903</v>
      </c>
      <c r="K25" s="449">
        <f t="shared" si="11"/>
        <v>0</v>
      </c>
      <c r="L25" s="449">
        <f t="shared" si="12"/>
        <v>0</v>
      </c>
      <c r="M25" s="449">
        <f t="shared" si="13"/>
        <v>0</v>
      </c>
      <c r="N25" s="449">
        <f t="shared" si="14"/>
        <v>0</v>
      </c>
      <c r="O25" s="449">
        <f t="shared" si="15"/>
        <v>0</v>
      </c>
      <c r="P25" s="450">
        <f t="shared" si="16"/>
        <v>0</v>
      </c>
      <c r="Q25" s="448">
        <f t="shared" ca="1" si="17"/>
        <v>471.68469430220438</v>
      </c>
    </row>
    <row r="26" spans="1:17">
      <c r="A26" s="448" t="s">
        <v>617</v>
      </c>
      <c r="B26" s="449">
        <f t="shared" ca="1" si="2"/>
        <v>115.39966486241414</v>
      </c>
      <c r="C26" s="449">
        <f t="shared" ca="1" si="3"/>
        <v>0</v>
      </c>
      <c r="D26" s="449">
        <f t="shared" si="4"/>
        <v>116.25383188762102</v>
      </c>
      <c r="E26" s="449">
        <f t="shared" si="5"/>
        <v>0.74319058299865459</v>
      </c>
      <c r="F26" s="449">
        <f t="shared" si="6"/>
        <v>88.871688254789433</v>
      </c>
      <c r="G26" s="449">
        <f t="shared" si="7"/>
        <v>0</v>
      </c>
      <c r="H26" s="449">
        <f t="shared" si="8"/>
        <v>0</v>
      </c>
      <c r="I26" s="449">
        <f t="shared" si="9"/>
        <v>0</v>
      </c>
      <c r="J26" s="449">
        <f t="shared" si="10"/>
        <v>4.2144077118929681E-2</v>
      </c>
      <c r="K26" s="449">
        <f t="shared" si="11"/>
        <v>0</v>
      </c>
      <c r="L26" s="449">
        <f t="shared" si="12"/>
        <v>0</v>
      </c>
      <c r="M26" s="449">
        <f t="shared" si="13"/>
        <v>0</v>
      </c>
      <c r="N26" s="449">
        <f t="shared" si="14"/>
        <v>0</v>
      </c>
      <c r="O26" s="449">
        <f t="shared" si="15"/>
        <v>0</v>
      </c>
      <c r="P26" s="450">
        <f t="shared" si="16"/>
        <v>0</v>
      </c>
      <c r="Q26" s="448">
        <f t="shared" ca="1" si="17"/>
        <v>321.31051966494215</v>
      </c>
    </row>
    <row r="27" spans="1:17" s="454" customFormat="1">
      <c r="A27" s="452" t="s">
        <v>543</v>
      </c>
      <c r="B27" s="772">
        <f t="shared" ca="1" si="2"/>
        <v>25.746169429613992</v>
      </c>
      <c r="C27" s="453">
        <f t="shared" ca="1" si="3"/>
        <v>0</v>
      </c>
      <c r="D27" s="453">
        <f t="shared" si="4"/>
        <v>62.693574047384118</v>
      </c>
      <c r="E27" s="453">
        <f t="shared" si="5"/>
        <v>27.195575666368835</v>
      </c>
      <c r="F27" s="453">
        <f t="shared" si="6"/>
        <v>0</v>
      </c>
      <c r="G27" s="453">
        <f t="shared" si="7"/>
        <v>11028.704545141916</v>
      </c>
      <c r="H27" s="453">
        <f t="shared" si="8"/>
        <v>3768.0573481235501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14912.397212408832</v>
      </c>
    </row>
    <row r="28" spans="1:17" ht="16.5" customHeight="1">
      <c r="A28" s="448" t="s">
        <v>533</v>
      </c>
      <c r="B28" s="449">
        <f t="shared" ca="1" si="2"/>
        <v>5.6368836531134372</v>
      </c>
      <c r="C28" s="449">
        <f t="shared" ca="1" si="3"/>
        <v>0</v>
      </c>
      <c r="D28" s="449">
        <f t="shared" si="4"/>
        <v>0</v>
      </c>
      <c r="E28" s="449">
        <f t="shared" si="5"/>
        <v>0</v>
      </c>
      <c r="F28" s="449">
        <f t="shared" si="6"/>
        <v>0</v>
      </c>
      <c r="G28" s="449">
        <f t="shared" si="7"/>
        <v>567.87999593122868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573.51687958434206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67.073493161938458</v>
      </c>
      <c r="C32" s="449">
        <f t="shared" ca="1" si="3"/>
        <v>0</v>
      </c>
      <c r="D32" s="449">
        <f t="shared" si="4"/>
        <v>113.94016145491149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181.01365461684995</v>
      </c>
    </row>
    <row r="33" spans="1:17" s="460" customFormat="1">
      <c r="A33" s="458" t="s">
        <v>537</v>
      </c>
      <c r="B33" s="459">
        <f ca="1">SUM(B22:B32)</f>
        <v>5380.9814624487044</v>
      </c>
      <c r="C33" s="459">
        <f t="shared" ref="C33:Q33" ca="1" si="19">SUM(C22:C32)</f>
        <v>0</v>
      </c>
      <c r="D33" s="459">
        <f t="shared" ca="1" si="19"/>
        <v>8143.3300186743909</v>
      </c>
      <c r="E33" s="459">
        <f t="shared" si="19"/>
        <v>346.64352282181221</v>
      </c>
      <c r="F33" s="459">
        <f t="shared" ca="1" si="19"/>
        <v>8978.1979619628473</v>
      </c>
      <c r="G33" s="459">
        <f t="shared" si="19"/>
        <v>11596.584541073145</v>
      </c>
      <c r="H33" s="459">
        <f t="shared" si="19"/>
        <v>3768.0573481235501</v>
      </c>
      <c r="I33" s="459">
        <f t="shared" si="19"/>
        <v>0</v>
      </c>
      <c r="J33" s="459">
        <f t="shared" si="19"/>
        <v>95.409753697221561</v>
      </c>
      <c r="K33" s="459">
        <f t="shared" si="19"/>
        <v>0</v>
      </c>
      <c r="L33" s="459">
        <f t="shared" ca="1" si="19"/>
        <v>0</v>
      </c>
      <c r="M33" s="459">
        <f t="shared" si="19"/>
        <v>0</v>
      </c>
      <c r="N33" s="459">
        <f t="shared" ca="1" si="19"/>
        <v>0</v>
      </c>
      <c r="O33" s="459">
        <f t="shared" si="19"/>
        <v>0</v>
      </c>
      <c r="P33" s="459">
        <f t="shared" si="19"/>
        <v>0</v>
      </c>
      <c r="Q33" s="459">
        <f t="shared" ca="1" si="19"/>
        <v>38309.204608801672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3165.0702273741886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54</v>
      </c>
      <c r="C8" s="1016">
        <f>'SEAP template'!C76</f>
        <v>0</v>
      </c>
      <c r="D8" s="1016">
        <f>'SEAP template'!D76</f>
        <v>0</v>
      </c>
      <c r="E8" s="1016">
        <f>'SEAP template'!E76</f>
        <v>0</v>
      </c>
      <c r="F8" s="1016">
        <f>'SEAP template'!F76</f>
        <v>0</v>
      </c>
      <c r="G8" s="1016">
        <f>'SEAP template'!G76</f>
        <v>0</v>
      </c>
      <c r="H8" s="1016">
        <f>'SEAP template'!H76</f>
        <v>0</v>
      </c>
      <c r="I8" s="1016">
        <f>'SEAP template'!I76</f>
        <v>63.529411764705884</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4864.5</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13898.571428571429</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8083.5702273741881</v>
      </c>
      <c r="C10" s="1018">
        <f>SUM(C4:C9)</f>
        <v>0</v>
      </c>
      <c r="D10" s="1018">
        <f t="shared" ref="D10:H10" si="0">SUM(D8:D9)</f>
        <v>0</v>
      </c>
      <c r="E10" s="1018">
        <f t="shared" si="0"/>
        <v>0</v>
      </c>
      <c r="F10" s="1018">
        <f t="shared" si="0"/>
        <v>0</v>
      </c>
      <c r="G10" s="1018">
        <f t="shared" si="0"/>
        <v>0</v>
      </c>
      <c r="H10" s="1018">
        <f t="shared" si="0"/>
        <v>0</v>
      </c>
      <c r="I10" s="1018">
        <f>SUM(I8:I9)</f>
        <v>63.529411764705884</v>
      </c>
      <c r="J10" s="1018">
        <f>SUM(J8:J9)</f>
        <v>13898.571428571429</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0.1659163053964281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60.75</v>
      </c>
      <c r="C17" s="1019">
        <f>'SEAP template'!C87</f>
        <v>0</v>
      </c>
      <c r="D17" s="1017">
        <f>'SEAP template'!D87</f>
        <v>0</v>
      </c>
      <c r="E17" s="1017">
        <f>'SEAP template'!E87</f>
        <v>0</v>
      </c>
      <c r="F17" s="1017">
        <f>'SEAP template'!F87</f>
        <v>0</v>
      </c>
      <c r="G17" s="1017">
        <f>'SEAP template'!G87</f>
        <v>0</v>
      </c>
      <c r="H17" s="1017">
        <f>'SEAP template'!H87</f>
        <v>0</v>
      </c>
      <c r="I17" s="1017">
        <f>'SEAP template'!I87</f>
        <v>71.470588235294116</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60.75</v>
      </c>
      <c r="C20" s="1018">
        <f>SUM(C17:C19)</f>
        <v>0</v>
      </c>
      <c r="D20" s="1018">
        <f t="shared" ref="D20:H20" si="2">SUM(D17:D19)</f>
        <v>0</v>
      </c>
      <c r="E20" s="1018">
        <f t="shared" si="2"/>
        <v>0</v>
      </c>
      <c r="F20" s="1018">
        <f t="shared" si="2"/>
        <v>0</v>
      </c>
      <c r="G20" s="1018">
        <f t="shared" si="2"/>
        <v>0</v>
      </c>
      <c r="H20" s="1018">
        <f t="shared" si="2"/>
        <v>0</v>
      </c>
      <c r="I20" s="1018">
        <f>SUM(I17:I19)</f>
        <v>71.470588235294116</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0.1659163053964281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0.1659163053964281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0.1659163053964281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3887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1801.16</v>
      </c>
      <c r="C14" s="326"/>
      <c r="D14" s="326"/>
      <c r="E14" s="326"/>
      <c r="F14" s="326"/>
    </row>
    <row r="15" spans="1:6">
      <c r="A15" s="1312" t="s">
        <v>183</v>
      </c>
      <c r="B15" s="1313">
        <v>15</v>
      </c>
      <c r="C15" s="326"/>
      <c r="D15" s="326"/>
      <c r="E15" s="326"/>
      <c r="F15" s="326"/>
    </row>
    <row r="16" spans="1:6">
      <c r="A16" s="1312" t="s">
        <v>6</v>
      </c>
      <c r="B16" s="1313">
        <v>418</v>
      </c>
      <c r="C16" s="326"/>
      <c r="D16" s="326"/>
      <c r="E16" s="326"/>
      <c r="F16" s="326"/>
    </row>
    <row r="17" spans="1:6">
      <c r="A17" s="1312" t="s">
        <v>7</v>
      </c>
      <c r="B17" s="1313">
        <v>339</v>
      </c>
      <c r="C17" s="326"/>
      <c r="D17" s="326"/>
      <c r="E17" s="326"/>
      <c r="F17" s="326"/>
    </row>
    <row r="18" spans="1:6">
      <c r="A18" s="1312" t="s">
        <v>8</v>
      </c>
      <c r="B18" s="1313">
        <v>486</v>
      </c>
      <c r="C18" s="326"/>
      <c r="D18" s="326"/>
      <c r="E18" s="326"/>
      <c r="F18" s="326"/>
    </row>
    <row r="19" spans="1:6">
      <c r="A19" s="1312" t="s">
        <v>9</v>
      </c>
      <c r="B19" s="1313">
        <v>462</v>
      </c>
      <c r="C19" s="326"/>
      <c r="D19" s="326"/>
      <c r="E19" s="326"/>
      <c r="F19" s="326"/>
    </row>
    <row r="20" spans="1:6">
      <c r="A20" s="1312" t="s">
        <v>10</v>
      </c>
      <c r="B20" s="1313">
        <v>367</v>
      </c>
      <c r="C20" s="326"/>
      <c r="D20" s="326"/>
      <c r="E20" s="326"/>
      <c r="F20" s="326"/>
    </row>
    <row r="21" spans="1:6">
      <c r="A21" s="1312" t="s">
        <v>11</v>
      </c>
      <c r="B21" s="1313">
        <v>0</v>
      </c>
      <c r="C21" s="326"/>
      <c r="D21" s="326"/>
      <c r="E21" s="326"/>
      <c r="F21" s="326"/>
    </row>
    <row r="22" spans="1:6">
      <c r="A22" s="1312" t="s">
        <v>12</v>
      </c>
      <c r="B22" s="1313">
        <v>528</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272</v>
      </c>
      <c r="C26" s="326"/>
      <c r="D26" s="326"/>
      <c r="E26" s="326"/>
      <c r="F26" s="326"/>
    </row>
    <row r="27" spans="1:6">
      <c r="A27" s="1312" t="s">
        <v>17</v>
      </c>
      <c r="B27" s="1313">
        <v>3</v>
      </c>
      <c r="C27" s="326"/>
      <c r="D27" s="326"/>
      <c r="E27" s="326"/>
      <c r="F27" s="326"/>
    </row>
    <row r="28" spans="1:6" s="43" customFormat="1">
      <c r="A28" s="1314" t="s">
        <v>18</v>
      </c>
      <c r="B28" s="1315">
        <v>18</v>
      </c>
      <c r="C28" s="332"/>
      <c r="D28" s="332"/>
      <c r="E28" s="332"/>
      <c r="F28" s="332"/>
    </row>
    <row r="29" spans="1:6">
      <c r="A29" s="1314" t="s">
        <v>684</v>
      </c>
      <c r="B29" s="1315">
        <v>63</v>
      </c>
      <c r="C29" s="332"/>
      <c r="D29" s="332"/>
      <c r="E29" s="332"/>
      <c r="F29" s="332"/>
    </row>
    <row r="30" spans="1:6">
      <c r="A30" s="1307" t="s">
        <v>685</v>
      </c>
      <c r="B30" s="1316">
        <v>14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9</v>
      </c>
      <c r="F36" s="1313">
        <v>10268.989781379199</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1775</v>
      </c>
      <c r="D39" s="1313">
        <v>32918720.964944299</v>
      </c>
      <c r="E39" s="1313">
        <v>3723</v>
      </c>
      <c r="F39" s="1313">
        <v>14580006.2121579</v>
      </c>
    </row>
    <row r="40" spans="1:6">
      <c r="A40" s="1312" t="s">
        <v>29</v>
      </c>
      <c r="B40" s="1312" t="s">
        <v>28</v>
      </c>
      <c r="C40" s="1313">
        <v>0</v>
      </c>
      <c r="D40" s="1313">
        <v>0</v>
      </c>
      <c r="E40" s="1313">
        <v>0</v>
      </c>
      <c r="F40" s="1313">
        <v>0</v>
      </c>
    </row>
    <row r="41" spans="1:6">
      <c r="A41" s="1312" t="s">
        <v>31</v>
      </c>
      <c r="B41" s="1312" t="s">
        <v>32</v>
      </c>
      <c r="C41" s="1313">
        <v>19</v>
      </c>
      <c r="D41" s="1313">
        <v>339383.24729637202</v>
      </c>
      <c r="E41" s="1313">
        <v>71</v>
      </c>
      <c r="F41" s="1313">
        <v>504499.063934081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0</v>
      </c>
      <c r="F44" s="1313">
        <v>0</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21479.762966202001</v>
      </c>
      <c r="E48" s="1313">
        <v>6</v>
      </c>
      <c r="F48" s="1313">
        <v>21926.636862837197</v>
      </c>
    </row>
    <row r="49" spans="1:6">
      <c r="A49" s="1312" t="s">
        <v>31</v>
      </c>
      <c r="B49" s="1312" t="s">
        <v>39</v>
      </c>
      <c r="C49" s="1313">
        <v>0</v>
      </c>
      <c r="D49" s="1313">
        <v>0</v>
      </c>
      <c r="E49" s="1313">
        <v>0</v>
      </c>
      <c r="F49" s="1313">
        <v>0</v>
      </c>
    </row>
    <row r="50" spans="1:6">
      <c r="A50" s="1312" t="s">
        <v>31</v>
      </c>
      <c r="B50" s="1312" t="s">
        <v>40</v>
      </c>
      <c r="C50" s="1313">
        <v>4</v>
      </c>
      <c r="D50" s="1313">
        <v>276472.55922319402</v>
      </c>
      <c r="E50" s="1313">
        <v>8</v>
      </c>
      <c r="F50" s="1313">
        <v>169103.67822756499</v>
      </c>
    </row>
    <row r="51" spans="1:6">
      <c r="A51" s="1312" t="s">
        <v>41</v>
      </c>
      <c r="B51" s="1312" t="s">
        <v>42</v>
      </c>
      <c r="C51" s="1313">
        <v>11</v>
      </c>
      <c r="D51" s="1313">
        <v>185434.19920889501</v>
      </c>
      <c r="E51" s="1313">
        <v>49</v>
      </c>
      <c r="F51" s="1313">
        <v>395318.88127066998</v>
      </c>
    </row>
    <row r="52" spans="1:6">
      <c r="A52" s="1312" t="s">
        <v>41</v>
      </c>
      <c r="B52" s="1312" t="s">
        <v>28</v>
      </c>
      <c r="C52" s="1313">
        <v>0</v>
      </c>
      <c r="D52" s="1313">
        <v>0</v>
      </c>
      <c r="E52" s="1313">
        <v>0</v>
      </c>
      <c r="F52" s="1313">
        <v>0</v>
      </c>
    </row>
    <row r="53" spans="1:6">
      <c r="A53" s="1312" t="s">
        <v>43</v>
      </c>
      <c r="B53" s="1312" t="s">
        <v>44</v>
      </c>
      <c r="C53" s="1313">
        <v>36</v>
      </c>
      <c r="D53" s="1313">
        <v>564060.20522233401</v>
      </c>
      <c r="E53" s="1313">
        <v>119</v>
      </c>
      <c r="F53" s="1313">
        <v>404261.00980056199</v>
      </c>
    </row>
    <row r="54" spans="1:6">
      <c r="A54" s="1312" t="s">
        <v>45</v>
      </c>
      <c r="B54" s="1312" t="s">
        <v>46</v>
      </c>
      <c r="C54" s="1313">
        <v>0</v>
      </c>
      <c r="D54" s="1313">
        <v>0</v>
      </c>
      <c r="E54" s="1313">
        <v>1</v>
      </c>
      <c r="F54" s="1313">
        <v>470883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18</v>
      </c>
      <c r="D57" s="1313">
        <v>499082.22646703798</v>
      </c>
      <c r="E57" s="1313">
        <v>41</v>
      </c>
      <c r="F57" s="1313">
        <v>2091594.3170644401</v>
      </c>
    </row>
    <row r="58" spans="1:6">
      <c r="A58" s="1312" t="s">
        <v>48</v>
      </c>
      <c r="B58" s="1312" t="s">
        <v>50</v>
      </c>
      <c r="C58" s="1313">
        <v>44</v>
      </c>
      <c r="D58" s="1313">
        <v>2577952.6373884301</v>
      </c>
      <c r="E58" s="1313">
        <v>49</v>
      </c>
      <c r="F58" s="1313">
        <v>979893.94664013595</v>
      </c>
    </row>
    <row r="59" spans="1:6">
      <c r="A59" s="1312" t="s">
        <v>48</v>
      </c>
      <c r="B59" s="1312" t="s">
        <v>51</v>
      </c>
      <c r="C59" s="1313">
        <v>38</v>
      </c>
      <c r="D59" s="1313">
        <v>1101142.5199374901</v>
      </c>
      <c r="E59" s="1313">
        <v>79</v>
      </c>
      <c r="F59" s="1313">
        <v>1564701.63201571</v>
      </c>
    </row>
    <row r="60" spans="1:6">
      <c r="A60" s="1312" t="s">
        <v>48</v>
      </c>
      <c r="B60" s="1312" t="s">
        <v>52</v>
      </c>
      <c r="C60" s="1313">
        <v>14</v>
      </c>
      <c r="D60" s="1313">
        <v>524484.57927323005</v>
      </c>
      <c r="E60" s="1313">
        <v>30</v>
      </c>
      <c r="F60" s="1313">
        <v>566741.84137487004</v>
      </c>
    </row>
    <row r="61" spans="1:6">
      <c r="A61" s="1312" t="s">
        <v>48</v>
      </c>
      <c r="B61" s="1312" t="s">
        <v>53</v>
      </c>
      <c r="C61" s="1313">
        <v>91</v>
      </c>
      <c r="D61" s="1313">
        <v>4052696.5319348602</v>
      </c>
      <c r="E61" s="1313">
        <v>190</v>
      </c>
      <c r="F61" s="1313">
        <v>2107975.4009536998</v>
      </c>
    </row>
    <row r="62" spans="1:6">
      <c r="A62" s="1312" t="s">
        <v>48</v>
      </c>
      <c r="B62" s="1312" t="s">
        <v>54</v>
      </c>
      <c r="C62" s="1313">
        <v>6</v>
      </c>
      <c r="D62" s="1313">
        <v>1178777.02911519</v>
      </c>
      <c r="E62" s="1313">
        <v>10</v>
      </c>
      <c r="F62" s="1313">
        <v>514340.70423812303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9370.6607695173007</v>
      </c>
      <c r="E65" s="1313">
        <v>0</v>
      </c>
      <c r="F65" s="1313">
        <v>0</v>
      </c>
    </row>
    <row r="66" spans="1:6">
      <c r="A66" s="1312" t="s">
        <v>55</v>
      </c>
      <c r="B66" s="1312" t="s">
        <v>57</v>
      </c>
      <c r="C66" s="1313">
        <v>0</v>
      </c>
      <c r="D66" s="1313">
        <v>0</v>
      </c>
      <c r="E66" s="1313">
        <v>4</v>
      </c>
      <c r="F66" s="1313">
        <v>18995.134348504002</v>
      </c>
    </row>
    <row r="67" spans="1:6">
      <c r="A67" s="1314" t="s">
        <v>55</v>
      </c>
      <c r="B67" s="1314" t="s">
        <v>58</v>
      </c>
      <c r="C67" s="1313">
        <v>0</v>
      </c>
      <c r="D67" s="1313">
        <v>0</v>
      </c>
      <c r="E67" s="1313">
        <v>0</v>
      </c>
      <c r="F67" s="1313">
        <v>0</v>
      </c>
    </row>
    <row r="68" spans="1:6">
      <c r="A68" s="1307" t="s">
        <v>55</v>
      </c>
      <c r="B68" s="1307" t="s">
        <v>59</v>
      </c>
      <c r="C68" s="1316">
        <v>0</v>
      </c>
      <c r="D68" s="1316">
        <v>0</v>
      </c>
      <c r="E68" s="1316">
        <v>4</v>
      </c>
      <c r="F68" s="1316">
        <v>46566.9317484032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36328078</v>
      </c>
      <c r="E73" s="447"/>
      <c r="F73" s="326"/>
    </row>
    <row r="74" spans="1:6">
      <c r="A74" s="1312" t="s">
        <v>63</v>
      </c>
      <c r="B74" s="1312" t="s">
        <v>638</v>
      </c>
      <c r="C74" s="1326" t="s">
        <v>640</v>
      </c>
      <c r="D74" s="1327">
        <v>1502605.028831244</v>
      </c>
      <c r="E74" s="447"/>
      <c r="F74" s="326"/>
    </row>
    <row r="75" spans="1:6">
      <c r="A75" s="1312" t="s">
        <v>64</v>
      </c>
      <c r="B75" s="1312" t="s">
        <v>637</v>
      </c>
      <c r="C75" s="1326" t="s">
        <v>641</v>
      </c>
      <c r="D75" s="1327">
        <v>34663890</v>
      </c>
      <c r="E75" s="447"/>
      <c r="F75" s="326"/>
    </row>
    <row r="76" spans="1:6">
      <c r="A76" s="1312" t="s">
        <v>64</v>
      </c>
      <c r="B76" s="1312" t="s">
        <v>638</v>
      </c>
      <c r="C76" s="1326" t="s">
        <v>642</v>
      </c>
      <c r="D76" s="1327">
        <v>904343.02883124398</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633693.94233751204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2953.0064090382048</v>
      </c>
      <c r="C91" s="326"/>
      <c r="D91" s="326"/>
      <c r="E91" s="326"/>
      <c r="F91" s="326"/>
    </row>
    <row r="92" spans="1:6">
      <c r="A92" s="1307" t="s">
        <v>68</v>
      </c>
      <c r="B92" s="1308">
        <v>212.06381833598363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519</v>
      </c>
      <c r="C97" s="326"/>
      <c r="D97" s="326"/>
      <c r="E97" s="326"/>
      <c r="F97" s="326"/>
    </row>
    <row r="98" spans="1:6">
      <c r="A98" s="1312" t="s">
        <v>71</v>
      </c>
      <c r="B98" s="1313">
        <v>1</v>
      </c>
      <c r="C98" s="326"/>
      <c r="D98" s="326"/>
      <c r="E98" s="326"/>
      <c r="F98" s="326"/>
    </row>
    <row r="99" spans="1:6">
      <c r="A99" s="1312" t="s">
        <v>72</v>
      </c>
      <c r="B99" s="1313">
        <v>94</v>
      </c>
      <c r="C99" s="326"/>
      <c r="D99" s="326"/>
      <c r="E99" s="326"/>
      <c r="F99" s="326"/>
    </row>
    <row r="100" spans="1:6">
      <c r="A100" s="1312" t="s">
        <v>73</v>
      </c>
      <c r="B100" s="1313">
        <v>266</v>
      </c>
      <c r="C100" s="326"/>
      <c r="D100" s="326"/>
      <c r="E100" s="326"/>
      <c r="F100" s="326"/>
    </row>
    <row r="101" spans="1:6">
      <c r="A101" s="1312" t="s">
        <v>74</v>
      </c>
      <c r="B101" s="1313">
        <v>58</v>
      </c>
      <c r="C101" s="326"/>
      <c r="D101" s="326"/>
      <c r="E101" s="326"/>
      <c r="F101" s="326"/>
    </row>
    <row r="102" spans="1:6">
      <c r="A102" s="1312" t="s">
        <v>75</v>
      </c>
      <c r="B102" s="1313">
        <v>47</v>
      </c>
      <c r="C102" s="326"/>
      <c r="D102" s="326"/>
      <c r="E102" s="326"/>
      <c r="F102" s="326"/>
    </row>
    <row r="103" spans="1:6">
      <c r="A103" s="1312" t="s">
        <v>76</v>
      </c>
      <c r="B103" s="1313">
        <v>96</v>
      </c>
      <c r="C103" s="326"/>
      <c r="D103" s="326"/>
      <c r="E103" s="326"/>
      <c r="F103" s="326"/>
    </row>
    <row r="104" spans="1:6">
      <c r="A104" s="1312" t="s">
        <v>77</v>
      </c>
      <c r="B104" s="1313">
        <v>2219</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43</v>
      </c>
      <c r="C123" s="1313">
        <v>27</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103</v>
      </c>
      <c r="C129" s="326"/>
      <c r="D129" s="326"/>
      <c r="E129" s="326"/>
      <c r="F129" s="326"/>
    </row>
    <row r="130" spans="1:6">
      <c r="A130" s="1312" t="s">
        <v>290</v>
      </c>
      <c r="B130" s="1313">
        <v>3</v>
      </c>
      <c r="C130" s="326"/>
      <c r="D130" s="326"/>
      <c r="E130" s="326"/>
      <c r="F130" s="326"/>
    </row>
    <row r="131" spans="1:6">
      <c r="A131" s="1312" t="s">
        <v>291</v>
      </c>
      <c r="B131" s="1313">
        <v>1</v>
      </c>
      <c r="C131" s="326"/>
      <c r="D131" s="326"/>
      <c r="E131" s="326"/>
      <c r="F131" s="326"/>
    </row>
    <row r="132" spans="1:6">
      <c r="A132" s="1307" t="s">
        <v>292</v>
      </c>
      <c r="B132" s="1308">
        <v>27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32431.90263664434</v>
      </c>
      <c r="C3" s="43" t="s">
        <v>169</v>
      </c>
      <c r="D3" s="43"/>
      <c r="E3" s="154"/>
      <c r="F3" s="43"/>
      <c r="G3" s="43"/>
      <c r="H3" s="43"/>
      <c r="I3" s="43"/>
      <c r="J3" s="43"/>
      <c r="K3" s="96"/>
    </row>
    <row r="4" spans="1:11">
      <c r="A4" s="354" t="s">
        <v>170</v>
      </c>
      <c r="B4" s="49">
        <f>IF(ISERROR('SEAP template'!B78+'SEAP template'!C78),0,'SEAP template'!B78+'SEAP template'!C78)</f>
        <v>8083.5702273741881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0.1659163053964281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60.75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470.88299999999998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470.88299999999998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0.1659163053964281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78.127167633986247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14580.006212157899</v>
      </c>
      <c r="C5" s="17">
        <f>IF(ISERROR('Eigen informatie GS &amp; warmtenet'!B59),0,'Eigen informatie GS &amp; warmtenet'!B59)</f>
        <v>0</v>
      </c>
      <c r="D5" s="30">
        <f>(SUM(HH_hh_gas_kWh,HH_rest_gas_kWh)/1000)*0.903</f>
        <v>29725.605031344701</v>
      </c>
      <c r="E5" s="17">
        <f>B32*B41</f>
        <v>1352.5367345866266</v>
      </c>
      <c r="F5" s="17">
        <f>B36*B45</f>
        <v>29629.48836521367</v>
      </c>
      <c r="G5" s="18"/>
      <c r="H5" s="17"/>
      <c r="I5" s="17"/>
      <c r="J5" s="17">
        <f>B35*B44+C35*C44</f>
        <v>168.86169488185016</v>
      </c>
      <c r="K5" s="17"/>
      <c r="L5" s="17"/>
      <c r="M5" s="17"/>
      <c r="N5" s="17">
        <f>B34*B43+C34*C43</f>
        <v>5454.030020948685</v>
      </c>
      <c r="O5" s="17">
        <f>B52*B53*B54</f>
        <v>257.91456852031411</v>
      </c>
      <c r="P5" s="17">
        <f>B60*B61*B62/1000-B60*B61*B62/1000/B63</f>
        <v>737.37715153795159</v>
      </c>
    </row>
    <row r="6" spans="1:16">
      <c r="A6" s="16" t="s">
        <v>603</v>
      </c>
      <c r="B6" s="780">
        <f>kWh_PV_kleiner_dan_10kW</f>
        <v>2953.0064090382048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17533.012621196103</v>
      </c>
      <c r="C8" s="21">
        <f>C5</f>
        <v>0</v>
      </c>
      <c r="D8" s="21">
        <f>D5</f>
        <v>29725.605031344701</v>
      </c>
      <c r="E8" s="21">
        <f>E5</f>
        <v>1352.5367345866266</v>
      </c>
      <c r="F8" s="21">
        <f>F5</f>
        <v>29629.48836521367</v>
      </c>
      <c r="G8" s="21"/>
      <c r="H8" s="21"/>
      <c r="I8" s="21"/>
      <c r="J8" s="21">
        <f>J5</f>
        <v>168.86169488185016</v>
      </c>
      <c r="K8" s="21"/>
      <c r="L8" s="21">
        <f>L5</f>
        <v>0</v>
      </c>
      <c r="M8" s="21">
        <f>M5</f>
        <v>0</v>
      </c>
      <c r="N8" s="21">
        <f>N5</f>
        <v>5454.030020948685</v>
      </c>
      <c r="O8" s="21">
        <f>O5</f>
        <v>257.91456852031411</v>
      </c>
      <c r="P8" s="21">
        <f>P5</f>
        <v>737.37715153795159</v>
      </c>
    </row>
    <row r="9" spans="1:16">
      <c r="B9" s="19"/>
      <c r="C9" s="19"/>
      <c r="D9" s="254"/>
      <c r="E9" s="19"/>
      <c r="F9" s="19"/>
      <c r="G9" s="19"/>
      <c r="H9" s="19"/>
      <c r="I9" s="19"/>
      <c r="J9" s="19"/>
      <c r="K9" s="19"/>
      <c r="L9" s="19"/>
      <c r="M9" s="19"/>
      <c r="N9" s="19"/>
      <c r="O9" s="19"/>
      <c r="P9" s="19"/>
    </row>
    <row r="10" spans="1:16">
      <c r="A10" s="24" t="s">
        <v>213</v>
      </c>
      <c r="B10" s="25">
        <f ca="1">'EF ele_warmte'!B12</f>
        <v>0.1659163053964281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2909.0126765778009</v>
      </c>
      <c r="C12" s="23">
        <f ca="1">C10*C8</f>
        <v>0</v>
      </c>
      <c r="D12" s="23">
        <f>D8*D10</f>
        <v>6004.5722163316304</v>
      </c>
      <c r="E12" s="23">
        <f>E10*E8</f>
        <v>307.02583875116426</v>
      </c>
      <c r="F12" s="23">
        <f>F10*F8</f>
        <v>7911.0733935120506</v>
      </c>
      <c r="G12" s="23"/>
      <c r="H12" s="23"/>
      <c r="I12" s="23"/>
      <c r="J12" s="23">
        <f>J10*J8</f>
        <v>59.777039988174955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3887</v>
      </c>
      <c r="C26" s="36"/>
      <c r="D26" s="225"/>
    </row>
    <row r="27" spans="1:5" s="15" customFormat="1">
      <c r="A27" s="227" t="s">
        <v>866</v>
      </c>
      <c r="B27" s="37">
        <f>SUM(HH_hh_gas_aantal,HH_rest_gas_aantal)</f>
        <v>1775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1686.25</v>
      </c>
      <c r="C31" s="34" t="s">
        <v>110</v>
      </c>
      <c r="D31" s="171"/>
    </row>
    <row r="32" spans="1:5">
      <c r="A32" s="168" t="s">
        <v>72</v>
      </c>
      <c r="B32" s="33">
        <f>IF((B21*($B$26-($B$27-0.05*$B$27)-$B$60))&lt;0,0,(B21*($B$26-($B$27-0.05*$B$27)-$B$60)))</f>
        <v>33.826079617101357</v>
      </c>
      <c r="C32" s="34" t="s">
        <v>110</v>
      </c>
      <c r="D32" s="171"/>
    </row>
    <row r="33" spans="1:6">
      <c r="A33" s="168" t="s">
        <v>73</v>
      </c>
      <c r="B33" s="33">
        <f>IF((B22*($B$26-($B$27-0.05*$B$27)-$B$60))&lt;0,0,B22*($B$26-($B$27-0.05*$B$27)-$B$60))</f>
        <v>549.26853969573358</v>
      </c>
      <c r="C33" s="34" t="s">
        <v>110</v>
      </c>
      <c r="D33" s="171"/>
    </row>
    <row r="34" spans="1:6">
      <c r="A34" s="168" t="s">
        <v>74</v>
      </c>
      <c r="B34" s="33">
        <f>IF((B24*($B$26-($B$27-0.05*$B$27)-$B$60))&lt;0,0,B24*($B$26-($B$27-0.05*$B$27)-$B$60))</f>
        <v>105.30212962618361</v>
      </c>
      <c r="C34" s="33">
        <f>B26*C24</f>
        <v>796.4693880280372</v>
      </c>
      <c r="D34" s="230"/>
    </row>
    <row r="35" spans="1:6">
      <c r="A35" s="168" t="s">
        <v>76</v>
      </c>
      <c r="B35" s="33">
        <f>IF((B19*($B$26-($B$27-0.05*$B$27)-$B$60))&lt;0,0,B19*($B$26-($B$27-0.05*$B$27)-$B$60))</f>
        <v>14.704116165972826</v>
      </c>
      <c r="C35" s="33">
        <f>B35/2</f>
        <v>7.3520580829864128</v>
      </c>
      <c r="D35" s="230"/>
    </row>
    <row r="36" spans="1:6">
      <c r="A36" s="168" t="s">
        <v>77</v>
      </c>
      <c r="B36" s="33">
        <f>IF((B18*($B$26-($B$27-0.05*$B$27)-$B$60))&lt;0,0,B18*($B$26-($B$27-0.05*$B$27)-$B$60))</f>
        <v>1427.6491348950083</v>
      </c>
      <c r="C36" s="34" t="s">
        <v>110</v>
      </c>
      <c r="D36" s="171"/>
    </row>
    <row r="37" spans="1:6">
      <c r="A37" s="168" t="s">
        <v>78</v>
      </c>
      <c r="B37" s="33">
        <f>B60</f>
        <v>70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7825.2478422869799</v>
      </c>
      <c r="C5" s="17">
        <f>IF(ISERROR('Eigen informatie GS &amp; warmtenet'!B60),0,'Eigen informatie GS &amp; warmtenet'!B60)</f>
        <v>0</v>
      </c>
      <c r="D5" s="30">
        <f>SUM(D6:D12)</f>
        <v>8970.524378276963</v>
      </c>
      <c r="E5" s="17">
        <f>SUM(E6:E12)</f>
        <v>40.126375424637864</v>
      </c>
      <c r="F5" s="17">
        <f>SUM(F6:F12)</f>
        <v>2412.4930940849958</v>
      </c>
      <c r="G5" s="18"/>
      <c r="H5" s="17"/>
      <c r="I5" s="17"/>
      <c r="J5" s="17">
        <f>SUM(J6:J12)</f>
        <v>2.1154744923060426E-2</v>
      </c>
      <c r="K5" s="17"/>
      <c r="L5" s="17"/>
      <c r="M5" s="17"/>
      <c r="N5" s="17">
        <f>SUM(N6:N12)</f>
        <v>812.25985037455541</v>
      </c>
      <c r="O5" s="17">
        <f>B38*B39*B40</f>
        <v>14.691782297523464</v>
      </c>
      <c r="P5" s="17">
        <f>B46*B47*B48/1000-B46*B47*B48/1000/B49</f>
        <v>105.07827661299004</v>
      </c>
      <c r="R5" s="32"/>
    </row>
    <row r="6" spans="1:18">
      <c r="A6" s="32" t="s">
        <v>53</v>
      </c>
      <c r="B6" s="37">
        <f>B26</f>
        <v>2107.9754009537</v>
      </c>
      <c r="C6" s="33"/>
      <c r="D6" s="37">
        <f>IF(ISERROR(TER_kantoor_gas_kWh/1000),0,TER_kantoor_gas_kWh/1000)*0.903</f>
        <v>3659.5849683371789</v>
      </c>
      <c r="E6" s="33">
        <f>$C$26*'E Balans VL '!I12/100/3.6*1000000</f>
        <v>0.50226840615169055</v>
      </c>
      <c r="F6" s="33">
        <f>$C$26*('E Balans VL '!L12+'E Balans VL '!N12)/100/3.6*1000000</f>
        <v>183.09831361383863</v>
      </c>
      <c r="G6" s="34"/>
      <c r="H6" s="33"/>
      <c r="I6" s="33"/>
      <c r="J6" s="33">
        <f>$C$26*('E Balans VL '!D12+'E Balans VL '!E12)/100/3.6*1000000</f>
        <v>0</v>
      </c>
      <c r="K6" s="33"/>
      <c r="L6" s="33"/>
      <c r="M6" s="33"/>
      <c r="N6" s="33">
        <f>$C$26*'E Balans VL '!Y12/100/3.6*1000000</f>
        <v>2.8176040295528084</v>
      </c>
      <c r="O6" s="33"/>
      <c r="P6" s="33"/>
      <c r="R6" s="32"/>
    </row>
    <row r="7" spans="1:18">
      <c r="A7" s="32" t="s">
        <v>52</v>
      </c>
      <c r="B7" s="37">
        <f t="shared" ref="B7:B12" si="0">B27</f>
        <v>566.74184137487009</v>
      </c>
      <c r="C7" s="33"/>
      <c r="D7" s="37">
        <f>IF(ISERROR(TER_horeca_gas_kWh/1000),0,TER_horeca_gas_kWh/1000)*0.903</f>
        <v>473.60957508372672</v>
      </c>
      <c r="E7" s="33">
        <f>$C$27*'E Balans VL '!I9/100/3.6*1000000</f>
        <v>0</v>
      </c>
      <c r="F7" s="33">
        <f>$C$27*('E Balans VL '!L9+'E Balans VL '!N9)/100/3.6*1000000</f>
        <v>46.179203509839674</v>
      </c>
      <c r="G7" s="34"/>
      <c r="H7" s="33"/>
      <c r="I7" s="33"/>
      <c r="J7" s="33">
        <f>$C$27*('E Balans VL '!D9+'E Balans VL '!E9)/100/3.6*1000000</f>
        <v>0</v>
      </c>
      <c r="K7" s="33"/>
      <c r="L7" s="33"/>
      <c r="M7" s="33"/>
      <c r="N7" s="33">
        <f>$C$27*'E Balans VL '!Y9/100/3.6*1000000</f>
        <v>0.15697693882918057</v>
      </c>
      <c r="O7" s="33"/>
      <c r="P7" s="33"/>
      <c r="R7" s="32"/>
    </row>
    <row r="8" spans="1:18">
      <c r="A8" s="6" t="s">
        <v>51</v>
      </c>
      <c r="B8" s="37">
        <f t="shared" si="0"/>
        <v>1564.7016320157099</v>
      </c>
      <c r="C8" s="33"/>
      <c r="D8" s="37">
        <f>IF(ISERROR(TER_handel_gas_kWh/1000),0,TER_handel_gas_kWh/1000)*0.903</f>
        <v>994.33169550355353</v>
      </c>
      <c r="E8" s="33">
        <f>$C$28*'E Balans VL '!I13/100/3.6*1000000</f>
        <v>12.507621808164561</v>
      </c>
      <c r="F8" s="33">
        <f>$C$28*('E Balans VL '!L13+'E Balans VL '!N13)/100/3.6*1000000</f>
        <v>155.44338038791057</v>
      </c>
      <c r="G8" s="34"/>
      <c r="H8" s="33"/>
      <c r="I8" s="33"/>
      <c r="J8" s="33">
        <f>$C$28*('E Balans VL '!D13+'E Balans VL '!E13)/100/3.6*1000000</f>
        <v>0</v>
      </c>
      <c r="K8" s="33"/>
      <c r="L8" s="33"/>
      <c r="M8" s="33"/>
      <c r="N8" s="33">
        <f>$C$28*'E Balans VL '!Y13/100/3.6*1000000</f>
        <v>0.58450919679854574</v>
      </c>
      <c r="O8" s="33"/>
      <c r="P8" s="33"/>
      <c r="R8" s="32"/>
    </row>
    <row r="9" spans="1:18">
      <c r="A9" s="32" t="s">
        <v>50</v>
      </c>
      <c r="B9" s="37">
        <f t="shared" si="0"/>
        <v>979.89394664013594</v>
      </c>
      <c r="C9" s="33"/>
      <c r="D9" s="37">
        <f>IF(ISERROR(TER_gezond_gas_kWh/1000),0,TER_gezond_gas_kWh/1000)*0.903</f>
        <v>2327.8912315617522</v>
      </c>
      <c r="E9" s="33">
        <f>$C$29*'E Balans VL '!I10/100/3.6*1000000</f>
        <v>0</v>
      </c>
      <c r="F9" s="33">
        <f>$C$29*('E Balans VL '!L10+'E Balans VL '!N10)/100/3.6*1000000</f>
        <v>89.3333012907556</v>
      </c>
      <c r="G9" s="34"/>
      <c r="H9" s="33"/>
      <c r="I9" s="33"/>
      <c r="J9" s="33">
        <f>$C$29*('E Balans VL '!D10+'E Balans VL '!E10)/100/3.6*1000000</f>
        <v>0</v>
      </c>
      <c r="K9" s="33"/>
      <c r="L9" s="33"/>
      <c r="M9" s="33"/>
      <c r="N9" s="33">
        <f>$C$29*'E Balans VL '!Y10/100/3.6*1000000</f>
        <v>7.1621466081373111</v>
      </c>
      <c r="O9" s="33"/>
      <c r="P9" s="33"/>
      <c r="R9" s="32"/>
    </row>
    <row r="10" spans="1:18">
      <c r="A10" s="32" t="s">
        <v>49</v>
      </c>
      <c r="B10" s="37">
        <f t="shared" si="0"/>
        <v>2091.59431706444</v>
      </c>
      <c r="C10" s="33"/>
      <c r="D10" s="37">
        <f>IF(ISERROR(TER_ander_gas_kWh/1000),0,TER_ander_gas_kWh/1000)*0.903</f>
        <v>450.67125049973532</v>
      </c>
      <c r="E10" s="33">
        <f>$C$30*'E Balans VL '!I14/100/3.6*1000000</f>
        <v>27.11648521032161</v>
      </c>
      <c r="F10" s="33">
        <f>$C$30*('E Balans VL '!L14+'E Balans VL '!N14)/100/3.6*1000000</f>
        <v>1918.2856541660938</v>
      </c>
      <c r="G10" s="34"/>
      <c r="H10" s="33"/>
      <c r="I10" s="33"/>
      <c r="J10" s="33">
        <f>$C$30*('E Balans VL '!D14+'E Balans VL '!E14)/100/3.6*1000000</f>
        <v>2.1154744923060426E-2</v>
      </c>
      <c r="K10" s="33"/>
      <c r="L10" s="33"/>
      <c r="M10" s="33"/>
      <c r="N10" s="33">
        <f>$C$30*'E Balans VL '!Y14/100/3.6*1000000</f>
        <v>799.91882764398019</v>
      </c>
      <c r="O10" s="33"/>
      <c r="P10" s="33"/>
      <c r="R10" s="32"/>
    </row>
    <row r="11" spans="1:18">
      <c r="A11" s="32" t="s">
        <v>54</v>
      </c>
      <c r="B11" s="37">
        <f t="shared" si="0"/>
        <v>514.34070423812307</v>
      </c>
      <c r="C11" s="33"/>
      <c r="D11" s="37">
        <f>IF(ISERROR(TER_onderwijs_gas_kWh/1000),0,TER_onderwijs_gas_kWh/1000)*0.903</f>
        <v>1064.4356572910167</v>
      </c>
      <c r="E11" s="33">
        <f>$C$31*'E Balans VL '!I11/100/3.6*1000000</f>
        <v>0</v>
      </c>
      <c r="F11" s="33">
        <f>$C$31*('E Balans VL '!L11+'E Balans VL '!N11)/100/3.6*1000000</f>
        <v>20.153241116557577</v>
      </c>
      <c r="G11" s="34"/>
      <c r="H11" s="33"/>
      <c r="I11" s="33"/>
      <c r="J11" s="33">
        <f>$C$31*('E Balans VL '!D11+'E Balans VL '!E11)/100/3.6*1000000</f>
        <v>0</v>
      </c>
      <c r="K11" s="33"/>
      <c r="L11" s="33"/>
      <c r="M11" s="33"/>
      <c r="N11" s="33">
        <f>$C$31*'E Balans VL '!Y11/100/3.6*1000000</f>
        <v>1.6197859572573761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4918.5</v>
      </c>
      <c r="C13" s="243">
        <f ca="1">'lokale energieproductie'!O38+'lokale energieproductie'!O31</f>
        <v>60.75</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-135</v>
      </c>
      <c r="M13" s="244"/>
      <c r="N13" s="304">
        <f ca="1">('lokale energieproductie'!Q31+'lokale energieproductie'!R31+'lokale energieproductie'!V31+'lokale energieproductie'!Q38+'lokale energieproductie'!R38+'lokale energieproductie'!V38)*(-1)</f>
        <v>-13898.571428571429</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12743.747842286979</v>
      </c>
      <c r="C16" s="21">
        <f t="shared" ca="1" si="1"/>
        <v>60.75</v>
      </c>
      <c r="D16" s="21">
        <f t="shared" ca="1" si="1"/>
        <v>8970.524378276963</v>
      </c>
      <c r="E16" s="21">
        <f t="shared" si="1"/>
        <v>40.126375424637864</v>
      </c>
      <c r="F16" s="21">
        <f t="shared" ca="1" si="1"/>
        <v>2412.4930940849958</v>
      </c>
      <c r="G16" s="21">
        <f t="shared" si="1"/>
        <v>0</v>
      </c>
      <c r="H16" s="21">
        <f t="shared" si="1"/>
        <v>0</v>
      </c>
      <c r="I16" s="21">
        <f t="shared" si="1"/>
        <v>0</v>
      </c>
      <c r="J16" s="21">
        <f t="shared" si="1"/>
        <v>2.1154744923060426E-2</v>
      </c>
      <c r="K16" s="21">
        <f t="shared" si="1"/>
        <v>0</v>
      </c>
      <c r="L16" s="21">
        <f t="shared" ca="1" si="1"/>
        <v>0</v>
      </c>
      <c r="M16" s="21">
        <f t="shared" si="1"/>
        <v>0</v>
      </c>
      <c r="N16" s="21">
        <f t="shared" ca="1" si="1"/>
        <v>0</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0.1659163053964281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2114.3955588959579</v>
      </c>
      <c r="C20" s="23">
        <f t="shared" ref="C20:P20" ca="1" si="2">C16*C18</f>
        <v>0</v>
      </c>
      <c r="D20" s="23">
        <f t="shared" ca="1" si="2"/>
        <v>1812.0459244119465</v>
      </c>
      <c r="E20" s="23">
        <f t="shared" si="2"/>
        <v>9.1086872213927954</v>
      </c>
      <c r="F20" s="23">
        <f t="shared" ca="1" si="2"/>
        <v>644.13565612069397</v>
      </c>
      <c r="G20" s="23">
        <f t="shared" si="2"/>
        <v>0</v>
      </c>
      <c r="H20" s="23">
        <f t="shared" si="2"/>
        <v>0</v>
      </c>
      <c r="I20" s="23">
        <f t="shared" si="2"/>
        <v>0</v>
      </c>
      <c r="J20" s="23">
        <f t="shared" si="2"/>
        <v>7.4887797027633901E-3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2107.9754009537</v>
      </c>
      <c r="C26" s="39">
        <f>IF(ISERROR(B26*3.6/1000000/'E Balans VL '!Z12*100),0,B26*3.6/1000000/'E Balans VL '!Z12*100)</f>
        <v>6.0477615882112382E-2</v>
      </c>
      <c r="D26" s="233" t="s">
        <v>841</v>
      </c>
      <c r="F26" s="6"/>
    </row>
    <row r="27" spans="1:18" ht="30">
      <c r="A27" s="228" t="s">
        <v>52</v>
      </c>
      <c r="B27" s="33">
        <f>IF(ISERROR(TER_horeca_ele_kWh/1000),0,TER_horeca_ele_kWh/1000)</f>
        <v>566.74184137487009</v>
      </c>
      <c r="C27" s="39">
        <f>IF(ISERROR(B27*3.6/1000000/'E Balans VL '!Z9*100),0,B27*3.6/1000000/'E Balans VL '!Z9*100)</f>
        <v>4.151970794588819E-2</v>
      </c>
      <c r="D27" s="233" t="s">
        <v>841</v>
      </c>
      <c r="F27" s="6"/>
    </row>
    <row r="28" spans="1:18" ht="30">
      <c r="A28" s="168" t="s">
        <v>51</v>
      </c>
      <c r="B28" s="33">
        <f>IF(ISERROR(TER_handel_ele_kWh/1000),0,TER_handel_ele_kWh/1000)</f>
        <v>1564.7016320157099</v>
      </c>
      <c r="C28" s="39">
        <f>IF(ISERROR(B28*3.6/1000000/'E Balans VL '!Z13*100),0,B28*3.6/1000000/'E Balans VL '!Z13*100)</f>
        <v>4.8350600178968493E-2</v>
      </c>
      <c r="D28" s="233" t="s">
        <v>841</v>
      </c>
      <c r="F28" s="6"/>
    </row>
    <row r="29" spans="1:18" ht="30">
      <c r="A29" s="228" t="s">
        <v>50</v>
      </c>
      <c r="B29" s="33">
        <f>IF(ISERROR(TER_gezond_ele_kWh/1000),0,TER_gezond_ele_kWh/1000)</f>
        <v>979.89394664013594</v>
      </c>
      <c r="C29" s="39">
        <f>IF(ISERROR(B29*3.6/1000000/'E Balans VL '!Z10*100),0,B29*3.6/1000000/'E Balans VL '!Z10*100)</f>
        <v>9.6035632094514753E-2</v>
      </c>
      <c r="D29" s="233" t="s">
        <v>841</v>
      </c>
      <c r="F29" s="6"/>
    </row>
    <row r="30" spans="1:18" ht="30">
      <c r="A30" s="228" t="s">
        <v>49</v>
      </c>
      <c r="B30" s="33">
        <f>IF(ISERROR(TER_ander_ele_kWh/1000),0,TER_ander_ele_kWh/1000)</f>
        <v>2091.59431706444</v>
      </c>
      <c r="C30" s="39">
        <f>IF(ISERROR(B30*3.6/1000000/'E Balans VL '!Z14*100),0,B30*3.6/1000000/'E Balans VL '!Z14*100)</f>
        <v>8.6640593541544395E-2</v>
      </c>
      <c r="D30" s="233" t="s">
        <v>841</v>
      </c>
      <c r="F30" s="6"/>
    </row>
    <row r="31" spans="1:18" ht="30">
      <c r="A31" s="228" t="s">
        <v>54</v>
      </c>
      <c r="B31" s="33">
        <f>IF(ISERROR(TER_onderwijs_ele_kWh/1000),0,TER_onderwijs_ele_kWh/1000)</f>
        <v>514.34070423812307</v>
      </c>
      <c r="C31" s="39">
        <f>IF(ISERROR(B31*3.6/1000000/'E Balans VL '!Z11*100),0,B31*3.6/1000000/'E Balans VL '!Z11*100)</f>
        <v>0.15804126110734981</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695.52937902448321</v>
      </c>
      <c r="C5" s="17">
        <f>IF(ISERROR('Eigen informatie GS &amp; warmtenet'!B61),0,'Eigen informatie GS &amp; warmtenet'!B61)</f>
        <v>0</v>
      </c>
      <c r="D5" s="30">
        <f>SUM(D6:D15)</f>
        <v>575.51401924564857</v>
      </c>
      <c r="E5" s="17">
        <f>SUM(E6:E15)</f>
        <v>3.2739673259852626</v>
      </c>
      <c r="F5" s="17">
        <f>SUM(F6:F15)</f>
        <v>332.85276499921133</v>
      </c>
      <c r="G5" s="18"/>
      <c r="H5" s="17"/>
      <c r="I5" s="17"/>
      <c r="J5" s="17">
        <f>SUM(J6:J15)</f>
        <v>0.11905106530771097</v>
      </c>
      <c r="K5" s="17"/>
      <c r="L5" s="17"/>
      <c r="M5" s="17"/>
      <c r="N5" s="17">
        <f>SUM(N6:N15)</f>
        <v>27.805445347480035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504.49906393408099</v>
      </c>
      <c r="C9" s="33"/>
      <c r="D9" s="37">
        <f>IF( ISERROR(IND_andere_gas_kWh/1000),0,IND_andere_gas_kWh/1000)*0.903</f>
        <v>306.46307230862396</v>
      </c>
      <c r="E9" s="33">
        <f>C31*'E Balans VL '!I19/100/3.6*1000000</f>
        <v>1.6286088948501205</v>
      </c>
      <c r="F9" s="33">
        <f>C31*'E Balans VL '!L19/100/3.6*1000000+C31*'E Balans VL '!N19/100/3.6*1000000</f>
        <v>326.21305508841442</v>
      </c>
      <c r="G9" s="34"/>
      <c r="H9" s="33"/>
      <c r="I9" s="33"/>
      <c r="J9" s="40">
        <f>C31*'E Balans VL '!D19/100/3.6*1000000+C31*'E Balans VL '!E19/100/3.6*1000000</f>
        <v>0</v>
      </c>
      <c r="K9" s="33"/>
      <c r="L9" s="33"/>
      <c r="M9" s="33"/>
      <c r="N9" s="33">
        <f>C31*'E Balans VL '!Y19/100/3.6*1000000</f>
        <v>20.386224426050465</v>
      </c>
      <c r="O9" s="33"/>
      <c r="P9" s="33"/>
      <c r="R9" s="32"/>
    </row>
    <row r="10" spans="1:18">
      <c r="A10" s="6" t="s">
        <v>40</v>
      </c>
      <c r="B10" s="37">
        <f t="shared" si="0"/>
        <v>169.10367822756498</v>
      </c>
      <c r="C10" s="33"/>
      <c r="D10" s="37">
        <f>IF( ISERROR(IND_voed_gas_kWh/1000),0,IND_voed_gas_kWh/1000)*0.903</f>
        <v>249.65472097854422</v>
      </c>
      <c r="E10" s="33">
        <f>C32*'E Balans VL '!I20/100/3.6*1000000</f>
        <v>0.35448275240529797</v>
      </c>
      <c r="F10" s="33">
        <f>C32*'E Balans VL '!L20/100/3.6*1000000+C32*'E Balans VL '!N20/100/3.6*1000000</f>
        <v>3.2947240534115982</v>
      </c>
      <c r="G10" s="34"/>
      <c r="H10" s="33"/>
      <c r="I10" s="33"/>
      <c r="J10" s="40">
        <f>C32*'E Balans VL '!D20/100/3.6*1000000+C32*'E Balans VL '!E20/100/3.6*1000000</f>
        <v>0</v>
      </c>
      <c r="K10" s="33"/>
      <c r="L10" s="33"/>
      <c r="M10" s="33"/>
      <c r="N10" s="33">
        <f>C32*'E Balans VL '!Y20/100/3.6*1000000</f>
        <v>6.7264754957865902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21.926636862837196</v>
      </c>
      <c r="C15" s="33"/>
      <c r="D15" s="37">
        <f>IF( ISERROR(IND_rest_gas_kWh/1000),0,IND_rest_gas_kWh/1000)*0.903</f>
        <v>19.396225958480407</v>
      </c>
      <c r="E15" s="33">
        <f>C37*'E Balans VL '!I15/100/3.6*1000000</f>
        <v>1.2908756787298443</v>
      </c>
      <c r="F15" s="33">
        <f>C37*'E Balans VL '!L15/100/3.6*1000000+C37*'E Balans VL '!N15/100/3.6*1000000</f>
        <v>3.3449858573853168</v>
      </c>
      <c r="G15" s="34"/>
      <c r="H15" s="33"/>
      <c r="I15" s="33"/>
      <c r="J15" s="40">
        <f>C37*'E Balans VL '!D15/100/3.6*1000000+C37*'E Balans VL '!E15/100/3.6*1000000</f>
        <v>0.11905106530771097</v>
      </c>
      <c r="K15" s="33"/>
      <c r="L15" s="33"/>
      <c r="M15" s="33"/>
      <c r="N15" s="33">
        <f>C37*'E Balans VL '!Y15/100/3.6*1000000</f>
        <v>0.69274542564297814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695.52937902448321</v>
      </c>
      <c r="C18" s="21">
        <f>C5+C16</f>
        <v>0</v>
      </c>
      <c r="D18" s="21">
        <f>MAX((D5+D16),0)</f>
        <v>575.51401924564857</v>
      </c>
      <c r="E18" s="21">
        <f>MAX((E5+E16),0)</f>
        <v>3.2739673259852626</v>
      </c>
      <c r="F18" s="21">
        <f>MAX((F5+F16),0)</f>
        <v>332.85276499921133</v>
      </c>
      <c r="G18" s="21"/>
      <c r="H18" s="21"/>
      <c r="I18" s="21"/>
      <c r="J18" s="21">
        <f>MAX((J5+J16),0)</f>
        <v>0.11905106530771097</v>
      </c>
      <c r="K18" s="21"/>
      <c r="L18" s="21">
        <f>MAX((L5+L16),0)</f>
        <v>0</v>
      </c>
      <c r="M18" s="21"/>
      <c r="N18" s="21">
        <f>MAX((N5+N16),0)</f>
        <v>27.805445347480035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0.1659163053964281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115.39966486241414</v>
      </c>
      <c r="C22" s="23">
        <f ca="1">C18*C20</f>
        <v>0</v>
      </c>
      <c r="D22" s="23">
        <f>D18*D20</f>
        <v>116.25383188762102</v>
      </c>
      <c r="E22" s="23">
        <f>E18*E20</f>
        <v>0.74319058299865459</v>
      </c>
      <c r="F22" s="23">
        <f>F18*F20</f>
        <v>88.871688254789433</v>
      </c>
      <c r="G22" s="23"/>
      <c r="H22" s="23"/>
      <c r="I22" s="23"/>
      <c r="J22" s="23">
        <f>J18*J20</f>
        <v>4.2144077118929681E-2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0</v>
      </c>
      <c r="C30" s="39">
        <f>IF(ISERROR(B30*3.6/1000000/'E Balans VL '!Z18*100),0,B30*3.6/1000000/'E Balans VL '!Z18*100)</f>
        <v>0</v>
      </c>
      <c r="D30" s="233" t="s">
        <v>841</v>
      </c>
    </row>
    <row r="31" spans="1:18" ht="30">
      <c r="A31" s="6" t="s">
        <v>32</v>
      </c>
      <c r="B31" s="37">
        <f>IF( ISERROR(IND_ander_ele_kWh/1000),0,IND_ander_ele_kWh/1000)</f>
        <v>504.49906393408099</v>
      </c>
      <c r="C31" s="39">
        <f>IF(ISERROR(B31*3.6/1000000/'E Balans VL '!Z19*100),0,B31*3.6/1000000/'E Balans VL '!Z19*100)</f>
        <v>2.0554336297931519E-2</v>
      </c>
      <c r="D31" s="233" t="s">
        <v>841</v>
      </c>
    </row>
    <row r="32" spans="1:18" ht="30">
      <c r="A32" s="168" t="s">
        <v>40</v>
      </c>
      <c r="B32" s="37">
        <f>IF( ISERROR(IND_voed_ele_kWh/1000),0,IND_voed_ele_kWh/1000)</f>
        <v>169.10367822756498</v>
      </c>
      <c r="C32" s="39">
        <f>IF(ISERROR(B32*3.6/1000000/'E Balans VL '!Z20*100),0,B32*3.6/1000000/'E Balans VL '!Z20*100)</f>
        <v>4.8894678616107365E-3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21.926636862837196</v>
      </c>
      <c r="C37" s="39">
        <f>IF(ISERROR(B37*3.6/1000000/'E Balans VL '!Z15*100),0,B37*3.6/1000000/'E Balans VL '!Z15*100)</f>
        <v>1.8003429635163757E-4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395.31888127066998</v>
      </c>
      <c r="C5" s="17">
        <f>'Eigen informatie GS &amp; warmtenet'!B62</f>
        <v>0</v>
      </c>
      <c r="D5" s="30">
        <f>IF(ISERROR(SUM(LB_lb_gas_kWh,LB_rest_gas_kWh)/1000),0,SUM(LB_lb_gas_kWh,LB_rest_gas_kWh)/1000)*0.903</f>
        <v>167.44708188563217</v>
      </c>
      <c r="E5" s="17">
        <f>B17*'E Balans VL '!I25/3.6*1000000/100</f>
        <v>11.322601761619623</v>
      </c>
      <c r="F5" s="17">
        <f>B17*('E Balans VL '!L25/3.6*1000000+'E Balans VL '!N25/3.6*1000000)/100</f>
        <v>1251.3753710685967</v>
      </c>
      <c r="G5" s="18"/>
      <c r="H5" s="17"/>
      <c r="I5" s="17"/>
      <c r="J5" s="17">
        <f>('E Balans VL '!D25+'E Balans VL '!E25)/3.6*1000000*landbouw!B17/100</f>
        <v>100.51717754865793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395.31888127066998</v>
      </c>
      <c r="C8" s="21">
        <f>C5+C6</f>
        <v>0</v>
      </c>
      <c r="D8" s="21">
        <f>MAX((D5+D6),0)</f>
        <v>167.44708188563217</v>
      </c>
      <c r="E8" s="21">
        <f>MAX((E5+E6),0)</f>
        <v>11.322601761619623</v>
      </c>
      <c r="F8" s="21">
        <f>MAX((F5+F6),0)</f>
        <v>1251.3753710685967</v>
      </c>
      <c r="G8" s="21"/>
      <c r="H8" s="21"/>
      <c r="I8" s="21"/>
      <c r="J8" s="21">
        <f>MAX((J5+J6),0)</f>
        <v>100.51717754865793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0.1659163053964281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65.589848233878783</v>
      </c>
      <c r="C12" s="23">
        <f ca="1">C8*C10</f>
        <v>0</v>
      </c>
      <c r="D12" s="23">
        <f>D8*D10</f>
        <v>33.824310540897699</v>
      </c>
      <c r="E12" s="23">
        <f>E8*E10</f>
        <v>2.5702305998876547</v>
      </c>
      <c r="F12" s="23">
        <f>F8*F10</f>
        <v>334.11722407531533</v>
      </c>
      <c r="G12" s="23"/>
      <c r="H12" s="23"/>
      <c r="I12" s="23"/>
      <c r="J12" s="23">
        <f>J8*J10</f>
        <v>35.583080852224903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5.4742697049603571E-2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136.90920779433091</v>
      </c>
      <c r="C26" s="243">
        <f>B26*'GWP N2O_CH4'!B5</f>
        <v>2875.0933636809491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21.56913445792668</v>
      </c>
      <c r="C27" s="243">
        <f>B27*'GWP N2O_CH4'!B5</f>
        <v>452.95182361646027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1.8817084138135913</v>
      </c>
      <c r="C28" s="243">
        <f>B28*'GWP N2O_CH4'!B4</f>
        <v>583.32960828221326</v>
      </c>
      <c r="D28" s="50"/>
    </row>
    <row r="29" spans="1:4">
      <c r="A29" s="41" t="s">
        <v>272</v>
      </c>
      <c r="B29" s="243">
        <f>B34*'ha_N2O bodem landbouw'!B4</f>
        <v>11.746629620788724</v>
      </c>
      <c r="C29" s="243">
        <f>B29*'GWP N2O_CH4'!B4</f>
        <v>3641.4551824445043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2.6686240171509275E-3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5.5863231600506542E-4</v>
      </c>
      <c r="C5" s="434" t="s">
        <v>210</v>
      </c>
      <c r="D5" s="419">
        <f>SUM(D6:D11)</f>
        <v>1.1173112206464496E-3</v>
      </c>
      <c r="E5" s="419">
        <f>SUM(E6:E11)</f>
        <v>4.3129547312303001E-4</v>
      </c>
      <c r="F5" s="432" t="s">
        <v>210</v>
      </c>
      <c r="G5" s="419">
        <f>SUM(G6:G11)</f>
        <v>0.14870163431652023</v>
      </c>
      <c r="H5" s="419">
        <f>SUM(H6:H11)</f>
        <v>5.4477937563232048E-2</v>
      </c>
      <c r="I5" s="434" t="s">
        <v>210</v>
      </c>
      <c r="J5" s="434" t="s">
        <v>210</v>
      </c>
      <c r="K5" s="434" t="s">
        <v>210</v>
      </c>
      <c r="L5" s="434" t="s">
        <v>210</v>
      </c>
      <c r="M5" s="419">
        <f>SUM(M6:M11)</f>
        <v>1.2400229812531919E-2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2.5473994514719383E-4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4.247244124112355E-4</v>
      </c>
      <c r="E6" s="886">
        <f>vkm_GW_PW*SUMIFS(TableVerdeelsleutelVkm[LPG],TableVerdeelsleutelVkm[Voertuigtype],"Lichte voertuigen")*SUMIFS(TableECFTransport[EnergieConsumptieFactor (PJ per km)],TableECFTransport[Index],CONCATENATE($A6,"_LPG_LPG"))</f>
        <v>1.6838595505316265E-4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5.0604209422796531E-2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2.0829228556910544E-2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4.3822307565048527E-3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3.6558122246788862E-7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1.4491870088395141E-2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1.0692902497908221E-7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8.3209867263365675E-4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3.0330676452989245E-4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6.9258680823521403E-4</v>
      </c>
      <c r="E8" s="422">
        <f>vkm_NGW_PW*SUMIFS(TableVerdeelsleutelVkm[LPG],TableVerdeelsleutelVkm[Voertuigtype],"Lichte voertuigen")*SUMIFS(TableECFTransport[EnergieConsumptieFactor (PJ per km)],TableECFTransport[Index],CONCATENATE($A8,"_LPG_LPG"))</f>
        <v>2.6290951806986736E-4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7.2373753566856366E-2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3.3648524398871726E-2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6.5409897192372614E-3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2.2002510551132314E-7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1.1231801238472169E-2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7.7678424804896452E-8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6.4491066415614821E-4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155.17564333474041</v>
      </c>
      <c r="C14" s="21"/>
      <c r="D14" s="21">
        <f t="shared" ref="D14:M14" si="0">((D5)*10^9/3600)+D12</f>
        <v>310.36422795734711</v>
      </c>
      <c r="E14" s="21">
        <f t="shared" si="0"/>
        <v>119.80429808973055</v>
      </c>
      <c r="F14" s="21"/>
      <c r="G14" s="21">
        <f t="shared" si="0"/>
        <v>41306.009532366726</v>
      </c>
      <c r="H14" s="21">
        <f t="shared" si="0"/>
        <v>15132.760434231124</v>
      </c>
      <c r="I14" s="21"/>
      <c r="J14" s="21"/>
      <c r="K14" s="21"/>
      <c r="L14" s="21"/>
      <c r="M14" s="21">
        <f t="shared" si="0"/>
        <v>3444.5082812588662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0.1659163053964281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25.746169429613992</v>
      </c>
      <c r="C18" s="23"/>
      <c r="D18" s="23">
        <f t="shared" ref="D18:M18" si="1">D14*D16</f>
        <v>62.693574047384118</v>
      </c>
      <c r="E18" s="23">
        <f t="shared" si="1"/>
        <v>27.195575666368835</v>
      </c>
      <c r="F18" s="23"/>
      <c r="G18" s="23">
        <f t="shared" si="1"/>
        <v>11028.704545141916</v>
      </c>
      <c r="H18" s="23">
        <f t="shared" si="1"/>
        <v>3768.0573481235501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1.2230733503088988E-4</v>
      </c>
      <c r="C50" s="315">
        <f t="shared" ref="C50:P50" si="2">SUM(C51:C52)</f>
        <v>0</v>
      </c>
      <c r="D50" s="315">
        <f t="shared" si="2"/>
        <v>0</v>
      </c>
      <c r="E50" s="315">
        <f t="shared" si="2"/>
        <v>0</v>
      </c>
      <c r="F50" s="315">
        <f t="shared" si="2"/>
        <v>0</v>
      </c>
      <c r="G50" s="315">
        <f t="shared" si="2"/>
        <v>7.6568089339042059E-3</v>
      </c>
      <c r="H50" s="315">
        <f t="shared" si="2"/>
        <v>0</v>
      </c>
      <c r="I50" s="315">
        <f t="shared" si="2"/>
        <v>0</v>
      </c>
      <c r="J50" s="315">
        <f t="shared" si="2"/>
        <v>0</v>
      </c>
      <c r="K50" s="315">
        <f t="shared" si="2"/>
        <v>0</v>
      </c>
      <c r="L50" s="315">
        <f t="shared" si="2"/>
        <v>0</v>
      </c>
      <c r="M50" s="315">
        <f t="shared" si="2"/>
        <v>4.3963701502696247E-4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1.2230733503088988E-4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7.6568089339042059E-3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4.3963701502696247E-4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33.974259730802743</v>
      </c>
      <c r="C54" s="21">
        <f t="shared" ref="C54:P54" si="3">(C50)*10^9/3600</f>
        <v>0</v>
      </c>
      <c r="D54" s="21">
        <f t="shared" si="3"/>
        <v>0</v>
      </c>
      <c r="E54" s="21">
        <f t="shared" si="3"/>
        <v>0</v>
      </c>
      <c r="F54" s="21">
        <f t="shared" si="3"/>
        <v>0</v>
      </c>
      <c r="G54" s="21">
        <f t="shared" si="3"/>
        <v>2126.891370528946</v>
      </c>
      <c r="H54" s="21">
        <f t="shared" si="3"/>
        <v>0</v>
      </c>
      <c r="I54" s="21">
        <f t="shared" si="3"/>
        <v>0</v>
      </c>
      <c r="J54" s="21">
        <f t="shared" si="3"/>
        <v>0</v>
      </c>
      <c r="K54" s="21">
        <f t="shared" si="3"/>
        <v>0</v>
      </c>
      <c r="L54" s="21">
        <f t="shared" si="3"/>
        <v>0</v>
      </c>
      <c r="M54" s="21">
        <f t="shared" si="3"/>
        <v>122.12139306304512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0.1659163053964281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5.6368836531134372</v>
      </c>
      <c r="C58" s="23">
        <f t="shared" ref="C58:P58" ca="1" si="4">C54*C56</f>
        <v>0</v>
      </c>
      <c r="D58" s="23">
        <f t="shared" si="4"/>
        <v>0</v>
      </c>
      <c r="E58" s="23">
        <f t="shared" si="4"/>
        <v>0</v>
      </c>
      <c r="F58" s="23">
        <f t="shared" si="4"/>
        <v>0</v>
      </c>
      <c r="G58" s="23">
        <f t="shared" si="4"/>
        <v>567.87999593122868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3165.0702273741886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54</v>
      </c>
      <c r="C8" s="545">
        <f>B48</f>
        <v>0</v>
      </c>
      <c r="D8" s="546"/>
      <c r="E8" s="546">
        <f>E48</f>
        <v>0</v>
      </c>
      <c r="F8" s="547"/>
      <c r="G8" s="548"/>
      <c r="H8" s="546">
        <f>I48</f>
        <v>0</v>
      </c>
      <c r="I8" s="546">
        <f>G48+F48</f>
        <v>63.529411764705884</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4864.5</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8083.5702273741881</v>
      </c>
      <c r="C10" s="560">
        <f t="shared" ref="C10:L10" si="0">SUM(C8:C9)</f>
        <v>0</v>
      </c>
      <c r="D10" s="560">
        <f t="shared" si="0"/>
        <v>0</v>
      </c>
      <c r="E10" s="560">
        <f t="shared" si="0"/>
        <v>0</v>
      </c>
      <c r="F10" s="560">
        <f t="shared" si="0"/>
        <v>0</v>
      </c>
      <c r="G10" s="560">
        <f t="shared" si="0"/>
        <v>0</v>
      </c>
      <c r="H10" s="560">
        <f t="shared" si="0"/>
        <v>0</v>
      </c>
      <c r="I10" s="560">
        <f t="shared" si="0"/>
        <v>63.529411764705884</v>
      </c>
      <c r="J10" s="560">
        <f t="shared" si="0"/>
        <v>13898.571428571429</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60.75</v>
      </c>
      <c r="C17" s="576">
        <f>B49</f>
        <v>0</v>
      </c>
      <c r="D17" s="577"/>
      <c r="E17" s="577">
        <f>E49</f>
        <v>0</v>
      </c>
      <c r="F17" s="578"/>
      <c r="G17" s="579"/>
      <c r="H17" s="576">
        <f>I49</f>
        <v>0</v>
      </c>
      <c r="I17" s="577">
        <f>G49+F49</f>
        <v>71.470588235294116</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60.75</v>
      </c>
      <c r="C20" s="559">
        <f>SUM(C17:C19)</f>
        <v>0</v>
      </c>
      <c r="D20" s="559">
        <f t="shared" ref="D20:L20" si="1">SUM(D17:D19)</f>
        <v>0</v>
      </c>
      <c r="E20" s="559">
        <f t="shared" si="1"/>
        <v>0</v>
      </c>
      <c r="F20" s="559">
        <f t="shared" si="1"/>
        <v>0</v>
      </c>
      <c r="G20" s="559">
        <f t="shared" si="1"/>
        <v>0</v>
      </c>
      <c r="H20" s="559">
        <f t="shared" si="1"/>
        <v>0</v>
      </c>
      <c r="I20" s="559">
        <f t="shared" si="1"/>
        <v>71.470588235294116</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24045</v>
      </c>
      <c r="C28" s="787">
        <v>3040</v>
      </c>
      <c r="D28" s="637" t="s">
        <v>874</v>
      </c>
      <c r="E28" s="636" t="s">
        <v>875</v>
      </c>
      <c r="F28" s="636" t="s">
        <v>876</v>
      </c>
      <c r="G28" s="636" t="s">
        <v>877</v>
      </c>
      <c r="H28" s="636" t="s">
        <v>878</v>
      </c>
      <c r="I28" s="636" t="s">
        <v>875</v>
      </c>
      <c r="J28" s="786">
        <v>40026</v>
      </c>
      <c r="K28" s="786">
        <v>40891</v>
      </c>
      <c r="L28" s="636" t="s">
        <v>879</v>
      </c>
      <c r="M28" s="636">
        <v>12</v>
      </c>
      <c r="N28" s="636">
        <v>54</v>
      </c>
      <c r="O28" s="636">
        <v>60.75</v>
      </c>
      <c r="P28" s="636">
        <v>0</v>
      </c>
      <c r="Q28" s="636">
        <v>0</v>
      </c>
      <c r="R28" s="636">
        <v>0</v>
      </c>
      <c r="S28" s="636">
        <v>0</v>
      </c>
      <c r="T28" s="636">
        <v>0</v>
      </c>
      <c r="U28" s="636">
        <v>135</v>
      </c>
      <c r="V28" s="636">
        <v>0</v>
      </c>
      <c r="W28" s="636">
        <v>0</v>
      </c>
      <c r="X28" s="636">
        <v>1600</v>
      </c>
      <c r="Y28" s="636" t="s">
        <v>49</v>
      </c>
      <c r="Z28" s="638" t="s">
        <v>155</v>
      </c>
    </row>
    <row r="29" spans="1:26" s="570" customFormat="1">
      <c r="A29" s="592" t="s">
        <v>275</v>
      </c>
      <c r="B29" s="593"/>
      <c r="C29" s="593"/>
      <c r="D29" s="593"/>
      <c r="E29" s="593"/>
      <c r="F29" s="593"/>
      <c r="G29" s="593"/>
      <c r="H29" s="593"/>
      <c r="I29" s="593"/>
      <c r="J29" s="593"/>
      <c r="K29" s="593"/>
      <c r="L29" s="594"/>
      <c r="M29" s="594">
        <f>SUM(M28:M28)</f>
        <v>12</v>
      </c>
      <c r="N29" s="594">
        <f>SUM(N28:N28)</f>
        <v>54</v>
      </c>
      <c r="O29" s="594">
        <f>SUM(O28:O28)</f>
        <v>60.75</v>
      </c>
      <c r="P29" s="594">
        <f>SUM(P28:P28)</f>
        <v>0</v>
      </c>
      <c r="Q29" s="594">
        <f>SUM(Q28:Q28)</f>
        <v>0</v>
      </c>
      <c r="R29" s="594">
        <f>SUM(R28:R28)</f>
        <v>0</v>
      </c>
      <c r="S29" s="594">
        <f>SUM(S28:S28)</f>
        <v>0</v>
      </c>
      <c r="T29" s="594">
        <f>SUM(T28:T28)</f>
        <v>0</v>
      </c>
      <c r="U29" s="594">
        <f>SUM(U28:U28)</f>
        <v>135</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12</v>
      </c>
      <c r="N31" s="594">
        <f ca="1">SUMIF($Z$28:AD28,"tertiair",N28:N28)</f>
        <v>54</v>
      </c>
      <c r="O31" s="594">
        <f ca="1">SUMIF($Z$28:AE28,"tertiair",O28:O28)</f>
        <v>60.75</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135</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63.75">
      <c r="A35" s="591"/>
      <c r="B35" s="787">
        <v>24045</v>
      </c>
      <c r="C35" s="787">
        <v>3040</v>
      </c>
      <c r="D35" s="639" t="s">
        <v>880</v>
      </c>
      <c r="E35" s="639" t="s">
        <v>881</v>
      </c>
      <c r="F35" s="639" t="s">
        <v>882</v>
      </c>
      <c r="G35" s="639" t="s">
        <v>883</v>
      </c>
      <c r="H35" s="639" t="s">
        <v>884</v>
      </c>
      <c r="I35" s="639" t="s">
        <v>885</v>
      </c>
      <c r="J35" s="786">
        <v>37659</v>
      </c>
      <c r="K35" s="786">
        <v>37712</v>
      </c>
      <c r="L35" s="639" t="s">
        <v>886</v>
      </c>
      <c r="M35" s="639">
        <v>1081</v>
      </c>
      <c r="N35" s="639">
        <v>4864.5</v>
      </c>
      <c r="O35" s="639">
        <v>0</v>
      </c>
      <c r="P35" s="639">
        <v>0</v>
      </c>
      <c r="Q35" s="639">
        <v>0</v>
      </c>
      <c r="R35" s="639">
        <v>13898.571428571429</v>
      </c>
      <c r="S35" s="639">
        <v>0</v>
      </c>
      <c r="T35" s="639">
        <v>0</v>
      </c>
      <c r="U35" s="639">
        <v>0</v>
      </c>
      <c r="V35" s="639">
        <v>0</v>
      </c>
      <c r="W35" s="639">
        <v>0</v>
      </c>
      <c r="X35" s="639">
        <v>1600</v>
      </c>
      <c r="Y35" s="639" t="s">
        <v>49</v>
      </c>
      <c r="Z35" s="640" t="s">
        <v>155</v>
      </c>
    </row>
    <row r="36" spans="1:27" s="570" customFormat="1">
      <c r="A36" s="592" t="s">
        <v>275</v>
      </c>
      <c r="B36" s="593"/>
      <c r="C36" s="593"/>
      <c r="D36" s="593"/>
      <c r="E36" s="593"/>
      <c r="F36" s="593"/>
      <c r="G36" s="593"/>
      <c r="H36" s="593"/>
      <c r="I36" s="593"/>
      <c r="J36" s="593"/>
      <c r="K36" s="593"/>
      <c r="L36" s="594"/>
      <c r="M36" s="594">
        <f>SUM(M35:M35)</f>
        <v>1081</v>
      </c>
      <c r="N36" s="594">
        <f>SUM(N35:N35)</f>
        <v>4864.5</v>
      </c>
      <c r="O36" s="594">
        <f>SUM(O35:O35)</f>
        <v>0</v>
      </c>
      <c r="P36" s="594">
        <f>SUM(P35:P35)</f>
        <v>0</v>
      </c>
      <c r="Q36" s="594">
        <f>SUM(Q35:Q35)</f>
        <v>0</v>
      </c>
      <c r="R36" s="594">
        <f>SUM(R35:R35)</f>
        <v>13898.571428571429</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1081</v>
      </c>
      <c r="N38" s="594">
        <f>SUMIF($Z$35:$Z$36,"tertiair",N35:N36)</f>
        <v>4864.5</v>
      </c>
      <c r="O38" s="594">
        <f>SUMIF($Z$35:$Z$36,"tertiair",O35:O36)</f>
        <v>0</v>
      </c>
      <c r="P38" s="594">
        <f>SUMIF($Z$35:$Z$36,"tertiair",P35:P36)</f>
        <v>0</v>
      </c>
      <c r="Q38" s="594">
        <f>SUMIF($Z$35:$Z$36,"tertiair",Q35:Q36)</f>
        <v>0</v>
      </c>
      <c r="R38" s="594">
        <f>SUMIF($Z$35:$Z$36,"tertiair",R35:R36)</f>
        <v>13898.571428571429</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0.52941176470588236</v>
      </c>
      <c r="C45" s="619">
        <f>IF(ISERROR(N29/(O29+N29)),0,N29/(N29+O29))</f>
        <v>0.47058823529411764</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63.529411764705884</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71.470588235294116</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2021-06-29T14:15:43Z</dcterms:modified>
</cp:coreProperties>
</file>