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2" i="13"/>
  <c r="B36" i="13"/>
  <c r="B34" i="13"/>
  <c r="B33"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22" i="59"/>
  <c r="C17" i="19"/>
  <c r="C19" i="19" s="1"/>
  <c r="D39" i="14" s="1"/>
  <c r="C56" i="22"/>
  <c r="C58" i="22" s="1"/>
  <c r="D49" i="14" s="1"/>
  <c r="D52" i="14" s="1"/>
  <c r="C10" i="13"/>
  <c r="C12" i="13" s="1"/>
  <c r="D41" i="14" s="1"/>
  <c r="D46" i="14" s="1"/>
  <c r="D61" i="14" s="1"/>
  <c r="D63"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<sst xmlns="http://schemas.openxmlformats.org/spreadsheetml/2006/main" count="2437" uniqueCount="880">
  <si>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</si>
  <si>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</si>
  <si>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</si>
  <si>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</si>
  <si>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</si>
  <si>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</si>
  <si>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</si>
  <si>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</si>
  <si>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</si>
  <si>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</si>
  <si>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</si>
  <si>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</si>
  <si>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</si>
  <si>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</si>
  <si>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</si>
  <si>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</si>
  <si>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</si>
  <si>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</si>
  <si>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</si>
  <si>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</si>
  <si>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</si>
  <si>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</si>
  <si>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</si>
  <si>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</si>
  <si>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</si>
  <si>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</si>
  <si>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</si>
  <si>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</si>
  <si>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</si>
  <si>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</si>
  <si>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</si>
  <si>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</si>
  <si>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</si>
  <si>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</si>
  <si>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</si>
  <si>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</si>
  <si>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</si>
  <si>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</si>
  <si>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</si>
  <si>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</si>
  <si>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</si>
  <si>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</si>
  <si>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</si>
  <si>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</si>
  <si>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</si>
  <si>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</si>
  <si>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</si>
  <si>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</si>
  <si>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</si>
  <si>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</si>
  <si>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</si>
  <si>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</si>
  <si>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</si>
  <si>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</si>
  <si>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</si>
  <si>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</si>
  <si>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</si>
  <si>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</si>
  <si>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</si>
  <si>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</si>
  <si>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</si>
  <si>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</si>
  <si>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</si>
  <si>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</si>
  <si>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</si>
  <si>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</si>
  <si>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</si>
  <si>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</si>
  <si>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</si>
  <si>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</si>
  <si>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</si>
  <si>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</si>
  <si>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</si>
  <si>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</si>
  <si>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</si>
  <si>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</si>
  <si>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</si>
  <si>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</si>
  <si>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</si>
  <si>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</si>
  <si>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</si>
  <si>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</si>
  <si>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</si>
  <si>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</si>
  <si>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</si>
  <si>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</si>
  <si>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</si>
  <si>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</si>
  <si>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</si>
  <si>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</si>
  <si>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</si>
  <si>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</si>
  <si>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</si>
  <si>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</si>
  <si>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</si>
  <si>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</si>
  <si>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</si>
  <si>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</si>
  <si>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</si>
  <si>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</si>
  <si>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</si>
  <si>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</si>
  <si>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</si>
  <si>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</si>
  <si>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</si>
  <si>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</si>
  <si>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</si>
  <si>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</si>
  <si>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</si>
  <si>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</si>
  <si>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</si>
  <si>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</si>
  <si>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</si>
  <si>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</si>
  <si>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</si>
  <si>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</si>
  <si>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</si>
  <si>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</si>
  <si>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</si>
  <si>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</si>
  <si>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</si>
  <si>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</si>
  <si>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</si>
  <si>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</si>
  <si>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</si>
  <si>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</si>
  <si>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</si>
  <si>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</si>
  <si>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</si>
  <si>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</si>
  <si>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</si>
  <si>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</si>
  <si>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</si>
  <si>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</si>
  <si>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</si>
  <si>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</si>
  <si>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</si>
  <si>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</si>
  <si>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</si>
  <si>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</si>
  <si>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</si>
  <si>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</si>
  <si>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</si>
  <si>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</si>
  <si>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</si>
  <si>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</si>
  <si>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</si>
  <si>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</si>
  <si>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</si>
  <si>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</si>
  <si>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</si>
  <si>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</si>
  <si>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</si>
  <si>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</si>
  <si>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</si>
  <si>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</si>
  <si>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</si>
  <si>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</si>
  <si>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</si>
  <si>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</si>
  <si>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</si>
  <si>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</si>
  <si>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</si>
  <si>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</si>
  <si>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</si>
  <si>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</si>
  <si>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</si>
  <si>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</si>
  <si>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</si>
  <si>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</si>
  <si>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</si>
  <si>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</si>
  <si>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</si>
  <si>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</si>
  <si>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</si>
  <si>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</si>
  <si>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</si>
  <si>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</si>
  <si>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</si>
  <si>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</si>
  <si>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</si>
  <si>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</si>
  <si>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</si>
  <si>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</si>
  <si>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</si>
  <si>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</si>
  <si>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</si>
  <si>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</si>
  <si>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</si>
  <si>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</si>
  <si>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</si>
  <si>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</si>
  <si>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</si>
  <si>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</si>
  <si>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</si>
  <si>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</si>
  <si>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</si>
  <si>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</si>
  <si>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</si>
  <si>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</si>
  <si>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</si>
  <si>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</si>
  <si>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</si>
  <si>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</si>
  <si>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</si>
  <si>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</si>
  <si>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</si>
  <si>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</si>
  <si>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</si>
  <si>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</si>
  <si>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</si>
  <si>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</si>
  <si>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</si>
  <si>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</si>
  <si>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</si>
  <si>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</si>
  <si>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</si>
  <si>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</si>
  <si>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</si>
  <si>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</si>
  <si>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</si>
  <si>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</si>
  <si>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</si>
  <si>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</si>
  <si>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</si>
  <si>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</si>
  <si>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</si>
  <si>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</si>
  <si>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</si>
  <si>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</si>
  <si>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</si>
  <si>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</si>
  <si>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</si>
  <si>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</si>
  <si>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</si>
  <si>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</si>
  <si>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</si>
  <si>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</si>
  <si>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</si>
  <si>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</si>
  <si>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</si>
  <si>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</si>
  <si>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</si>
  <si>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</si>
  <si>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</si>
  <si>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</si>
  <si>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</si>
  <si>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</si>
  <si>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</si>
  <si>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</si>
  <si>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</si>
  <si>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</si>
  <si>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</si>
  <si>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</si>
  <si>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</si>
  <si>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</si>
  <si>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</si>
  <si>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</si>
  <si>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</si>
  <si>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</si>
  <si>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</si>
  <si>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</si>
  <si>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</si>
  <si>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</si>
  <si>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</si>
  <si>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</si>
  <si>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</si>
  <si>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</si>
  <si>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</si>
  <si>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</si>
  <si>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</si>
  <si>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</si>
  <si>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</si>
  <si>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</si>
  <si>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</si>
  <si>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</si>
  <si>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</si>
  <si>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</si>
  <si>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</si>
  <si>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</si>
  <si>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</si>
  <si>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</si>
  <si>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</si>
  <si>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</si>
  <si>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</si>
  <si>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</si>
  <si>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</si>
  <si>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</si>
  <si>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</si>
  <si>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</si>
  <si>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</si>
  <si>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</si>
  <si>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</si>
  <si>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</si>
  <si>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</si>
  <si>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</si>
  <si>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</si>
  <si>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</si>
  <si>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</si>
  <si>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</si>
  <si>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</si>
  <si>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</si>
  <si>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</si>
  <si>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</si>
  <si>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</si>
  <si>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</si>
  <si>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</si>
  <si>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</si>
  <si>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</si>
  <si>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</si>
  <si>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</si>
  <si>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</si>
  <si>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</si>
  <si>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</si>
  <si>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</si>
  <si>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</si>
  <si>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</si>
  <si>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</si>
  <si>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</si>
  <si>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</si>
  <si>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</si>
  <si>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</si>
  <si>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</si>
  <si>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</si>
  <si>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</si>
  <si>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</si>
  <si>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</si>
  <si>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</si>
  <si>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</si>
  <si>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</si>
  <si>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</si>
  <si>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</si>
  <si>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</si>
  <si>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</si>
  <si>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</si>
  <si>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</si>
  <si>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</si>
  <si>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</si>
  <si>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</si>
  <si>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</si>
  <si>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</si>
  <si>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</si>
  <si>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</si>
  <si>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</si>
  <si>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</si>
  <si>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</si>
  <si>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</si>
  <si>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</si>
  <si>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</si>
  <si>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</si>
  <si>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</si>
  <si>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</si>
  <si>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</si>
  <si>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</si>
  <si>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</si>
  <si>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</si>
  <si>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</si>
  <si>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</si>
  <si>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</si>
  <si>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</si>
  <si>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</si>
  <si>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</si>
  <si>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</si>
  <si>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</si>
  <si>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</si>
  <si>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</si>
  <si>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</si>
  <si>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</si>
  <si>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</si>
  <si>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</si>
  <si>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</si>
  <si>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</si>
  <si>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</si>
  <si>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</si>
  <si>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</si>
  <si>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</si>
  <si>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</si>
  <si>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</si>
  <si>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</si>
  <si>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</si>
  <si>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</si>
  <si>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</si>
  <si>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</si>
  <si>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</si>
  <si>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</si>
  <si>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</si>
  <si>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</si>
  <si>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</si>
  <si>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</si>
  <si>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</si>
  <si>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</si>
  <si>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</si>
  <si>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</si>
  <si>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</si>
  <si>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</si>
  <si>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</si>
  <si>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</si>
  <si>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</si>
  <si>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</si>
  <si>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</si>
  <si>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</si>
  <si>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</si>
  <si>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</si>
  <si>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</si>
  <si>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</si>
  <si>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</si>
  <si>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</si>
  <si>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</si>
  <si>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</si>
  <si>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</si>
  <si>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</si>
  <si>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</si>
  <si>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</si>
  <si>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</si>
  <si>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</si>
  <si>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</si>
  <si>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</si>
  <si>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</si>
  <si>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</si>
  <si>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</si>
  <si>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</si>
  <si>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</si>
  <si>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</si>
  <si>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</si>
  <si>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</si>
  <si>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</si>
  <si>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</si>
  <si>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</si>
  <si>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</si>
  <si>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</si>
  <si>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</si>
  <si>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</si>
  <si>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</si>
  <si>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</si>
  <si>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</si>
  <si>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</si>
  <si>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</si>
  <si>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</si>
  <si>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</si>
  <si>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</si>
  <si>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</si>
  <si>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</si>
  <si>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</si>
  <si>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</si>
  <si>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</si>
  <si>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</si>
  <si>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</si>
  <si>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</si>
  <si>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</si>
  <si>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</si>
  <si>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</si>
  <si>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</si>
  <si>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</si>
  <si>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</si>
  <si>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</si>
  <si>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</si>
  <si>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</si>
  <si>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</si>
  <si>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</si>
  <si>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</si>
  <si>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</si>
  <si>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</si>
  <si>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</si>
  <si>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</si>
  <si>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</si>
  <si>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</si>
  <si>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</si>
  <si>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</si>
  <si>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</si>
  <si>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</si>
  <si>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</si>
  <si>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</si>
  <si>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</si>
  <si>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</si>
  <si>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</si>
  <si>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</si>
  <si>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</si>
  <si>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</si>
  <si>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</si>
  <si>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</si>
  <si>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</si>
  <si>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</si>
  <si>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</si>
  <si>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</si>
  <si>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</si>
  <si>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</si>
  <si>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</si>
  <si>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</si>
  <si>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</si>
  <si>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</si>
  <si>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</si>
  <si>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</si>
  <si>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</si>
  <si>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</si>
  <si>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</si>
  <si>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</si>
  <si>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</si>
  <si>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</si>
  <si>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</si>
  <si>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</si>
  <si>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</si>
  <si>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</si>
  <si>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</si>
  <si>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</si>
  <si>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</si>
  <si>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</si>
  <si>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</si>
  <si>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</si>
  <si>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</si>
  <si>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</si>
  <si>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</si>
  <si>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</si>
  <si>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</si>
  <si>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</si>
  <si>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</si>
  <si>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</si>
  <si>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</si>
  <si>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</si>
  <si>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</si>
  <si>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</si>
  <si>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</si>
  <si>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</si>
  <si>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</si>
  <si>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</si>
  <si>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</si>
  <si>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</si>
  <si>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</si>
  <si>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</si>
  <si>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</si>
  <si>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</si>
  <si>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</si>
  <si>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</si>
  <si>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</si>
  <si>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</si>
  <si>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</si>
  <si>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</si>
  <si>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</si>
  <si>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</si>
  <si>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</si>
  <si>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</si>
  <si>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</si>
  <si>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</si>
  <si>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</si>
  <si>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</si>
  <si>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</si>
  <si>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</si>
  <si>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</si>
  <si>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</si>
  <si>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</si>
  <si>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</si>
  <si>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</si>
  <si>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</si>
  <si>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</si>
  <si>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</si>
  <si>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</si>
  <si>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</si>
  <si>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</si>
  <si>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</si>
  <si>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</si>
  <si>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</si>
  <si>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</si>
  <si>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</si>
  <si>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</si>
  <si>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</si>
  <si>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</si>
  <si>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</si>
  <si>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</si>
  <si>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</si>
  <si>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</si>
  <si>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</si>
  <si>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</si>
  <si>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</si>
  <si>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</si>
  <si>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</si>
  <si>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</si>
  <si>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</si>
  <si>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</si>
  <si>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</si>
  <si>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</si>
  <si>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</si>
  <si>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</si>
  <si>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</si>
  <si>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</si>
  <si>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</si>
  <si>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</si>
  <si>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</si>
  <si>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</si>
  <si>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</si>
  <si>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</si>
  <si>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</si>
  <si>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</si>
  <si>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</si>
  <si>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</si>
  <si>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</si>
  <si>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</si>
  <si>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</si>
  <si>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</si>
  <si>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</si>
  <si>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</si>
  <si>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</si>
  <si>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</si>
  <si>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</si>
  <si>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</si>
  <si>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</si>
  <si>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</si>
  <si>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</si>
  <si>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</si>
  <si>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</si>
  <si>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</si>
  <si>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</si>
  <si>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</si>
  <si>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</si>
  <si>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</si>
  <si>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</si>
  <si>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</si>
  <si>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</si>
  <si>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</si>
  <si>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</si>
  <si>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</si>
  <si>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</si>
  <si>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</si>
  <si>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</si>
  <si>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</si>
  <si>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</si>
  <si>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</si>
  <si>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</si>
  <si>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</si>
  <si>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</si>
  <si>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</si>
  <si>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</si>
  <si>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</si>
  <si>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</si>
  <si>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</si>
  <si>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</si>
  <si>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</si>
  <si>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</si>
  <si>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</si>
  <si>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</si>
  <si>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</si>
  <si>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</si>
  <si>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</si>
  <si>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</si>
  <si>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</si>
  <si>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</si>
  <si>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</si>
  <si>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</si>
  <si>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</si>
  <si>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</si>
  <si>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</si>
  <si>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</si>
  <si>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</si>
  <si>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</si>
  <si>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</si>
  <si>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</si>
  <si>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</si>
  <si>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</si>
  <si>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</si>
  <si>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</si>
  <si>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</si>
  <si>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</si>
  <si>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</si>
  <si>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</si>
  <si>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</si>
  <si>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</si>
  <si>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</si>
  <si>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</si>
  <si>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</si>
  <si>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</si>
  <si>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</si>
  <si>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</si>
  <si>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</si>
  <si>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</si>
  <si>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</si>
  <si>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</si>
  <si>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</si>
  <si>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</si>
  <si>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</si>
  <si>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</si>
  <si>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</si>
  <si>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</si>
  <si>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</si>
  <si>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</si>
  <si>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</si>
  <si>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</si>
  <si>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</si>
  <si>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</si>
  <si>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</si>
  <si>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</si>
  <si>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</si>
  <si>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</si>
  <si>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</si>
  <si>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</si>
  <si>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</si>
  <si>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</si>
  <si>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</si>
  <si>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</si>
  <si>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</si>
  <si>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</si>
  <si>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</si>
  <si>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</si>
  <si>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</si>
  <si>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</si>
  <si>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</si>
  <si>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</si>
  <si>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</si>
  <si>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</si>
  <si>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</si>
  <si>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</si>
  <si>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</si>
  <si>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</si>
  <si>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</si>
  <si>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</si>
  <si>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</si>
  <si>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</si>
  <si>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</si>
  <si>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</si>
  <si>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</si>
  <si>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</si>
  <si>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</si>
  <si>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</si>
  <si>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</si>
  <si>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</si>
  <si>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</si>
  <si>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</si>
  <si>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</si>
  <si>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</si>
  <si>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</si>
  <si>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</si>
  <si>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</si>
  <si>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</si>
  <si>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</si>
  <si>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</si>
  <si>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</si>
  <si>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</si>
  <si>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</si>
  <si>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</si>
  <si>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</si>
  <si>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</si>
  <si>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</si>
  <si>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</si>
  <si>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</si>
  <si>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</si>
  <si>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</si>
  <si>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</si>
  <si>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</si>
  <si>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</si>
  <si>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</si>
  <si>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</si>
  <si>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</si>
  <si>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</si>
  <si>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</si>
  <si>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</si>
  <si>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</si>
  <si>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</si>
  <si>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</si>
  <si>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</si>
  <si>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</si>
  <si>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</si>
  <si>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</si>
  <si>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</si>
  <si>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</si>
  <si>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</si>
  <si>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</si>
  <si>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</si>
  <si>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</si>
  <si>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</si>
  <si>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</si>
  <si>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</si>
  <si>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</si>
  <si>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</si>
  <si>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</si>
  <si>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</si>
  <si>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</si>
  <si>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</si>
  <si>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</si>
  <si>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</si>
  <si>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</si>
  <si>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</si>
  <si>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</si>
  <si>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</si>
  <si>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</si>
  <si>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</si>
  <si>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</si>
  <si>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</si>
  <si>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</si>
  <si>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</si>
  <si>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</si>
  <si>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</si>
  <si>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</si>
  <si>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</si>
  <si>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</si>
  <si>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</si>
  <si>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</si>
  <si>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</si>
  <si>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</si>
  <si>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</si>
  <si>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</si>
  <si>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</si>
  <si>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</si>
  <si>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</si>
  <si>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</si>
  <si>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</si>
  <si>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</si>
  <si>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</si>
  <si>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</si>
  <si>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</si>
  <si>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</si>
  <si>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</si>
  <si>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</si>
  <si>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</si>
  <si>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</si>
  <si>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</si>
  <si>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</si>
  <si>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</si>
  <si>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</si>
  <si>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</si>
  <si>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</si>
  <si>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</si>
  <si>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</si>
  <si>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</si>
  <si>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</si>
  <si>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</si>
  <si>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</si>
  <si>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</si>
  <si>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</si>
  <si>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</si>
  <si>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</si>
  <si>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</si>
  <si>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</si>
  <si>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</si>
  <si>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</si>
  <si>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</si>
  <si>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</si>
  <si>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</si>
  <si>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</si>
  <si>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</si>
  <si>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</si>
  <si>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</si>
  <si>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</si>
  <si>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</si>
  <si>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</si>
  <si>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</si>
  <si>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</si>
  <si>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</si>
  <si>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</si>
  <si>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</si>
  <si>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</si>
  <si>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</si>
  <si>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</si>
  <si>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</si>
  <si>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</si>
  <si>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</si>
  <si>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</si>
  <si>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</si>
  <si>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</si>
  <si>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</si>
  <si>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</si>
  <si>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</si>
  <si>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</si>
  <si>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</si>
  <si>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</si>
  <si>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</si>
  <si>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</si>
  <si>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</si>
  <si>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</si>
  <si>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</si>
  <si>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</si>
  <si>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</si>
  <si>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</si>
  <si>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</si>
  <si>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24001</t>
  </si>
  <si>
    <t>AARSCHOT</t>
  </si>
  <si>
    <t>referentietaak LNE (2017); Jaarverslag De Lijn</t>
  </si>
  <si>
    <t>waterkracht</t>
  </si>
  <si>
    <t>Huize Eigen Haard</t>
  </si>
  <si>
    <t>WKK-0880</t>
  </si>
  <si>
    <t>Interne verbrandingsmotor</t>
  </si>
  <si>
    <t>WKK interne verbrandinsgmotor (gas)</t>
  </si>
  <si>
    <t>Herseltsesteenweg 35</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</si>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</sst>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256992.2134138555</c:v>
                </c:pt>
                <c:pt idx="1">
                  <c:v>98157.771957501041</c:v>
                </c:pt>
                <c:pt idx="2">
                  <c:v>1797.6669999999999</c:v>
                </c:pt>
                <c:pt idx="3">
                  <c:v>10324.283516420768</c:v>
                </c:pt>
                <c:pt idx="4">
                  <c:v>43490.244546781236</c:v>
                </c:pt>
                <c:pt idx="5">
                  <c:v>311461.46782135044</c:v>
                </c:pt>
                <c:pt idx="6">
                  <c:v>3671.7965055248901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256992.2134138555</c:v>
                </c:pt>
                <c:pt idx="1">
                  <c:v>98157.771957501041</c:v>
                </c:pt>
                <c:pt idx="2">
                  <c:v>1797.6669999999999</c:v>
                </c:pt>
                <c:pt idx="3">
                  <c:v>10324.283516420768</c:v>
                </c:pt>
                <c:pt idx="4">
                  <c:v>43490.244546781236</c:v>
                </c:pt>
                <c:pt idx="5">
                  <c:v>311461.46782135044</c:v>
                </c:pt>
                <c:pt idx="6">
                  <c:v>3671.7965055248901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53731.981862907349</c:v>
                </c:pt>
                <c:pt idx="1">
                  <c:v>19734.321839984816</c:v>
                </c:pt>
                <c:pt idx="2">
                  <c:v>358.99818840166046</c:v>
                </c:pt>
                <c:pt idx="3">
                  <c:v>2531.8874047999607</c:v>
                </c:pt>
                <c:pt idx="4">
                  <c:v>8761.3470651886419</c:v>
                </c:pt>
                <c:pt idx="5">
                  <c:v>77196.013101703662</c:v>
                </c:pt>
                <c:pt idx="6">
                  <c:v>924.25052636677515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53731.981862907349</c:v>
                </c:pt>
                <c:pt idx="1">
                  <c:v>19734.321839984816</c:v>
                </c:pt>
                <c:pt idx="2">
                  <c:v>358.99818840166046</c:v>
                </c:pt>
                <c:pt idx="3">
                  <c:v>2531.8874047999607</c:v>
                </c:pt>
                <c:pt idx="4">
                  <c:v>8761.3470651886419</c:v>
                </c:pt>
                <c:pt idx="5">
                  <c:v>77196.013101703662</c:v>
                </c:pt>
                <c:pt idx="6">
                  <c:v>924.25052636677515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24001</v>
      </c>
      <c r="B6" s="386"/>
      <c r="C6" s="387"/>
    </row>
    <row r="7" spans="1:7" s="384" customFormat="1" ht="15.75" customHeight="1">
      <c r="A7" s="388" t="str">
        <f>txtMunicipality</f>
        <v>AARSCHOT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39152.180697177704</v>
      </c>
      <c r="D10" s="683">
        <f ca="1">tertiair!C16</f>
        <v>68.303571428571431</v>
      </c>
      <c r="E10" s="683">
        <f ca="1">tertiair!D16</f>
        <v>48825.271305198941</v>
      </c>
      <c r="F10" s="683">
        <f>tertiair!E16</f>
        <v>193.05806452948713</v>
      </c>
      <c r="G10" s="683">
        <f ca="1">tertiair!F16</f>
        <v>8808.0740385445533</v>
      </c>
      <c r="H10" s="683">
        <f>tertiair!G16</f>
        <v>0</v>
      </c>
      <c r="I10" s="683">
        <f>tertiair!H16</f>
        <v>0</v>
      </c>
      <c r="J10" s="683">
        <f>tertiair!I16</f>
        <v>0</v>
      </c>
      <c r="K10" s="683">
        <f>tertiair!J16</f>
        <v>6.6673548793316328E-2</v>
      </c>
      <c r="L10" s="683">
        <f>tertiair!K16</f>
        <v>0</v>
      </c>
      <c r="M10" s="683">
        <f ca="1">tertiair!L16</f>
        <v>0</v>
      </c>
      <c r="N10" s="683">
        <f>tertiair!M16</f>
        <v>0</v>
      </c>
      <c r="O10" s="683">
        <f ca="1">tertiair!N16</f>
        <v>2573.660734170664</v>
      </c>
      <c r="P10" s="683">
        <f>tertiair!O16</f>
        <v>19.589043063364617</v>
      </c>
      <c r="Q10" s="684">
        <f>tertiair!P16</f>
        <v>315.23482983897009</v>
      </c>
      <c r="R10" s="686">
        <f ca="1">SUM(C10:Q10)</f>
        <v>99955.438957501043</v>
      </c>
      <c r="S10" s="67"/>
    </row>
    <row r="11" spans="1:19" s="445" customFormat="1">
      <c r="A11" s="804" t="s">
        <v>220</v>
      </c>
      <c r="B11" s="809"/>
      <c r="C11" s="683">
        <f>huishoudens!B8</f>
        <v>50634.945263906142</v>
      </c>
      <c r="D11" s="683">
        <f>huishoudens!C8</f>
        <v>0</v>
      </c>
      <c r="E11" s="683">
        <f>huishoudens!D8</f>
        <v>88669.099334960803</v>
      </c>
      <c r="F11" s="683">
        <f>huishoudens!E8</f>
        <v>4200.6239436647811</v>
      </c>
      <c r="G11" s="683">
        <f>huishoudens!F8</f>
        <v>92021.410644711825</v>
      </c>
      <c r="H11" s="683">
        <f>huishoudens!G8</f>
        <v>0</v>
      </c>
      <c r="I11" s="683">
        <f>huishoudens!H8</f>
        <v>0</v>
      </c>
      <c r="J11" s="683">
        <f>huishoudens!I8</f>
        <v>0</v>
      </c>
      <c r="K11" s="683">
        <f>huishoudens!J8</f>
        <v>524.44008399173413</v>
      </c>
      <c r="L11" s="683">
        <f>huishoudens!K8</f>
        <v>0</v>
      </c>
      <c r="M11" s="683">
        <f>huishoudens!L8</f>
        <v>0</v>
      </c>
      <c r="N11" s="683">
        <f>huishoudens!M8</f>
        <v>0</v>
      </c>
      <c r="O11" s="683">
        <f>huishoudens!N8</f>
        <v>18648.979630808848</v>
      </c>
      <c r="P11" s="683">
        <f>huishoudens!O8</f>
        <v>501.94142950491909</v>
      </c>
      <c r="Q11" s="684">
        <f>huishoudens!P8</f>
        <v>1790.7730823064537</v>
      </c>
      <c r="R11" s="686">
        <f>SUM(C11:Q11)</f>
        <v>256992.2134138555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28960.5719742806</v>
      </c>
      <c r="D13" s="683">
        <f>industrie!C18</f>
        <v>0</v>
      </c>
      <c r="E13" s="683">
        <f>industrie!D18</f>
        <v>9583.3192567680326</v>
      </c>
      <c r="F13" s="683">
        <f>industrie!E18</f>
        <v>145.03028595154098</v>
      </c>
      <c r="G13" s="683">
        <f>industrie!F18</f>
        <v>3720.1487187628154</v>
      </c>
      <c r="H13" s="683">
        <f>industrie!G18</f>
        <v>0</v>
      </c>
      <c r="I13" s="683">
        <f>industrie!H18</f>
        <v>0</v>
      </c>
      <c r="J13" s="683">
        <f>industrie!I18</f>
        <v>0</v>
      </c>
      <c r="K13" s="683">
        <f>industrie!J18</f>
        <v>44.697466438053738</v>
      </c>
      <c r="L13" s="683">
        <f>industrie!K18</f>
        <v>0</v>
      </c>
      <c r="M13" s="683">
        <f>industrie!L18</f>
        <v>0</v>
      </c>
      <c r="N13" s="683">
        <f>industrie!M18</f>
        <v>0</v>
      </c>
      <c r="O13" s="683">
        <f>industrie!N18</f>
        <v>1036.4768445801903</v>
      </c>
      <c r="P13" s="683">
        <f>industrie!O18</f>
        <v>0</v>
      </c>
      <c r="Q13" s="684">
        <f>industrie!P18</f>
        <v>0</v>
      </c>
      <c r="R13" s="686">
        <f>SUM(C13:Q13)</f>
        <v>43490.244546781236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118747.69793536444</v>
      </c>
      <c r="D16" s="719">
        <f t="shared" ref="D16:R16" ca="1" si="0">SUM(D9:D15)</f>
        <v>68.303571428571431</v>
      </c>
      <c r="E16" s="719">
        <f t="shared" ca="1" si="0"/>
        <v>147077.6898969278</v>
      </c>
      <c r="F16" s="719">
        <f t="shared" si="0"/>
        <v>4538.7122941458092</v>
      </c>
      <c r="G16" s="719">
        <f t="shared" ca="1" si="0"/>
        <v>104549.63340201919</v>
      </c>
      <c r="H16" s="719">
        <f t="shared" si="0"/>
        <v>0</v>
      </c>
      <c r="I16" s="719">
        <f t="shared" si="0"/>
        <v>0</v>
      </c>
      <c r="J16" s="719">
        <f t="shared" si="0"/>
        <v>0</v>
      </c>
      <c r="K16" s="719">
        <f t="shared" si="0"/>
        <v>569.20422397858124</v>
      </c>
      <c r="L16" s="719">
        <f t="shared" si="0"/>
        <v>0</v>
      </c>
      <c r="M16" s="719">
        <f t="shared" ca="1" si="0"/>
        <v>0</v>
      </c>
      <c r="N16" s="719">
        <f t="shared" si="0"/>
        <v>0</v>
      </c>
      <c r="O16" s="719">
        <f t="shared" ca="1" si="0"/>
        <v>22259.117209559699</v>
      </c>
      <c r="P16" s="719">
        <f t="shared" si="0"/>
        <v>521.5304725682837</v>
      </c>
      <c r="Q16" s="719">
        <f t="shared" si="0"/>
        <v>2106.0079121454237</v>
      </c>
      <c r="R16" s="719">
        <f t="shared" ca="1" si="0"/>
        <v>400437.89691813779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54.641820949027135</v>
      </c>
      <c r="D19" s="683">
        <f>transport!C54</f>
        <v>0</v>
      </c>
      <c r="E19" s="683">
        <f>transport!D54</f>
        <v>0</v>
      </c>
      <c r="F19" s="683">
        <f>transport!E54</f>
        <v>0</v>
      </c>
      <c r="G19" s="683">
        <f>transport!F54</f>
        <v>0</v>
      </c>
      <c r="H19" s="683">
        <f>transport!G54</f>
        <v>3420.7431852033938</v>
      </c>
      <c r="I19" s="683">
        <f>transport!H54</f>
        <v>0</v>
      </c>
      <c r="J19" s="683">
        <f>transport!I54</f>
        <v>0</v>
      </c>
      <c r="K19" s="683">
        <f>transport!J54</f>
        <v>0</v>
      </c>
      <c r="L19" s="683">
        <f>transport!K54</f>
        <v>0</v>
      </c>
      <c r="M19" s="683">
        <f>transport!L54</f>
        <v>0</v>
      </c>
      <c r="N19" s="683">
        <f>transport!M54</f>
        <v>196.41149937246939</v>
      </c>
      <c r="O19" s="683">
        <f>transport!N54</f>
        <v>0</v>
      </c>
      <c r="P19" s="683">
        <f>transport!O54</f>
        <v>0</v>
      </c>
      <c r="Q19" s="684">
        <f>transport!P54</f>
        <v>0</v>
      </c>
      <c r="R19" s="686">
        <f>SUM(C19:Q19)</f>
        <v>3671.7965055248901</v>
      </c>
      <c r="S19" s="67"/>
    </row>
    <row r="20" spans="1:19" s="445" customFormat="1">
      <c r="A20" s="804" t="s">
        <v>302</v>
      </c>
      <c r="B20" s="809"/>
      <c r="C20" s="683">
        <f>transport!B14</f>
        <v>757.05277840131362</v>
      </c>
      <c r="D20" s="683">
        <f>transport!C14</f>
        <v>0</v>
      </c>
      <c r="E20" s="683">
        <f>transport!D14</f>
        <v>1245.6839994412394</v>
      </c>
      <c r="F20" s="683">
        <f>transport!E14</f>
        <v>534.55885456842839</v>
      </c>
      <c r="G20" s="683">
        <f>transport!F14</f>
        <v>0</v>
      </c>
      <c r="H20" s="683">
        <f>transport!G14</f>
        <v>229116.8573539588</v>
      </c>
      <c r="I20" s="683">
        <f>transport!H14</f>
        <v>62239.574291896221</v>
      </c>
      <c r="J20" s="683">
        <f>transport!I14</f>
        <v>0</v>
      </c>
      <c r="K20" s="683">
        <f>transport!J14</f>
        <v>0</v>
      </c>
      <c r="L20" s="683">
        <f>transport!K14</f>
        <v>0</v>
      </c>
      <c r="M20" s="683">
        <f>transport!L14</f>
        <v>0</v>
      </c>
      <c r="N20" s="683">
        <f>transport!M14</f>
        <v>17567.740543084477</v>
      </c>
      <c r="O20" s="683">
        <f>transport!N14</f>
        <v>0</v>
      </c>
      <c r="P20" s="683">
        <f>transport!O14</f>
        <v>0</v>
      </c>
      <c r="Q20" s="684">
        <f>transport!P14</f>
        <v>0</v>
      </c>
      <c r="R20" s="686">
        <f>SUM(C20:Q20)</f>
        <v>311461.46782135044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811.6945993503407</v>
      </c>
      <c r="D22" s="807">
        <f t="shared" ref="D22:R22" si="1">SUM(D18:D21)</f>
        <v>0</v>
      </c>
      <c r="E22" s="807">
        <f t="shared" si="1"/>
        <v>1245.6839994412394</v>
      </c>
      <c r="F22" s="807">
        <f t="shared" si="1"/>
        <v>534.55885456842839</v>
      </c>
      <c r="G22" s="807">
        <f t="shared" si="1"/>
        <v>0</v>
      </c>
      <c r="H22" s="807">
        <f t="shared" si="1"/>
        <v>232537.6005391622</v>
      </c>
      <c r="I22" s="807">
        <f t="shared" si="1"/>
        <v>62239.574291896221</v>
      </c>
      <c r="J22" s="807">
        <f t="shared" si="1"/>
        <v>0</v>
      </c>
      <c r="K22" s="807">
        <f t="shared" si="1"/>
        <v>0</v>
      </c>
      <c r="L22" s="807">
        <f t="shared" si="1"/>
        <v>0</v>
      </c>
      <c r="M22" s="807">
        <f t="shared" si="1"/>
        <v>0</v>
      </c>
      <c r="N22" s="807">
        <f t="shared" si="1"/>
        <v>17764.152042456946</v>
      </c>
      <c r="O22" s="807">
        <f t="shared" si="1"/>
        <v>0</v>
      </c>
      <c r="P22" s="807">
        <f t="shared" si="1"/>
        <v>0</v>
      </c>
      <c r="Q22" s="807">
        <f t="shared" si="1"/>
        <v>0</v>
      </c>
      <c r="R22" s="807">
        <f t="shared" si="1"/>
        <v>315133.26432687533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1838.29823515062</v>
      </c>
      <c r="D24" s="683">
        <f>+landbouw!C8</f>
        <v>0</v>
      </c>
      <c r="E24" s="683">
        <f>+landbouw!D8</f>
        <v>2146.8091786335344</v>
      </c>
      <c r="F24" s="683">
        <f>+landbouw!E8</f>
        <v>52.651972424882359</v>
      </c>
      <c r="G24" s="683">
        <f>+landbouw!F8</f>
        <v>5819.1026159747162</v>
      </c>
      <c r="H24" s="683">
        <f>+landbouw!G8</f>
        <v>0</v>
      </c>
      <c r="I24" s="683">
        <f>+landbouw!H8</f>
        <v>0</v>
      </c>
      <c r="J24" s="683">
        <f>+landbouw!I8</f>
        <v>0</v>
      </c>
      <c r="K24" s="683">
        <f>+landbouw!J8</f>
        <v>467.42151423701529</v>
      </c>
      <c r="L24" s="683">
        <f>+landbouw!K8</f>
        <v>0</v>
      </c>
      <c r="M24" s="683">
        <f>+landbouw!L8</f>
        <v>0</v>
      </c>
      <c r="N24" s="683">
        <f>+landbouw!M8</f>
        <v>0</v>
      </c>
      <c r="O24" s="683">
        <f>+landbouw!N8</f>
        <v>0</v>
      </c>
      <c r="P24" s="683">
        <f>+landbouw!O8</f>
        <v>0</v>
      </c>
      <c r="Q24" s="684">
        <f>+landbouw!P8</f>
        <v>0</v>
      </c>
      <c r="R24" s="686">
        <f>SUM(C24:Q24)</f>
        <v>10324.283516420768</v>
      </c>
      <c r="S24" s="67"/>
    </row>
    <row r="25" spans="1:19" s="445" customFormat="1" ht="15" thickBot="1">
      <c r="A25" s="826" t="s">
        <v>696</v>
      </c>
      <c r="B25" s="939"/>
      <c r="C25" s="940">
        <f>IF(Onbekend_ele_kWh="---",0,Onbekend_ele_kWh)/1000+IF(REST_rest_ele_kWh="---",0,REST_rest_ele_kWh)/1000</f>
        <v>1735.7551184951801</v>
      </c>
      <c r="D25" s="940"/>
      <c r="E25" s="940">
        <f>IF(onbekend_gas_kWh="---",0,onbekend_gas_kWh)/1000+IF(REST_rest_gas_kWh="---",0,REST_rest_gas_kWh)/1000</f>
        <v>2109.8074744364599</v>
      </c>
      <c r="F25" s="940"/>
      <c r="G25" s="940"/>
      <c r="H25" s="940"/>
      <c r="I25" s="940"/>
      <c r="J25" s="940"/>
      <c r="K25" s="940"/>
      <c r="L25" s="940"/>
      <c r="M25" s="940"/>
      <c r="N25" s="940"/>
      <c r="O25" s="940"/>
      <c r="P25" s="940"/>
      <c r="Q25" s="941"/>
      <c r="R25" s="686">
        <f>SUM(C25:Q25)</f>
        <v>3845.5625929316402</v>
      </c>
      <c r="S25" s="67"/>
    </row>
    <row r="26" spans="1:19" s="445" customFormat="1" ht="15.75" thickBot="1">
      <c r="A26" s="691" t="s">
        <v>697</v>
      </c>
      <c r="B26" s="812"/>
      <c r="C26" s="807">
        <f>SUM(C24:C25)</f>
        <v>3574.0533536458001</v>
      </c>
      <c r="D26" s="807">
        <f t="shared" ref="D26:R26" si="2">SUM(D24:D25)</f>
        <v>0</v>
      </c>
      <c r="E26" s="807">
        <f t="shared" si="2"/>
        <v>4256.6166530699938</v>
      </c>
      <c r="F26" s="807">
        <f t="shared" si="2"/>
        <v>52.651972424882359</v>
      </c>
      <c r="G26" s="807">
        <f t="shared" si="2"/>
        <v>5819.1026159747162</v>
      </c>
      <c r="H26" s="807">
        <f t="shared" si="2"/>
        <v>0</v>
      </c>
      <c r="I26" s="807">
        <f t="shared" si="2"/>
        <v>0</v>
      </c>
      <c r="J26" s="807">
        <f t="shared" si="2"/>
        <v>0</v>
      </c>
      <c r="K26" s="807">
        <f t="shared" si="2"/>
        <v>467.42151423701529</v>
      </c>
      <c r="L26" s="807">
        <f t="shared" si="2"/>
        <v>0</v>
      </c>
      <c r="M26" s="807">
        <f t="shared" si="2"/>
        <v>0</v>
      </c>
      <c r="N26" s="807">
        <f t="shared" si="2"/>
        <v>0</v>
      </c>
      <c r="O26" s="807">
        <f t="shared" si="2"/>
        <v>0</v>
      </c>
      <c r="P26" s="807">
        <f t="shared" si="2"/>
        <v>0</v>
      </c>
      <c r="Q26" s="807">
        <f t="shared" si="2"/>
        <v>0</v>
      </c>
      <c r="R26" s="807">
        <f t="shared" si="2"/>
        <v>14169.846109352409</v>
      </c>
      <c r="S26" s="67"/>
    </row>
    <row r="27" spans="1:19" s="445" customFormat="1" ht="17.25" thickTop="1" thickBot="1">
      <c r="A27" s="692" t="s">
        <v>115</v>
      </c>
      <c r="B27" s="799"/>
      <c r="C27" s="693">
        <f ca="1">C22+C16+C26</f>
        <v>123133.44588836058</v>
      </c>
      <c r="D27" s="693">
        <f t="shared" ref="D27:R27" ca="1" si="3">D22+D16+D26</f>
        <v>68.303571428571431</v>
      </c>
      <c r="E27" s="693">
        <f t="shared" ca="1" si="3"/>
        <v>152579.99054943904</v>
      </c>
      <c r="F27" s="693">
        <f t="shared" si="3"/>
        <v>5125.9231211391198</v>
      </c>
      <c r="G27" s="693">
        <f t="shared" ca="1" si="3"/>
        <v>110368.7360179939</v>
      </c>
      <c r="H27" s="693">
        <f t="shared" si="3"/>
        <v>232537.6005391622</v>
      </c>
      <c r="I27" s="693">
        <f t="shared" si="3"/>
        <v>62239.574291896221</v>
      </c>
      <c r="J27" s="693">
        <f t="shared" si="3"/>
        <v>0</v>
      </c>
      <c r="K27" s="693">
        <f t="shared" si="3"/>
        <v>1036.6257382155966</v>
      </c>
      <c r="L27" s="693">
        <f t="shared" si="3"/>
        <v>0</v>
      </c>
      <c r="M27" s="693">
        <f t="shared" ca="1" si="3"/>
        <v>0</v>
      </c>
      <c r="N27" s="693">
        <f t="shared" si="3"/>
        <v>17764.152042456946</v>
      </c>
      <c r="O27" s="693">
        <f t="shared" ca="1" si="3"/>
        <v>22259.117209559699</v>
      </c>
      <c r="P27" s="693">
        <f t="shared" si="3"/>
        <v>521.5304725682837</v>
      </c>
      <c r="Q27" s="693">
        <f t="shared" si="3"/>
        <v>2106.0079121454237</v>
      </c>
      <c r="R27" s="693">
        <f t="shared" ca="1" si="3"/>
        <v>729741.00735436555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7818.7795305032887</v>
      </c>
      <c r="D40" s="683">
        <f ca="1">tertiair!C20</f>
        <v>16.232142857142858</v>
      </c>
      <c r="E40" s="683">
        <f ca="1">tertiair!D20</f>
        <v>9862.7048036501874</v>
      </c>
      <c r="F40" s="683">
        <f>tertiair!E20</f>
        <v>43.824180648193582</v>
      </c>
      <c r="G40" s="683">
        <f ca="1">tertiair!F20</f>
        <v>2351.7557682913957</v>
      </c>
      <c r="H40" s="683">
        <f>tertiair!G20</f>
        <v>0</v>
      </c>
      <c r="I40" s="683">
        <f>tertiair!H20</f>
        <v>0</v>
      </c>
      <c r="J40" s="683">
        <f>tertiair!I20</f>
        <v>0</v>
      </c>
      <c r="K40" s="683">
        <f>tertiair!J20</f>
        <v>2.3602436272833979E-2</v>
      </c>
      <c r="L40" s="683">
        <f>tertiair!K20</f>
        <v>0</v>
      </c>
      <c r="M40" s="683">
        <f ca="1">tertiair!L20</f>
        <v>0</v>
      </c>
      <c r="N40" s="683">
        <f>tertiair!M20</f>
        <v>0</v>
      </c>
      <c r="O40" s="683">
        <f ca="1">tertiair!N20</f>
        <v>0</v>
      </c>
      <c r="P40" s="683">
        <f>tertiair!O20</f>
        <v>0</v>
      </c>
      <c r="Q40" s="766">
        <f>tertiair!P20</f>
        <v>0</v>
      </c>
      <c r="R40" s="845">
        <f t="shared" ca="1" si="4"/>
        <v>20093.320028386475</v>
      </c>
    </row>
    <row r="41" spans="1:18">
      <c r="A41" s="817" t="s">
        <v>220</v>
      </c>
      <c r="B41" s="824"/>
      <c r="C41" s="683">
        <f ca="1">huishoudens!B12</f>
        <v>10111.913730162229</v>
      </c>
      <c r="D41" s="683">
        <f ca="1">huishoudens!C12</f>
        <v>0</v>
      </c>
      <c r="E41" s="683">
        <f>huishoudens!D12</f>
        <v>17911.158065662083</v>
      </c>
      <c r="F41" s="683">
        <f>huishoudens!E12</f>
        <v>953.54163521190537</v>
      </c>
      <c r="G41" s="683">
        <f>huishoudens!F12</f>
        <v>24569.716642138057</v>
      </c>
      <c r="H41" s="683">
        <f>huishoudens!G12</f>
        <v>0</v>
      </c>
      <c r="I41" s="683">
        <f>huishoudens!H12</f>
        <v>0</v>
      </c>
      <c r="J41" s="683">
        <f>huishoudens!I12</f>
        <v>0</v>
      </c>
      <c r="K41" s="683">
        <f>huishoudens!J12</f>
        <v>185.65178973307388</v>
      </c>
      <c r="L41" s="683">
        <f>huishoudens!K12</f>
        <v>0</v>
      </c>
      <c r="M41" s="683">
        <f>huishoudens!L12</f>
        <v>0</v>
      </c>
      <c r="N41" s="683">
        <f>huishoudens!M12</f>
        <v>0</v>
      </c>
      <c r="O41" s="683">
        <f>huishoudens!N12</f>
        <v>0</v>
      </c>
      <c r="P41" s="683">
        <f>huishoudens!O12</f>
        <v>0</v>
      </c>
      <c r="Q41" s="766">
        <f>huishoudens!P12</f>
        <v>0</v>
      </c>
      <c r="R41" s="845">
        <f t="shared" ca="1" si="4"/>
        <v>53731.981862907349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5783.4920893817571</v>
      </c>
      <c r="D43" s="683">
        <f ca="1">industrie!C22</f>
        <v>0</v>
      </c>
      <c r="E43" s="683">
        <f>industrie!D22</f>
        <v>1935.8304898671427</v>
      </c>
      <c r="F43" s="683">
        <f>industrie!E22</f>
        <v>32.921874910999804</v>
      </c>
      <c r="G43" s="683">
        <f>industrie!F22</f>
        <v>993.27970790967174</v>
      </c>
      <c r="H43" s="683">
        <f>industrie!G22</f>
        <v>0</v>
      </c>
      <c r="I43" s="683">
        <f>industrie!H22</f>
        <v>0</v>
      </c>
      <c r="J43" s="683">
        <f>industrie!I22</f>
        <v>0</v>
      </c>
      <c r="K43" s="683">
        <f>industrie!J22</f>
        <v>15.822903119071022</v>
      </c>
      <c r="L43" s="683">
        <f>industrie!K22</f>
        <v>0</v>
      </c>
      <c r="M43" s="683">
        <f>industrie!L22</f>
        <v>0</v>
      </c>
      <c r="N43" s="683">
        <f>industrie!M22</f>
        <v>0</v>
      </c>
      <c r="O43" s="683">
        <f>industrie!N22</f>
        <v>0</v>
      </c>
      <c r="P43" s="683">
        <f>industrie!O22</f>
        <v>0</v>
      </c>
      <c r="Q43" s="766">
        <f>industrie!P22</f>
        <v>0</v>
      </c>
      <c r="R43" s="844">
        <f t="shared" ca="1" si="4"/>
        <v>8761.3470651886419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23714.185350047275</v>
      </c>
      <c r="D46" s="719">
        <f t="shared" ref="D46:Q46" ca="1" si="5">SUM(D39:D45)</f>
        <v>16.232142857142858</v>
      </c>
      <c r="E46" s="719">
        <f t="shared" ca="1" si="5"/>
        <v>29709.693359179411</v>
      </c>
      <c r="F46" s="719">
        <f t="shared" si="5"/>
        <v>1030.2876907710988</v>
      </c>
      <c r="G46" s="719">
        <f t="shared" ca="1" si="5"/>
        <v>27914.752118339122</v>
      </c>
      <c r="H46" s="719">
        <f t="shared" si="5"/>
        <v>0</v>
      </c>
      <c r="I46" s="719">
        <f t="shared" si="5"/>
        <v>0</v>
      </c>
      <c r="J46" s="719">
        <f t="shared" si="5"/>
        <v>0</v>
      </c>
      <c r="K46" s="719">
        <f t="shared" si="5"/>
        <v>201.49829528841772</v>
      </c>
      <c r="L46" s="719">
        <f t="shared" si="5"/>
        <v>0</v>
      </c>
      <c r="M46" s="719">
        <f t="shared" ca="1" si="5"/>
        <v>0</v>
      </c>
      <c r="N46" s="719">
        <f t="shared" si="5"/>
        <v>0</v>
      </c>
      <c r="O46" s="719">
        <f t="shared" ca="1" si="5"/>
        <v>0</v>
      </c>
      <c r="P46" s="719">
        <f t="shared" si="5"/>
        <v>0</v>
      </c>
      <c r="Q46" s="719">
        <f t="shared" si="5"/>
        <v>0</v>
      </c>
      <c r="R46" s="719">
        <f ca="1">SUM(R39:R45)</f>
        <v>82586.648956482473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10.912095917468942</v>
      </c>
      <c r="D49" s="683">
        <f ca="1">transport!C58</f>
        <v>0</v>
      </c>
      <c r="E49" s="683">
        <f>transport!D58</f>
        <v>0</v>
      </c>
      <c r="F49" s="683">
        <f>transport!E58</f>
        <v>0</v>
      </c>
      <c r="G49" s="683">
        <f>transport!F58</f>
        <v>0</v>
      </c>
      <c r="H49" s="683">
        <f>transport!G58</f>
        <v>913.3384304493062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924.25052636677515</v>
      </c>
    </row>
    <row r="50" spans="1:18">
      <c r="A50" s="820" t="s">
        <v>302</v>
      </c>
      <c r="B50" s="830"/>
      <c r="C50" s="689">
        <f ca="1">transport!B18</f>
        <v>151.18516164034568</v>
      </c>
      <c r="D50" s="689">
        <f>transport!C18</f>
        <v>0</v>
      </c>
      <c r="E50" s="689">
        <f>transport!D18</f>
        <v>251.62816788713036</v>
      </c>
      <c r="F50" s="689">
        <f>transport!E18</f>
        <v>121.34485998703325</v>
      </c>
      <c r="G50" s="689">
        <f>transport!F18</f>
        <v>0</v>
      </c>
      <c r="H50" s="689">
        <f>transport!G18</f>
        <v>61174.200913507004</v>
      </c>
      <c r="I50" s="689">
        <f>transport!H18</f>
        <v>15497.653998682159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77196.013101703662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162.09725755781463</v>
      </c>
      <c r="D52" s="719">
        <f t="shared" ref="D52:Q52" ca="1" si="6">SUM(D48:D51)</f>
        <v>0</v>
      </c>
      <c r="E52" s="719">
        <f t="shared" si="6"/>
        <v>251.62816788713036</v>
      </c>
      <c r="F52" s="719">
        <f t="shared" si="6"/>
        <v>121.34485998703325</v>
      </c>
      <c r="G52" s="719">
        <f t="shared" si="6"/>
        <v>0</v>
      </c>
      <c r="H52" s="719">
        <f t="shared" si="6"/>
        <v>62087.539343956312</v>
      </c>
      <c r="I52" s="719">
        <f t="shared" si="6"/>
        <v>15497.653998682159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78120.263628070432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367.1123384703854</v>
      </c>
      <c r="D54" s="689">
        <f ca="1">+landbouw!C12</f>
        <v>0</v>
      </c>
      <c r="E54" s="689">
        <f>+landbouw!D12</f>
        <v>433.65545408397401</v>
      </c>
      <c r="F54" s="689">
        <f>+landbouw!E12</f>
        <v>11.951997740448295</v>
      </c>
      <c r="G54" s="689">
        <f>+landbouw!F12</f>
        <v>1553.7003984652492</v>
      </c>
      <c r="H54" s="689">
        <f>+landbouw!G12</f>
        <v>0</v>
      </c>
      <c r="I54" s="689">
        <f>+landbouw!H12</f>
        <v>0</v>
      </c>
      <c r="J54" s="689">
        <f>+landbouw!I12</f>
        <v>0</v>
      </c>
      <c r="K54" s="689">
        <f>+landbouw!J12</f>
        <v>165.46721603990341</v>
      </c>
      <c r="L54" s="689">
        <f>+landbouw!K12</f>
        <v>0</v>
      </c>
      <c r="M54" s="689">
        <f>+landbouw!L12</f>
        <v>0</v>
      </c>
      <c r="N54" s="689">
        <f>+landbouw!M12</f>
        <v>0</v>
      </c>
      <c r="O54" s="689">
        <f>+landbouw!N12</f>
        <v>0</v>
      </c>
      <c r="P54" s="689">
        <f>+landbouw!O12</f>
        <v>0</v>
      </c>
      <c r="Q54" s="690">
        <f>+landbouw!P12</f>
        <v>0</v>
      </c>
      <c r="R54" s="718">
        <f ca="1">SUM(C54:Q54)</f>
        <v>2531.8874047999607</v>
      </c>
    </row>
    <row r="55" spans="1:18" ht="15" thickBot="1">
      <c r="A55" s="820" t="s">
        <v>696</v>
      </c>
      <c r="B55" s="830"/>
      <c r="C55" s="689">
        <f ca="1">C25*'EF ele_warmte'!B12</f>
        <v>346.63424485662762</v>
      </c>
      <c r="D55" s="689"/>
      <c r="E55" s="689">
        <f>E25*EF_CO2_aardgas</f>
        <v>426.18110983616492</v>
      </c>
      <c r="F55" s="689"/>
      <c r="G55" s="689"/>
      <c r="H55" s="689"/>
      <c r="I55" s="689"/>
      <c r="J55" s="689"/>
      <c r="K55" s="689"/>
      <c r="L55" s="689"/>
      <c r="M55" s="689"/>
      <c r="N55" s="689"/>
      <c r="O55" s="689"/>
      <c r="P55" s="689"/>
      <c r="Q55" s="690"/>
      <c r="R55" s="718">
        <f ca="1">SUM(C55:Q55)</f>
        <v>772.81535469279254</v>
      </c>
    </row>
    <row r="56" spans="1:18" ht="15.75" thickBot="1">
      <c r="A56" s="818" t="s">
        <v>697</v>
      </c>
      <c r="B56" s="831"/>
      <c r="C56" s="719">
        <f ca="1">SUM(C54:C55)</f>
        <v>713.74658332701301</v>
      </c>
      <c r="D56" s="719">
        <f t="shared" ref="D56:Q56" ca="1" si="7">SUM(D54:D55)</f>
        <v>0</v>
      </c>
      <c r="E56" s="719">
        <f t="shared" si="7"/>
        <v>859.83656392013893</v>
      </c>
      <c r="F56" s="719">
        <f t="shared" si="7"/>
        <v>11.951997740448295</v>
      </c>
      <c r="G56" s="719">
        <f t="shared" si="7"/>
        <v>1553.7003984652492</v>
      </c>
      <c r="H56" s="719">
        <f t="shared" si="7"/>
        <v>0</v>
      </c>
      <c r="I56" s="719">
        <f t="shared" si="7"/>
        <v>0</v>
      </c>
      <c r="J56" s="719">
        <f t="shared" si="7"/>
        <v>0</v>
      </c>
      <c r="K56" s="719">
        <f t="shared" si="7"/>
        <v>165.46721603990341</v>
      </c>
      <c r="L56" s="719">
        <f t="shared" si="7"/>
        <v>0</v>
      </c>
      <c r="M56" s="719">
        <f t="shared" si="7"/>
        <v>0</v>
      </c>
      <c r="N56" s="719">
        <f t="shared" si="7"/>
        <v>0</v>
      </c>
      <c r="O56" s="719">
        <f t="shared" si="7"/>
        <v>0</v>
      </c>
      <c r="P56" s="719">
        <f t="shared" si="7"/>
        <v>0</v>
      </c>
      <c r="Q56" s="720">
        <f t="shared" si="7"/>
        <v>0</v>
      </c>
      <c r="R56" s="721">
        <f ca="1">SUM(R54:R55)</f>
        <v>3304.7027594927531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24590.029190932106</v>
      </c>
      <c r="D61" s="727">
        <f t="shared" ref="D61:Q61" ca="1" si="8">D46+D52+D56</f>
        <v>16.232142857142858</v>
      </c>
      <c r="E61" s="727">
        <f t="shared" ca="1" si="8"/>
        <v>30821.158090986683</v>
      </c>
      <c r="F61" s="727">
        <f t="shared" si="8"/>
        <v>1163.5845484985805</v>
      </c>
      <c r="G61" s="727">
        <f t="shared" ca="1" si="8"/>
        <v>29468.452516804369</v>
      </c>
      <c r="H61" s="727">
        <f t="shared" si="8"/>
        <v>62087.539343956312</v>
      </c>
      <c r="I61" s="727">
        <f t="shared" si="8"/>
        <v>15497.653998682159</v>
      </c>
      <c r="J61" s="727">
        <f t="shared" si="8"/>
        <v>0</v>
      </c>
      <c r="K61" s="727">
        <f t="shared" si="8"/>
        <v>366.9655113283211</v>
      </c>
      <c r="L61" s="727">
        <f t="shared" si="8"/>
        <v>0</v>
      </c>
      <c r="M61" s="727">
        <f t="shared" ca="1" si="8"/>
        <v>0</v>
      </c>
      <c r="N61" s="727">
        <f t="shared" si="8"/>
        <v>0</v>
      </c>
      <c r="O61" s="727">
        <f t="shared" ca="1" si="8"/>
        <v>0</v>
      </c>
      <c r="P61" s="727">
        <f t="shared" si="8"/>
        <v>0</v>
      </c>
      <c r="Q61" s="727">
        <f t="shared" si="8"/>
        <v>0</v>
      </c>
      <c r="R61" s="727">
        <f ca="1">R46+R52+R56</f>
        <v>164011.61534404565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0.19970227433760565</v>
      </c>
      <c r="D63" s="773">
        <f t="shared" ca="1" si="9"/>
        <v>0.23764705882352941</v>
      </c>
      <c r="E63" s="965">
        <f t="shared" ca="1" si="9"/>
        <v>0.20199999999999999</v>
      </c>
      <c r="F63" s="773">
        <f t="shared" si="9"/>
        <v>0.22700000000000006</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10.457375463389658</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11859.48962858905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47.8125</v>
      </c>
      <c r="D76" s="948">
        <f>'lokale energieproductie'!C8</f>
        <v>56.25</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11.362500000000001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11869.947004052439</v>
      </c>
      <c r="C78" s="745">
        <f>SUM(C72:C77)</f>
        <v>47.8125</v>
      </c>
      <c r="D78" s="746">
        <f t="shared" ref="D78:H78" si="10">SUM(D76:D77)</f>
        <v>56.25</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11.362500000000001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68.303571428571431</v>
      </c>
      <c r="D87" s="769">
        <f>'lokale energieproductie'!C17</f>
        <v>80.357142857142861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16.232142857142858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68.303571428571431</v>
      </c>
      <c r="D90" s="745">
        <f t="shared" ref="D90:H90" si="12">SUM(D87:D89)</f>
        <v>80.357142857142861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16.232142857142858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50634.945263906142</v>
      </c>
      <c r="C4" s="449">
        <f>huishoudens!C8</f>
        <v>0</v>
      </c>
      <c r="D4" s="449">
        <f>huishoudens!D8</f>
        <v>88669.099334960803</v>
      </c>
      <c r="E4" s="449">
        <f>huishoudens!E8</f>
        <v>4200.6239436647811</v>
      </c>
      <c r="F4" s="449">
        <f>huishoudens!F8</f>
        <v>92021.410644711825</v>
      </c>
      <c r="G4" s="449">
        <f>huishoudens!G8</f>
        <v>0</v>
      </c>
      <c r="H4" s="449">
        <f>huishoudens!H8</f>
        <v>0</v>
      </c>
      <c r="I4" s="449">
        <f>huishoudens!I8</f>
        <v>0</v>
      </c>
      <c r="J4" s="449">
        <f>huishoudens!J8</f>
        <v>524.44008399173413</v>
      </c>
      <c r="K4" s="449">
        <f>huishoudens!K8</f>
        <v>0</v>
      </c>
      <c r="L4" s="449">
        <f>huishoudens!L8</f>
        <v>0</v>
      </c>
      <c r="M4" s="449">
        <f>huishoudens!M8</f>
        <v>0</v>
      </c>
      <c r="N4" s="449">
        <f>huishoudens!N8</f>
        <v>18648.979630808848</v>
      </c>
      <c r="O4" s="449">
        <f>huishoudens!O8</f>
        <v>501.94142950491909</v>
      </c>
      <c r="P4" s="450">
        <f>huishoudens!P8</f>
        <v>1790.7730823064537</v>
      </c>
      <c r="Q4" s="451">
        <f>SUM(B4:P4)</f>
        <v>256992.2134138555</v>
      </c>
    </row>
    <row r="5" spans="1:17">
      <c r="A5" s="448" t="s">
        <v>155</v>
      </c>
      <c r="B5" s="449">
        <f ca="1">tertiair!B16</f>
        <v>37354.513697177703</v>
      </c>
      <c r="C5" s="449">
        <f ca="1">tertiair!C16</f>
        <v>68.303571428571431</v>
      </c>
      <c r="D5" s="449">
        <f ca="1">tertiair!D16</f>
        <v>48825.271305198941</v>
      </c>
      <c r="E5" s="449">
        <f>tertiair!E16</f>
        <v>193.05806452948713</v>
      </c>
      <c r="F5" s="449">
        <f ca="1">tertiair!F16</f>
        <v>8808.0740385445533</v>
      </c>
      <c r="G5" s="449">
        <f>tertiair!G16</f>
        <v>0</v>
      </c>
      <c r="H5" s="449">
        <f>tertiair!H16</f>
        <v>0</v>
      </c>
      <c r="I5" s="449">
        <f>tertiair!I16</f>
        <v>0</v>
      </c>
      <c r="J5" s="449">
        <f>tertiair!J16</f>
        <v>6.6673548793316328E-2</v>
      </c>
      <c r="K5" s="449">
        <f>tertiair!K16</f>
        <v>0</v>
      </c>
      <c r="L5" s="449">
        <f ca="1">tertiair!L16</f>
        <v>0</v>
      </c>
      <c r="M5" s="449">
        <f>tertiair!M16</f>
        <v>0</v>
      </c>
      <c r="N5" s="449">
        <f ca="1">tertiair!N16</f>
        <v>2573.660734170664</v>
      </c>
      <c r="O5" s="449">
        <f>tertiair!O16</f>
        <v>19.589043063364617</v>
      </c>
      <c r="P5" s="450">
        <f>tertiair!P16</f>
        <v>315.23482983897009</v>
      </c>
      <c r="Q5" s="448">
        <f t="shared" ref="Q5:Q14" ca="1" si="0">SUM(B5:P5)</f>
        <v>98157.771957501041</v>
      </c>
    </row>
    <row r="6" spans="1:17">
      <c r="A6" s="448" t="s">
        <v>193</v>
      </c>
      <c r="B6" s="449">
        <f>'openbare verlichting'!B8</f>
        <v>1797.6669999999999</v>
      </c>
      <c r="C6" s="449"/>
      <c r="D6" s="449"/>
      <c r="E6" s="449"/>
      <c r="F6" s="449"/>
      <c r="G6" s="449"/>
      <c r="H6" s="449"/>
      <c r="I6" s="449"/>
      <c r="J6" s="449"/>
      <c r="K6" s="449"/>
      <c r="L6" s="449"/>
      <c r="M6" s="449"/>
      <c r="N6" s="449"/>
      <c r="O6" s="449"/>
      <c r="P6" s="450"/>
      <c r="Q6" s="448">
        <f t="shared" si="0"/>
        <v>1797.6669999999999</v>
      </c>
    </row>
    <row r="7" spans="1:17">
      <c r="A7" s="448" t="s">
        <v>111</v>
      </c>
      <c r="B7" s="449">
        <f>landbouw!B8</f>
        <v>1838.29823515062</v>
      </c>
      <c r="C7" s="449">
        <f>landbouw!C8</f>
        <v>0</v>
      </c>
      <c r="D7" s="449">
        <f>landbouw!D8</f>
        <v>2146.8091786335344</v>
      </c>
      <c r="E7" s="449">
        <f>landbouw!E8</f>
        <v>52.651972424882359</v>
      </c>
      <c r="F7" s="449">
        <f>landbouw!F8</f>
        <v>5819.1026159747162</v>
      </c>
      <c r="G7" s="449">
        <f>landbouw!G8</f>
        <v>0</v>
      </c>
      <c r="H7" s="449">
        <f>landbouw!H8</f>
        <v>0</v>
      </c>
      <c r="I7" s="449">
        <f>landbouw!I8</f>
        <v>0</v>
      </c>
      <c r="J7" s="449">
        <f>landbouw!J8</f>
        <v>467.42151423701529</v>
      </c>
      <c r="K7" s="449">
        <f>landbouw!K8</f>
        <v>0</v>
      </c>
      <c r="L7" s="449">
        <f>landbouw!L8</f>
        <v>0</v>
      </c>
      <c r="M7" s="449">
        <f>landbouw!M8</f>
        <v>0</v>
      </c>
      <c r="N7" s="449">
        <f>landbouw!N8</f>
        <v>0</v>
      </c>
      <c r="O7" s="449">
        <f>landbouw!O8</f>
        <v>0</v>
      </c>
      <c r="P7" s="450">
        <f>landbouw!P8</f>
        <v>0</v>
      </c>
      <c r="Q7" s="448">
        <f t="shared" si="0"/>
        <v>10324.283516420768</v>
      </c>
    </row>
    <row r="8" spans="1:17">
      <c r="A8" s="448" t="s">
        <v>617</v>
      </c>
      <c r="B8" s="449">
        <f>industrie!B18</f>
        <v>28960.5719742806</v>
      </c>
      <c r="C8" s="449">
        <f>industrie!C18</f>
        <v>0</v>
      </c>
      <c r="D8" s="449">
        <f>industrie!D18</f>
        <v>9583.3192567680326</v>
      </c>
      <c r="E8" s="449">
        <f>industrie!E18</f>
        <v>145.03028595154098</v>
      </c>
      <c r="F8" s="449">
        <f>industrie!F18</f>
        <v>3720.1487187628154</v>
      </c>
      <c r="G8" s="449">
        <f>industrie!G18</f>
        <v>0</v>
      </c>
      <c r="H8" s="449">
        <f>industrie!H18</f>
        <v>0</v>
      </c>
      <c r="I8" s="449">
        <f>industrie!I18</f>
        <v>0</v>
      </c>
      <c r="J8" s="449">
        <f>industrie!J18</f>
        <v>44.697466438053738</v>
      </c>
      <c r="K8" s="449">
        <f>industrie!K18</f>
        <v>0</v>
      </c>
      <c r="L8" s="449">
        <f>industrie!L18</f>
        <v>0</v>
      </c>
      <c r="M8" s="449">
        <f>industrie!M18</f>
        <v>0</v>
      </c>
      <c r="N8" s="449">
        <f>industrie!N18</f>
        <v>1036.4768445801903</v>
      </c>
      <c r="O8" s="449">
        <f>industrie!O18</f>
        <v>0</v>
      </c>
      <c r="P8" s="450">
        <f>industrie!P18</f>
        <v>0</v>
      </c>
      <c r="Q8" s="448">
        <f t="shared" si="0"/>
        <v>43490.244546781236</v>
      </c>
    </row>
    <row r="9" spans="1:17" s="454" customFormat="1">
      <c r="A9" s="452" t="s">
        <v>543</v>
      </c>
      <c r="B9" s="453">
        <f>transport!B14</f>
        <v>757.05277840131362</v>
      </c>
      <c r="C9" s="453">
        <f>transport!C14</f>
        <v>0</v>
      </c>
      <c r="D9" s="453">
        <f>transport!D14</f>
        <v>1245.6839994412394</v>
      </c>
      <c r="E9" s="453">
        <f>transport!E14</f>
        <v>534.55885456842839</v>
      </c>
      <c r="F9" s="453">
        <f>transport!F14</f>
        <v>0</v>
      </c>
      <c r="G9" s="453">
        <f>transport!G14</f>
        <v>229116.8573539588</v>
      </c>
      <c r="H9" s="453">
        <f>transport!H14</f>
        <v>62239.574291896221</v>
      </c>
      <c r="I9" s="453">
        <f>transport!I14</f>
        <v>0</v>
      </c>
      <c r="J9" s="453">
        <f>transport!J14</f>
        <v>0</v>
      </c>
      <c r="K9" s="453">
        <f>transport!K14</f>
        <v>0</v>
      </c>
      <c r="L9" s="453">
        <f>transport!L14</f>
        <v>0</v>
      </c>
      <c r="M9" s="453">
        <f>transport!M14</f>
        <v>17567.740543084477</v>
      </c>
      <c r="N9" s="453">
        <f>transport!N14</f>
        <v>0</v>
      </c>
      <c r="O9" s="453">
        <f>transport!O14</f>
        <v>0</v>
      </c>
      <c r="P9" s="453">
        <f>transport!P14</f>
        <v>0</v>
      </c>
      <c r="Q9" s="452">
        <f>SUM(B9:P9)</f>
        <v>311461.46782135044</v>
      </c>
    </row>
    <row r="10" spans="1:17">
      <c r="A10" s="448" t="s">
        <v>533</v>
      </c>
      <c r="B10" s="449">
        <f>transport!B54</f>
        <v>54.641820949027135</v>
      </c>
      <c r="C10" s="449">
        <f>transport!C54</f>
        <v>0</v>
      </c>
      <c r="D10" s="449">
        <f>transport!D54</f>
        <v>0</v>
      </c>
      <c r="E10" s="449">
        <f>transport!E54</f>
        <v>0</v>
      </c>
      <c r="F10" s="449">
        <f>transport!F54</f>
        <v>0</v>
      </c>
      <c r="G10" s="449">
        <f>transport!G54</f>
        <v>3420.7431852033938</v>
      </c>
      <c r="H10" s="449">
        <f>transport!H54</f>
        <v>0</v>
      </c>
      <c r="I10" s="449">
        <f>transport!I54</f>
        <v>0</v>
      </c>
      <c r="J10" s="449">
        <f>transport!J54</f>
        <v>0</v>
      </c>
      <c r="K10" s="449">
        <f>transport!K54</f>
        <v>0</v>
      </c>
      <c r="L10" s="449">
        <f>transport!L54</f>
        <v>0</v>
      </c>
      <c r="M10" s="449">
        <f>transport!M54</f>
        <v>196.41149937246939</v>
      </c>
      <c r="N10" s="449">
        <f>transport!N54</f>
        <v>0</v>
      </c>
      <c r="O10" s="449">
        <f>transport!O54</f>
        <v>0</v>
      </c>
      <c r="P10" s="450">
        <f>transport!P54</f>
        <v>0</v>
      </c>
      <c r="Q10" s="448">
        <f t="shared" si="0"/>
        <v>3671.7965055248901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1735.7551184951801</v>
      </c>
      <c r="C14" s="456"/>
      <c r="D14" s="456">
        <f>'SEAP template'!E25</f>
        <v>2109.8074744364599</v>
      </c>
      <c r="E14" s="456"/>
      <c r="F14" s="456"/>
      <c r="G14" s="456"/>
      <c r="H14" s="456"/>
      <c r="I14" s="456"/>
      <c r="J14" s="456"/>
      <c r="K14" s="456"/>
      <c r="L14" s="456"/>
      <c r="M14" s="456"/>
      <c r="N14" s="456"/>
      <c r="O14" s="456"/>
      <c r="P14" s="457"/>
      <c r="Q14" s="448">
        <f t="shared" si="0"/>
        <v>3845.5625929316402</v>
      </c>
    </row>
    <row r="15" spans="1:17" s="460" customFormat="1">
      <c r="A15" s="458" t="s">
        <v>537</v>
      </c>
      <c r="B15" s="459">
        <f ca="1">SUM(B4:B14)</f>
        <v>123133.44588836057</v>
      </c>
      <c r="C15" s="459">
        <f t="shared" ref="C15:Q15" ca="1" si="1">SUM(C4:C14)</f>
        <v>68.303571428571431</v>
      </c>
      <c r="D15" s="459">
        <f t="shared" ca="1" si="1"/>
        <v>152579.99054943904</v>
      </c>
      <c r="E15" s="459">
        <f t="shared" si="1"/>
        <v>5125.9231211391198</v>
      </c>
      <c r="F15" s="459">
        <f t="shared" ca="1" si="1"/>
        <v>110368.73601799391</v>
      </c>
      <c r="G15" s="459">
        <f t="shared" si="1"/>
        <v>232537.6005391622</v>
      </c>
      <c r="H15" s="459">
        <f t="shared" si="1"/>
        <v>62239.574291896221</v>
      </c>
      <c r="I15" s="459">
        <f t="shared" si="1"/>
        <v>0</v>
      </c>
      <c r="J15" s="459">
        <f t="shared" si="1"/>
        <v>1036.6257382155964</v>
      </c>
      <c r="K15" s="459">
        <f t="shared" si="1"/>
        <v>0</v>
      </c>
      <c r="L15" s="459">
        <f t="shared" ca="1" si="1"/>
        <v>0</v>
      </c>
      <c r="M15" s="459">
        <f t="shared" si="1"/>
        <v>17764.152042456946</v>
      </c>
      <c r="N15" s="459">
        <f t="shared" ca="1" si="1"/>
        <v>22259.117209559699</v>
      </c>
      <c r="O15" s="459">
        <f t="shared" si="1"/>
        <v>521.5304725682837</v>
      </c>
      <c r="P15" s="459">
        <f t="shared" si="1"/>
        <v>2106.0079121454237</v>
      </c>
      <c r="Q15" s="459">
        <f t="shared" ca="1" si="1"/>
        <v>729741.00735436555</v>
      </c>
    </row>
    <row r="17" spans="1:17">
      <c r="A17" s="461" t="s">
        <v>538</v>
      </c>
      <c r="B17" s="778">
        <f ca="1">huishoudens!B10</f>
        <v>0.19970227433760562</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10111.913730162229</v>
      </c>
      <c r="C22" s="449">
        <f t="shared" ref="C22:C32" ca="1" si="3">C4*$C$17</f>
        <v>0</v>
      </c>
      <c r="D22" s="449">
        <f t="shared" ref="D22:D32" si="4">D4*$D$17</f>
        <v>17911.158065662083</v>
      </c>
      <c r="E22" s="449">
        <f t="shared" ref="E22:E32" si="5">E4*$E$17</f>
        <v>953.54163521190537</v>
      </c>
      <c r="F22" s="449">
        <f t="shared" ref="F22:F32" si="6">F4*$F$17</f>
        <v>24569.716642138057</v>
      </c>
      <c r="G22" s="449">
        <f t="shared" ref="G22:G32" si="7">G4*$G$17</f>
        <v>0</v>
      </c>
      <c r="H22" s="449">
        <f t="shared" ref="H22:H32" si="8">H4*$H$17</f>
        <v>0</v>
      </c>
      <c r="I22" s="449">
        <f t="shared" ref="I22:I32" si="9">I4*$I$17</f>
        <v>0</v>
      </c>
      <c r="J22" s="449">
        <f t="shared" ref="J22:J32" si="10">J4*$J$17</f>
        <v>185.65178973307388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53731.981862907349</v>
      </c>
    </row>
    <row r="23" spans="1:17">
      <c r="A23" s="448" t="s">
        <v>155</v>
      </c>
      <c r="B23" s="449">
        <f t="shared" ca="1" si="2"/>
        <v>7459.7813421016281</v>
      </c>
      <c r="C23" s="449">
        <f t="shared" ca="1" si="3"/>
        <v>16.232142857142858</v>
      </c>
      <c r="D23" s="449">
        <f t="shared" ca="1" si="4"/>
        <v>9862.7048036501874</v>
      </c>
      <c r="E23" s="449">
        <f t="shared" si="5"/>
        <v>43.824180648193582</v>
      </c>
      <c r="F23" s="449">
        <f t="shared" ca="1" si="6"/>
        <v>2351.7557682913957</v>
      </c>
      <c r="G23" s="449">
        <f t="shared" si="7"/>
        <v>0</v>
      </c>
      <c r="H23" s="449">
        <f t="shared" si="8"/>
        <v>0</v>
      </c>
      <c r="I23" s="449">
        <f t="shared" si="9"/>
        <v>0</v>
      </c>
      <c r="J23" s="449">
        <f t="shared" si="10"/>
        <v>2.3602436272833979E-2</v>
      </c>
      <c r="K23" s="449">
        <f t="shared" si="11"/>
        <v>0</v>
      </c>
      <c r="L23" s="449">
        <f t="shared" ca="1" si="12"/>
        <v>0</v>
      </c>
      <c r="M23" s="449">
        <f t="shared" si="13"/>
        <v>0</v>
      </c>
      <c r="N23" s="449">
        <f t="shared" ca="1" si="14"/>
        <v>0</v>
      </c>
      <c r="O23" s="449">
        <f t="shared" si="15"/>
        <v>0</v>
      </c>
      <c r="P23" s="450">
        <f t="shared" si="16"/>
        <v>0</v>
      </c>
      <c r="Q23" s="448">
        <f t="shared" ref="Q23:Q31" ca="1" si="17">SUM(B23:P23)</f>
        <v>19734.321839984816</v>
      </c>
    </row>
    <row r="24" spans="1:17">
      <c r="A24" s="448" t="s">
        <v>193</v>
      </c>
      <c r="B24" s="449">
        <f t="shared" ca="1" si="2"/>
        <v>358.99818840166046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358.99818840166046</v>
      </c>
    </row>
    <row r="25" spans="1:17">
      <c r="A25" s="448" t="s">
        <v>111</v>
      </c>
      <c r="B25" s="449">
        <f t="shared" ca="1" si="2"/>
        <v>367.1123384703854</v>
      </c>
      <c r="C25" s="449">
        <f t="shared" ca="1" si="3"/>
        <v>0</v>
      </c>
      <c r="D25" s="449">
        <f t="shared" si="4"/>
        <v>433.65545408397401</v>
      </c>
      <c r="E25" s="449">
        <f t="shared" si="5"/>
        <v>11.951997740448295</v>
      </c>
      <c r="F25" s="449">
        <f t="shared" si="6"/>
        <v>1553.7003984652492</v>
      </c>
      <c r="G25" s="449">
        <f t="shared" si="7"/>
        <v>0</v>
      </c>
      <c r="H25" s="449">
        <f t="shared" si="8"/>
        <v>0</v>
      </c>
      <c r="I25" s="449">
        <f t="shared" si="9"/>
        <v>0</v>
      </c>
      <c r="J25" s="449">
        <f t="shared" si="10"/>
        <v>165.46721603990341</v>
      </c>
      <c r="K25" s="449">
        <f t="shared" si="11"/>
        <v>0</v>
      </c>
      <c r="L25" s="449">
        <f t="shared" si="12"/>
        <v>0</v>
      </c>
      <c r="M25" s="449">
        <f t="shared" si="13"/>
        <v>0</v>
      </c>
      <c r="N25" s="449">
        <f t="shared" si="14"/>
        <v>0</v>
      </c>
      <c r="O25" s="449">
        <f t="shared" si="15"/>
        <v>0</v>
      </c>
      <c r="P25" s="450">
        <f t="shared" si="16"/>
        <v>0</v>
      </c>
      <c r="Q25" s="448">
        <f t="shared" ca="1" si="17"/>
        <v>2531.8874047999607</v>
      </c>
    </row>
    <row r="26" spans="1:17">
      <c r="A26" s="448" t="s">
        <v>617</v>
      </c>
      <c r="B26" s="449">
        <f t="shared" ca="1" si="2"/>
        <v>5783.4920893817571</v>
      </c>
      <c r="C26" s="449">
        <f t="shared" ca="1" si="3"/>
        <v>0</v>
      </c>
      <c r="D26" s="449">
        <f t="shared" si="4"/>
        <v>1935.8304898671427</v>
      </c>
      <c r="E26" s="449">
        <f t="shared" si="5"/>
        <v>32.921874910999804</v>
      </c>
      <c r="F26" s="449">
        <f t="shared" si="6"/>
        <v>993.27970790967174</v>
      </c>
      <c r="G26" s="449">
        <f t="shared" si="7"/>
        <v>0</v>
      </c>
      <c r="H26" s="449">
        <f t="shared" si="8"/>
        <v>0</v>
      </c>
      <c r="I26" s="449">
        <f t="shared" si="9"/>
        <v>0</v>
      </c>
      <c r="J26" s="449">
        <f t="shared" si="10"/>
        <v>15.822903119071022</v>
      </c>
      <c r="K26" s="449">
        <f t="shared" si="11"/>
        <v>0</v>
      </c>
      <c r="L26" s="449">
        <f t="shared" si="12"/>
        <v>0</v>
      </c>
      <c r="M26" s="449">
        <f t="shared" si="13"/>
        <v>0</v>
      </c>
      <c r="N26" s="449">
        <f t="shared" si="14"/>
        <v>0</v>
      </c>
      <c r="O26" s="449">
        <f t="shared" si="15"/>
        <v>0</v>
      </c>
      <c r="P26" s="450">
        <f t="shared" si="16"/>
        <v>0</v>
      </c>
      <c r="Q26" s="448">
        <f t="shared" ca="1" si="17"/>
        <v>8761.3470651886419</v>
      </c>
    </row>
    <row r="27" spans="1:17" s="454" customFormat="1">
      <c r="A27" s="452" t="s">
        <v>543</v>
      </c>
      <c r="B27" s="772">
        <f t="shared" ca="1" si="2"/>
        <v>151.18516164034568</v>
      </c>
      <c r="C27" s="453">
        <f t="shared" ca="1" si="3"/>
        <v>0</v>
      </c>
      <c r="D27" s="453">
        <f t="shared" si="4"/>
        <v>251.62816788713036</v>
      </c>
      <c r="E27" s="453">
        <f t="shared" si="5"/>
        <v>121.34485998703325</v>
      </c>
      <c r="F27" s="453">
        <f t="shared" si="6"/>
        <v>0</v>
      </c>
      <c r="G27" s="453">
        <f t="shared" si="7"/>
        <v>61174.200913507004</v>
      </c>
      <c r="H27" s="453">
        <f t="shared" si="8"/>
        <v>15497.653998682159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77196.013101703662</v>
      </c>
    </row>
    <row r="28" spans="1:17" ht="16.5" customHeight="1">
      <c r="A28" s="448" t="s">
        <v>533</v>
      </c>
      <c r="B28" s="449">
        <f t="shared" ca="1" si="2"/>
        <v>10.912095917468942</v>
      </c>
      <c r="C28" s="449">
        <f t="shared" ca="1" si="3"/>
        <v>0</v>
      </c>
      <c r="D28" s="449">
        <f t="shared" si="4"/>
        <v>0</v>
      </c>
      <c r="E28" s="449">
        <f t="shared" si="5"/>
        <v>0</v>
      </c>
      <c r="F28" s="449">
        <f t="shared" si="6"/>
        <v>0</v>
      </c>
      <c r="G28" s="449">
        <f t="shared" si="7"/>
        <v>913.3384304493062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924.25052636677515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346.63424485662762</v>
      </c>
      <c r="C32" s="449">
        <f t="shared" ca="1" si="3"/>
        <v>0</v>
      </c>
      <c r="D32" s="449">
        <f t="shared" si="4"/>
        <v>426.18110983616492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772.81535469279254</v>
      </c>
    </row>
    <row r="33" spans="1:17" s="460" customFormat="1">
      <c r="A33" s="458" t="s">
        <v>537</v>
      </c>
      <c r="B33" s="459">
        <f ca="1">SUM(B22:B32)</f>
        <v>24590.029190932106</v>
      </c>
      <c r="C33" s="459">
        <f t="shared" ref="C33:Q33" ca="1" si="19">SUM(C22:C32)</f>
        <v>16.232142857142858</v>
      </c>
      <c r="D33" s="459">
        <f t="shared" ca="1" si="19"/>
        <v>30821.158090986683</v>
      </c>
      <c r="E33" s="459">
        <f t="shared" si="19"/>
        <v>1163.5845484985803</v>
      </c>
      <c r="F33" s="459">
        <f t="shared" ca="1" si="19"/>
        <v>29468.452516804369</v>
      </c>
      <c r="G33" s="459">
        <f t="shared" si="19"/>
        <v>62087.539343956312</v>
      </c>
      <c r="H33" s="459">
        <f t="shared" si="19"/>
        <v>15497.653998682159</v>
      </c>
      <c r="I33" s="459">
        <f t="shared" si="19"/>
        <v>0</v>
      </c>
      <c r="J33" s="459">
        <f t="shared" si="19"/>
        <v>366.96551132832116</v>
      </c>
      <c r="K33" s="459">
        <f t="shared" si="19"/>
        <v>0</v>
      </c>
      <c r="L33" s="459">
        <f t="shared" ca="1" si="19"/>
        <v>0</v>
      </c>
      <c r="M33" s="459">
        <f t="shared" si="19"/>
        <v>0</v>
      </c>
      <c r="N33" s="459">
        <f t="shared" ca="1" si="19"/>
        <v>0</v>
      </c>
      <c r="O33" s="459">
        <f t="shared" si="19"/>
        <v>0</v>
      </c>
      <c r="P33" s="459">
        <f t="shared" si="19"/>
        <v>0</v>
      </c>
      <c r="Q33" s="459">
        <f t="shared" ca="1" si="19"/>
        <v>164011.61534404565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10.457375463389658</v>
      </c>
      <c r="C5" s="1016"/>
      <c r="D5" s="1016"/>
      <c r="E5" s="1016"/>
      <c r="F5" s="1016"/>
      <c r="G5" s="1016"/>
      <c r="H5" s="1016"/>
      <c r="I5" s="1016"/>
      <c r="J5" s="1016"/>
      <c r="K5" s="1016"/>
      <c r="L5" s="1016"/>
      <c r="M5" s="1016"/>
      <c r="N5" s="1016"/>
      <c r="O5" s="1016"/>
      <c r="P5" s="1017">
        <f>'SEAP template'!Q73</f>
        <v>0</v>
      </c>
    </row>
    <row r="6" spans="1:16">
      <c r="A6" s="1021" t="s">
        <v>246</v>
      </c>
      <c r="B6" s="1016">
        <f>'SEAP template'!B74</f>
        <v>11859.48962858905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47.8125</v>
      </c>
      <c r="D8" s="1016">
        <f>'SEAP template'!D76</f>
        <v>56.25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11.362500000000001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11869.947004052439</v>
      </c>
      <c r="C10" s="1018">
        <f>SUM(C4:C9)</f>
        <v>47.8125</v>
      </c>
      <c r="D10" s="1018">
        <f t="shared" ref="D10:H10" si="0">SUM(D8:D9)</f>
        <v>56.25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11.362500000000001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0.19970227433760562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68.303571428571431</v>
      </c>
      <c r="D17" s="1017">
        <f>'SEAP template'!D87</f>
        <v>80.357142857142861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16.232142857142858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68.303571428571431</v>
      </c>
      <c r="D20" s="1018">
        <f t="shared" ref="D20:H20" si="2">SUM(D17:D19)</f>
        <v>80.357142857142861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16.232142857142858</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0.19970227433760562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0.19970227433760562</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0.19970227433760562</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13562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1621.76</v>
      </c>
      <c r="C14" s="326"/>
      <c r="D14" s="326"/>
      <c r="E14" s="326"/>
      <c r="F14" s="326"/>
    </row>
    <row r="15" spans="1:6">
      <c r="A15" s="1312" t="s">
        <v>183</v>
      </c>
      <c r="B15" s="1313">
        <v>1481</v>
      </c>
      <c r="C15" s="326"/>
      <c r="D15" s="326"/>
      <c r="E15" s="326"/>
      <c r="F15" s="326"/>
    </row>
    <row r="16" spans="1:6">
      <c r="A16" s="1312" t="s">
        <v>6</v>
      </c>
      <c r="B16" s="1313">
        <v>149</v>
      </c>
      <c r="C16" s="326"/>
      <c r="D16" s="326"/>
      <c r="E16" s="326"/>
      <c r="F16" s="326"/>
    </row>
    <row r="17" spans="1:6">
      <c r="A17" s="1312" t="s">
        <v>7</v>
      </c>
      <c r="B17" s="1313">
        <v>201</v>
      </c>
      <c r="C17" s="326"/>
      <c r="D17" s="326"/>
      <c r="E17" s="326"/>
      <c r="F17" s="326"/>
    </row>
    <row r="18" spans="1:6">
      <c r="A18" s="1312" t="s">
        <v>8</v>
      </c>
      <c r="B18" s="1313">
        <v>271</v>
      </c>
      <c r="C18" s="326"/>
      <c r="D18" s="326"/>
      <c r="E18" s="326"/>
      <c r="F18" s="326"/>
    </row>
    <row r="19" spans="1:6">
      <c r="A19" s="1312" t="s">
        <v>9</v>
      </c>
      <c r="B19" s="1313">
        <v>177</v>
      </c>
      <c r="C19" s="326"/>
      <c r="D19" s="326"/>
      <c r="E19" s="326"/>
      <c r="F19" s="326"/>
    </row>
    <row r="20" spans="1:6">
      <c r="A20" s="1312" t="s">
        <v>10</v>
      </c>
      <c r="B20" s="1313">
        <v>136</v>
      </c>
      <c r="C20" s="326"/>
      <c r="D20" s="326"/>
      <c r="E20" s="326"/>
      <c r="F20" s="326"/>
    </row>
    <row r="21" spans="1:6">
      <c r="A21" s="1312" t="s">
        <v>11</v>
      </c>
      <c r="B21" s="1313">
        <v>200</v>
      </c>
      <c r="C21" s="326"/>
      <c r="D21" s="326"/>
      <c r="E21" s="326"/>
      <c r="F21" s="326"/>
    </row>
    <row r="22" spans="1:6">
      <c r="A22" s="1312" t="s">
        <v>12</v>
      </c>
      <c r="B22" s="1313">
        <v>562</v>
      </c>
      <c r="C22" s="326"/>
      <c r="D22" s="326"/>
      <c r="E22" s="326"/>
      <c r="F22" s="326"/>
    </row>
    <row r="23" spans="1:6">
      <c r="A23" s="1312" t="s">
        <v>13</v>
      </c>
      <c r="B23" s="1313">
        <v>0</v>
      </c>
      <c r="C23" s="326"/>
      <c r="D23" s="326"/>
      <c r="E23" s="326"/>
      <c r="F23" s="326"/>
    </row>
    <row r="24" spans="1:6">
      <c r="A24" s="1312" t="s">
        <v>14</v>
      </c>
      <c r="B24" s="1313">
        <v>1</v>
      </c>
      <c r="C24" s="326"/>
      <c r="D24" s="326"/>
      <c r="E24" s="326"/>
      <c r="F24" s="326"/>
    </row>
    <row r="25" spans="1:6">
      <c r="A25" s="1312" t="s">
        <v>15</v>
      </c>
      <c r="B25" s="1313">
        <v>89</v>
      </c>
      <c r="C25" s="326"/>
      <c r="D25" s="326"/>
      <c r="E25" s="326"/>
      <c r="F25" s="326"/>
    </row>
    <row r="26" spans="1:6">
      <c r="A26" s="1312" t="s">
        <v>16</v>
      </c>
      <c r="B26" s="1313">
        <v>258</v>
      </c>
      <c r="C26" s="326"/>
      <c r="D26" s="326"/>
      <c r="E26" s="326"/>
      <c r="F26" s="326"/>
    </row>
    <row r="27" spans="1:6">
      <c r="A27" s="1312" t="s">
        <v>17</v>
      </c>
      <c r="B27" s="1313">
        <v>11</v>
      </c>
      <c r="C27" s="326"/>
      <c r="D27" s="326"/>
      <c r="E27" s="326"/>
      <c r="F27" s="326"/>
    </row>
    <row r="28" spans="1:6" s="43" customFormat="1">
      <c r="A28" s="1314" t="s">
        <v>18</v>
      </c>
      <c r="B28" s="1315">
        <v>5152</v>
      </c>
      <c r="C28" s="332"/>
      <c r="D28" s="332"/>
      <c r="E28" s="332"/>
      <c r="F28" s="332"/>
    </row>
    <row r="29" spans="1:6">
      <c r="A29" s="1314" t="s">
        <v>684</v>
      </c>
      <c r="B29" s="1315">
        <v>270</v>
      </c>
      <c r="C29" s="332"/>
      <c r="D29" s="332"/>
      <c r="E29" s="332"/>
      <c r="F29" s="332"/>
    </row>
    <row r="30" spans="1:6">
      <c r="A30" s="1307" t="s">
        <v>685</v>
      </c>
      <c r="B30" s="1316">
        <v>56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7949.4320087596998</v>
      </c>
    </row>
    <row r="37" spans="1:6">
      <c r="A37" s="1312" t="s">
        <v>24</v>
      </c>
      <c r="B37" s="1312" t="s">
        <v>27</v>
      </c>
      <c r="C37" s="1313">
        <v>0</v>
      </c>
      <c r="D37" s="1313">
        <v>0</v>
      </c>
      <c r="E37" s="1313">
        <v>0</v>
      </c>
      <c r="F37" s="1313">
        <v>0</v>
      </c>
    </row>
    <row r="38" spans="1:6">
      <c r="A38" s="1312" t="s">
        <v>24</v>
      </c>
      <c r="B38" s="1312" t="s">
        <v>28</v>
      </c>
      <c r="C38" s="1313">
        <v>1</v>
      </c>
      <c r="D38" s="1313">
        <v>8987.4381870530997</v>
      </c>
      <c r="E38" s="1313">
        <v>2</v>
      </c>
      <c r="F38" s="1313">
        <v>14760.2497648198</v>
      </c>
    </row>
    <row r="39" spans="1:6">
      <c r="A39" s="1312" t="s">
        <v>29</v>
      </c>
      <c r="B39" s="1312" t="s">
        <v>30</v>
      </c>
      <c r="C39" s="1313">
        <v>7131</v>
      </c>
      <c r="D39" s="1313">
        <v>98193908.455106094</v>
      </c>
      <c r="E39" s="1313">
        <v>13479</v>
      </c>
      <c r="F39" s="1313">
        <v>42348356.225327097</v>
      </c>
    </row>
    <row r="40" spans="1:6">
      <c r="A40" s="1312" t="s">
        <v>29</v>
      </c>
      <c r="B40" s="1312" t="s">
        <v>28</v>
      </c>
      <c r="C40" s="1313">
        <v>0</v>
      </c>
      <c r="D40" s="1313">
        <v>0</v>
      </c>
      <c r="E40" s="1313">
        <v>0</v>
      </c>
      <c r="F40" s="1313">
        <v>0</v>
      </c>
    </row>
    <row r="41" spans="1:6">
      <c r="A41" s="1312" t="s">
        <v>31</v>
      </c>
      <c r="B41" s="1312" t="s">
        <v>32</v>
      </c>
      <c r="C41" s="1313">
        <v>94</v>
      </c>
      <c r="D41" s="1313">
        <v>2322803.1242243801</v>
      </c>
      <c r="E41" s="1313">
        <v>271</v>
      </c>
      <c r="F41" s="1313">
        <v>3368832.2955747601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12</v>
      </c>
      <c r="D44" s="1313">
        <v>5946393.8185920799</v>
      </c>
      <c r="E44" s="1313">
        <v>38</v>
      </c>
      <c r="F44" s="1313">
        <v>21962053.911693599</v>
      </c>
    </row>
    <row r="45" spans="1:6">
      <c r="A45" s="1312" t="s">
        <v>31</v>
      </c>
      <c r="B45" s="1312" t="s">
        <v>36</v>
      </c>
      <c r="C45" s="1313">
        <v>3</v>
      </c>
      <c r="D45" s="1313">
        <v>723721.18733890203</v>
      </c>
      <c r="E45" s="1313">
        <v>5</v>
      </c>
      <c r="F45" s="1313">
        <v>730994.51480273996</v>
      </c>
    </row>
    <row r="46" spans="1:6">
      <c r="A46" s="1312" t="s">
        <v>31</v>
      </c>
      <c r="B46" s="1312" t="s">
        <v>37</v>
      </c>
      <c r="C46" s="1313">
        <v>0</v>
      </c>
      <c r="D46" s="1313">
        <v>0</v>
      </c>
      <c r="E46" s="1313">
        <v>0</v>
      </c>
      <c r="F46" s="1313">
        <v>0</v>
      </c>
    </row>
    <row r="47" spans="1:6">
      <c r="A47" s="1312" t="s">
        <v>31</v>
      </c>
      <c r="B47" s="1312" t="s">
        <v>38</v>
      </c>
      <c r="C47" s="1313">
        <v>6</v>
      </c>
      <c r="D47" s="1313">
        <v>1029876.9159004</v>
      </c>
      <c r="E47" s="1313">
        <v>13</v>
      </c>
      <c r="F47" s="1313">
        <v>2233503.4379773499</v>
      </c>
    </row>
    <row r="48" spans="1:6">
      <c r="A48" s="1312" t="s">
        <v>31</v>
      </c>
      <c r="B48" s="1312" t="s">
        <v>28</v>
      </c>
      <c r="C48" s="1313">
        <v>1</v>
      </c>
      <c r="D48" s="1313">
        <v>884.36914992269999</v>
      </c>
      <c r="E48" s="1313">
        <v>3</v>
      </c>
      <c r="F48" s="1313">
        <v>19574.695997941999</v>
      </c>
    </row>
    <row r="49" spans="1:6">
      <c r="A49" s="1312" t="s">
        <v>31</v>
      </c>
      <c r="B49" s="1312" t="s">
        <v>39</v>
      </c>
      <c r="C49" s="1313">
        <v>5</v>
      </c>
      <c r="D49" s="1313">
        <v>165727.424177293</v>
      </c>
      <c r="E49" s="1313">
        <v>6</v>
      </c>
      <c r="F49" s="1313">
        <v>25871.253584163602</v>
      </c>
    </row>
    <row r="50" spans="1:6">
      <c r="A50" s="1312" t="s">
        <v>31</v>
      </c>
      <c r="B50" s="1312" t="s">
        <v>40</v>
      </c>
      <c r="C50" s="1313">
        <v>14</v>
      </c>
      <c r="D50" s="1313">
        <v>423349.81263034698</v>
      </c>
      <c r="E50" s="1313">
        <v>23</v>
      </c>
      <c r="F50" s="1313">
        <v>619741.86465004901</v>
      </c>
    </row>
    <row r="51" spans="1:6">
      <c r="A51" s="1312" t="s">
        <v>41</v>
      </c>
      <c r="B51" s="1312" t="s">
        <v>42</v>
      </c>
      <c r="C51" s="1313">
        <v>8</v>
      </c>
      <c r="D51" s="1313">
        <v>2377418.8024734599</v>
      </c>
      <c r="E51" s="1313">
        <v>67</v>
      </c>
      <c r="F51" s="1313">
        <v>1838298.2351506201</v>
      </c>
    </row>
    <row r="52" spans="1:6">
      <c r="A52" s="1312" t="s">
        <v>41</v>
      </c>
      <c r="B52" s="1312" t="s">
        <v>28</v>
      </c>
      <c r="C52" s="1313">
        <v>0</v>
      </c>
      <c r="D52" s="1313">
        <v>0</v>
      </c>
      <c r="E52" s="1313">
        <v>0</v>
      </c>
      <c r="F52" s="1313">
        <v>0</v>
      </c>
    </row>
    <row r="53" spans="1:6">
      <c r="A53" s="1312" t="s">
        <v>43</v>
      </c>
      <c r="B53" s="1312" t="s">
        <v>44</v>
      </c>
      <c r="C53" s="1313">
        <v>182</v>
      </c>
      <c r="D53" s="1313">
        <v>2109807.4744364601</v>
      </c>
      <c r="E53" s="1313">
        <v>590</v>
      </c>
      <c r="F53" s="1313">
        <v>1735755.11849518</v>
      </c>
    </row>
    <row r="54" spans="1:6">
      <c r="A54" s="1312" t="s">
        <v>45</v>
      </c>
      <c r="B54" s="1312" t="s">
        <v>46</v>
      </c>
      <c r="C54" s="1313">
        <v>0</v>
      </c>
      <c r="D54" s="1313">
        <v>0</v>
      </c>
      <c r="E54" s="1313">
        <v>1</v>
      </c>
      <c r="F54" s="1313">
        <v>1797667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117</v>
      </c>
      <c r="D57" s="1313">
        <v>15593981.253382299</v>
      </c>
      <c r="E57" s="1313">
        <v>233</v>
      </c>
      <c r="F57" s="1313">
        <v>6592091.5738673201</v>
      </c>
    </row>
    <row r="58" spans="1:6">
      <c r="A58" s="1312" t="s">
        <v>48</v>
      </c>
      <c r="B58" s="1312" t="s">
        <v>50</v>
      </c>
      <c r="C58" s="1313">
        <v>75</v>
      </c>
      <c r="D58" s="1313">
        <v>8345694.2586926501</v>
      </c>
      <c r="E58" s="1313">
        <v>132</v>
      </c>
      <c r="F58" s="1313">
        <v>4436369.2995017404</v>
      </c>
    </row>
    <row r="59" spans="1:6">
      <c r="A59" s="1312" t="s">
        <v>48</v>
      </c>
      <c r="B59" s="1312" t="s">
        <v>51</v>
      </c>
      <c r="C59" s="1313">
        <v>228</v>
      </c>
      <c r="D59" s="1313">
        <v>10636661.850368701</v>
      </c>
      <c r="E59" s="1313">
        <v>465</v>
      </c>
      <c r="F59" s="1313">
        <v>13246600.480045</v>
      </c>
    </row>
    <row r="60" spans="1:6">
      <c r="A60" s="1312" t="s">
        <v>48</v>
      </c>
      <c r="B60" s="1312" t="s">
        <v>52</v>
      </c>
      <c r="C60" s="1313">
        <v>132</v>
      </c>
      <c r="D60" s="1313">
        <v>7148685.6888157399</v>
      </c>
      <c r="E60" s="1313">
        <v>190</v>
      </c>
      <c r="F60" s="1313">
        <v>4484201.6049655601</v>
      </c>
    </row>
    <row r="61" spans="1:6">
      <c r="A61" s="1312" t="s">
        <v>48</v>
      </c>
      <c r="B61" s="1312" t="s">
        <v>53</v>
      </c>
      <c r="C61" s="1313">
        <v>293</v>
      </c>
      <c r="D61" s="1313">
        <v>9115062.9997998998</v>
      </c>
      <c r="E61" s="1313">
        <v>750</v>
      </c>
      <c r="F61" s="1313">
        <v>7162617.6042548995</v>
      </c>
    </row>
    <row r="62" spans="1:6">
      <c r="A62" s="1312" t="s">
        <v>48</v>
      </c>
      <c r="B62" s="1312" t="s">
        <v>54</v>
      </c>
      <c r="C62" s="1313">
        <v>26</v>
      </c>
      <c r="D62" s="1313">
        <v>3381263.2823361601</v>
      </c>
      <c r="E62" s="1313">
        <v>34</v>
      </c>
      <c r="F62" s="1313">
        <v>1384820.63454318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242240.72452547908</v>
      </c>
      <c r="E65" s="1313">
        <v>0</v>
      </c>
      <c r="F65" s="1313">
        <v>0</v>
      </c>
    </row>
    <row r="66" spans="1:6">
      <c r="A66" s="1312" t="s">
        <v>55</v>
      </c>
      <c r="B66" s="1312" t="s">
        <v>57</v>
      </c>
      <c r="C66" s="1313">
        <v>0</v>
      </c>
      <c r="D66" s="1313">
        <v>0</v>
      </c>
      <c r="E66" s="1313">
        <v>28</v>
      </c>
      <c r="F66" s="1313">
        <v>629844.13777497003</v>
      </c>
    </row>
    <row r="67" spans="1:6">
      <c r="A67" s="1314" t="s">
        <v>55</v>
      </c>
      <c r="B67" s="1314" t="s">
        <v>58</v>
      </c>
      <c r="C67" s="1313">
        <v>0</v>
      </c>
      <c r="D67" s="1313">
        <v>0</v>
      </c>
      <c r="E67" s="1313">
        <v>0</v>
      </c>
      <c r="F67" s="1313">
        <v>0</v>
      </c>
    </row>
    <row r="68" spans="1:6">
      <c r="A68" s="1307" t="s">
        <v>55</v>
      </c>
      <c r="B68" s="1307" t="s">
        <v>59</v>
      </c>
      <c r="C68" s="1316">
        <v>0</v>
      </c>
      <c r="D68" s="1316">
        <v>0</v>
      </c>
      <c r="E68" s="1316">
        <v>14</v>
      </c>
      <c r="F68" s="1316">
        <v>240467.39040673201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131639195</v>
      </c>
      <c r="E73" s="447"/>
      <c r="F73" s="326"/>
    </row>
    <row r="74" spans="1:6">
      <c r="A74" s="1312" t="s">
        <v>63</v>
      </c>
      <c r="B74" s="1312" t="s">
        <v>638</v>
      </c>
      <c r="C74" s="1326" t="s">
        <v>640</v>
      </c>
      <c r="D74" s="1327">
        <v>12416957.51276095</v>
      </c>
      <c r="E74" s="447"/>
      <c r="F74" s="326"/>
    </row>
    <row r="75" spans="1:6">
      <c r="A75" s="1312" t="s">
        <v>64</v>
      </c>
      <c r="B75" s="1312" t="s">
        <v>637</v>
      </c>
      <c r="C75" s="1326" t="s">
        <v>641</v>
      </c>
      <c r="D75" s="1327">
        <v>52891612</v>
      </c>
      <c r="E75" s="447"/>
      <c r="F75" s="326"/>
    </row>
    <row r="76" spans="1:6">
      <c r="A76" s="1312" t="s">
        <v>64</v>
      </c>
      <c r="B76" s="1312" t="s">
        <v>638</v>
      </c>
      <c r="C76" s="1326" t="s">
        <v>642</v>
      </c>
      <c r="D76" s="1327">
        <v>1370160.51276095</v>
      </c>
      <c r="E76" s="447"/>
      <c r="F76" s="326"/>
    </row>
    <row r="77" spans="1:6">
      <c r="A77" s="1312" t="s">
        <v>65</v>
      </c>
      <c r="B77" s="1312" t="s">
        <v>637</v>
      </c>
      <c r="C77" s="1326" t="s">
        <v>643</v>
      </c>
      <c r="D77" s="1327">
        <v>160774733</v>
      </c>
      <c r="E77" s="447"/>
      <c r="F77" s="326"/>
    </row>
    <row r="78" spans="1:6">
      <c r="A78" s="1307" t="s">
        <v>65</v>
      </c>
      <c r="B78" s="1307" t="s">
        <v>638</v>
      </c>
      <c r="C78" s="1307" t="s">
        <v>644</v>
      </c>
      <c r="D78" s="1328">
        <v>16008519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1019188.9744781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10.457375463389658</v>
      </c>
      <c r="C89" s="326"/>
      <c r="D89" s="326"/>
      <c r="E89" s="326"/>
      <c r="F89" s="326"/>
    </row>
    <row r="90" spans="1:6">
      <c r="A90" s="1312" t="s">
        <v>531</v>
      </c>
      <c r="B90" s="1313">
        <v>0</v>
      </c>
      <c r="C90" s="326"/>
      <c r="D90" s="326"/>
      <c r="E90" s="326"/>
      <c r="F90" s="326"/>
    </row>
    <row r="91" spans="1:6">
      <c r="A91" s="1312" t="s">
        <v>67</v>
      </c>
      <c r="B91" s="1313">
        <v>8286.5890385790462</v>
      </c>
      <c r="C91" s="326"/>
      <c r="D91" s="326"/>
      <c r="E91" s="326"/>
      <c r="F91" s="326"/>
    </row>
    <row r="92" spans="1:6">
      <c r="A92" s="1307" t="s">
        <v>68</v>
      </c>
      <c r="B92" s="1308">
        <v>3572.9005900100033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2902</v>
      </c>
      <c r="C97" s="326"/>
      <c r="D97" s="326"/>
      <c r="E97" s="326"/>
      <c r="F97" s="326"/>
    </row>
    <row r="98" spans="1:6">
      <c r="A98" s="1312" t="s">
        <v>71</v>
      </c>
      <c r="B98" s="1313">
        <v>5</v>
      </c>
      <c r="C98" s="326"/>
      <c r="D98" s="326"/>
      <c r="E98" s="326"/>
      <c r="F98" s="326"/>
    </row>
    <row r="99" spans="1:6">
      <c r="A99" s="1312" t="s">
        <v>72</v>
      </c>
      <c r="B99" s="1313">
        <v>234</v>
      </c>
      <c r="C99" s="326"/>
      <c r="D99" s="326"/>
      <c r="E99" s="326"/>
      <c r="F99" s="326"/>
    </row>
    <row r="100" spans="1:6">
      <c r="A100" s="1312" t="s">
        <v>73</v>
      </c>
      <c r="B100" s="1313">
        <v>851</v>
      </c>
      <c r="C100" s="326"/>
      <c r="D100" s="326"/>
      <c r="E100" s="326"/>
      <c r="F100" s="326"/>
    </row>
    <row r="101" spans="1:6">
      <c r="A101" s="1312" t="s">
        <v>74</v>
      </c>
      <c r="B101" s="1313">
        <v>108</v>
      </c>
      <c r="C101" s="326"/>
      <c r="D101" s="326"/>
      <c r="E101" s="326"/>
      <c r="F101" s="326"/>
    </row>
    <row r="102" spans="1:6">
      <c r="A102" s="1312" t="s">
        <v>75</v>
      </c>
      <c r="B102" s="1313">
        <v>153</v>
      </c>
      <c r="C102" s="326"/>
      <c r="D102" s="326"/>
      <c r="E102" s="326"/>
      <c r="F102" s="326"/>
    </row>
    <row r="103" spans="1:6">
      <c r="A103" s="1312" t="s">
        <v>76</v>
      </c>
      <c r="B103" s="1313">
        <v>296</v>
      </c>
      <c r="C103" s="326"/>
      <c r="D103" s="326"/>
      <c r="E103" s="326"/>
      <c r="F103" s="326"/>
    </row>
    <row r="104" spans="1:6">
      <c r="A104" s="1312" t="s">
        <v>77</v>
      </c>
      <c r="B104" s="1313">
        <v>6974</v>
      </c>
      <c r="C104" s="326"/>
      <c r="D104" s="326"/>
      <c r="E104" s="326"/>
      <c r="F104" s="326"/>
    </row>
    <row r="105" spans="1:6">
      <c r="A105" s="1307" t="s">
        <v>78</v>
      </c>
      <c r="B105" s="131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87</v>
      </c>
      <c r="C123" s="1313">
        <v>45</v>
      </c>
      <c r="D123" s="326"/>
      <c r="E123" s="326"/>
      <c r="F123" s="326"/>
    </row>
    <row r="124" spans="1:6" s="43" customFormat="1">
      <c r="A124" s="1314" t="s">
        <v>88</v>
      </c>
      <c r="B124" s="1335">
        <v>3</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207</v>
      </c>
      <c r="C129" s="326"/>
      <c r="D129" s="326"/>
      <c r="E129" s="326"/>
      <c r="F129" s="326"/>
    </row>
    <row r="130" spans="1:6">
      <c r="A130" s="1312" t="s">
        <v>290</v>
      </c>
      <c r="B130" s="1313">
        <v>4</v>
      </c>
      <c r="C130" s="326"/>
      <c r="D130" s="326"/>
      <c r="E130" s="326"/>
      <c r="F130" s="326"/>
    </row>
    <row r="131" spans="1:6">
      <c r="A131" s="1312" t="s">
        <v>291</v>
      </c>
      <c r="B131" s="1313">
        <v>5</v>
      </c>
      <c r="C131" s="326"/>
      <c r="D131" s="326"/>
      <c r="E131" s="326"/>
      <c r="F131" s="326"/>
    </row>
    <row r="132" spans="1:6">
      <c r="A132" s="1307" t="s">
        <v>292</v>
      </c>
      <c r="B132" s="1308">
        <v>80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123133.44588836058</v>
      </c>
      <c r="C3" s="43" t="s">
        <v>169</v>
      </c>
      <c r="D3" s="43"/>
      <c r="E3" s="154"/>
      <c r="F3" s="43"/>
      <c r="G3" s="43"/>
      <c r="H3" s="43"/>
      <c r="I3" s="43"/>
      <c r="J3" s="43"/>
      <c r="K3" s="96"/>
    </row>
    <row r="4" spans="1:11">
      <c r="A4" s="354" t="s">
        <v>170</v>
      </c>
      <c r="B4" s="49">
        <f>IF(ISERROR('SEAP template'!B78+'SEAP template'!C78),0,'SEAP template'!B78+'SEAP template'!C78)</f>
        <v>11917.759504052439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11.362500000000001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0.19970227433760562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16.232142857142858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68.303571428571431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1797.6669999999999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1797.6669999999999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0.19970227433760562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358.99818840166046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42348.356225327094</v>
      </c>
      <c r="C5" s="17">
        <f>IF(ISERROR('Eigen informatie GS &amp; warmtenet'!B59),0,'Eigen informatie GS &amp; warmtenet'!B59)</f>
        <v>0</v>
      </c>
      <c r="D5" s="30">
        <f>(SUM(HH_hh_gas_kWh,HH_rest_gas_kWh)/1000)*0.903</f>
        <v>88669.099334960803</v>
      </c>
      <c r="E5" s="17">
        <f>B32*B41</f>
        <v>4200.6239436647811</v>
      </c>
      <c r="F5" s="17">
        <f>B36*B45</f>
        <v>92021.410644711825</v>
      </c>
      <c r="G5" s="18"/>
      <c r="H5" s="17"/>
      <c r="I5" s="17"/>
      <c r="J5" s="17">
        <f>B35*B44+C35*C44</f>
        <v>524.44008399173413</v>
      </c>
      <c r="K5" s="17"/>
      <c r="L5" s="17"/>
      <c r="M5" s="17"/>
      <c r="N5" s="17">
        <f>B34*B43+C34*C43</f>
        <v>18648.979630808848</v>
      </c>
      <c r="O5" s="17">
        <f>B52*B53*B54</f>
        <v>501.94142950491909</v>
      </c>
      <c r="P5" s="17">
        <f>B60*B61*B62/1000-B60*B61*B62/1000/B63</f>
        <v>1790.7730823064537</v>
      </c>
    </row>
    <row r="6" spans="1:16">
      <c r="A6" s="16" t="s">
        <v>603</v>
      </c>
      <c r="B6" s="780">
        <f>kWh_PV_kleiner_dan_10kW</f>
        <v>8286.5890385790462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50634.945263906142</v>
      </c>
      <c r="C8" s="21">
        <f>C5</f>
        <v>0</v>
      </c>
      <c r="D8" s="21">
        <f>D5</f>
        <v>88669.099334960803</v>
      </c>
      <c r="E8" s="21">
        <f>E5</f>
        <v>4200.6239436647811</v>
      </c>
      <c r="F8" s="21">
        <f>F5</f>
        <v>92021.410644711825</v>
      </c>
      <c r="G8" s="21"/>
      <c r="H8" s="21"/>
      <c r="I8" s="21"/>
      <c r="J8" s="21">
        <f>J5</f>
        <v>524.44008399173413</v>
      </c>
      <c r="K8" s="21"/>
      <c r="L8" s="21">
        <f>L5</f>
        <v>0</v>
      </c>
      <c r="M8" s="21">
        <f>M5</f>
        <v>0</v>
      </c>
      <c r="N8" s="21">
        <f>N5</f>
        <v>18648.979630808848</v>
      </c>
      <c r="O8" s="21">
        <f>O5</f>
        <v>501.94142950491909</v>
      </c>
      <c r="P8" s="21">
        <f>P5</f>
        <v>1790.7730823064537</v>
      </c>
    </row>
    <row r="9" spans="1:16">
      <c r="B9" s="19"/>
      <c r="C9" s="19"/>
      <c r="D9" s="254"/>
      <c r="E9" s="19"/>
      <c r="F9" s="19"/>
      <c r="G9" s="19"/>
      <c r="H9" s="19"/>
      <c r="I9" s="19"/>
      <c r="J9" s="19"/>
      <c r="K9" s="19"/>
      <c r="L9" s="19"/>
      <c r="M9" s="19"/>
      <c r="N9" s="19"/>
      <c r="O9" s="19"/>
      <c r="P9" s="19"/>
    </row>
    <row r="10" spans="1:16">
      <c r="A10" s="24" t="s">
        <v>213</v>
      </c>
      <c r="B10" s="25">
        <f ca="1">'EF ele_warmte'!B12</f>
        <v>0.19970227433760562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10111.913730162229</v>
      </c>
      <c r="C12" s="23">
        <f ca="1">C10*C8</f>
        <v>0</v>
      </c>
      <c r="D12" s="23">
        <f>D8*D10</f>
        <v>17911.158065662083</v>
      </c>
      <c r="E12" s="23">
        <f>E10*E8</f>
        <v>953.54163521190537</v>
      </c>
      <c r="F12" s="23">
        <f>F10*F8</f>
        <v>24569.716642138057</v>
      </c>
      <c r="G12" s="23"/>
      <c r="H12" s="23"/>
      <c r="I12" s="23"/>
      <c r="J12" s="23">
        <f>J10*J8</f>
        <v>185.65178973307388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13562</v>
      </c>
      <c r="C26" s="36"/>
      <c r="D26" s="225"/>
    </row>
    <row r="27" spans="1:5" s="15" customFormat="1">
      <c r="A27" s="227" t="s">
        <v>866</v>
      </c>
      <c r="B27" s="37">
        <f>SUM(HH_hh_gas_aantal,HH_rest_gas_aantal)</f>
        <v>7131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6774.45</v>
      </c>
      <c r="C31" s="34" t="s">
        <v>110</v>
      </c>
      <c r="D31" s="171"/>
    </row>
    <row r="32" spans="1:5">
      <c r="A32" s="168" t="s">
        <v>72</v>
      </c>
      <c r="B32" s="33">
        <f>IF((B21*($B$26-($B$27-0.05*$B$27)-$B$60))&lt;0,0,(B21*($B$26-($B$27-0.05*$B$27)-$B$60)))</f>
        <v>105.05492111704757</v>
      </c>
      <c r="C32" s="34" t="s">
        <v>110</v>
      </c>
      <c r="D32" s="171"/>
    </row>
    <row r="33" spans="1:6">
      <c r="A33" s="168" t="s">
        <v>73</v>
      </c>
      <c r="B33" s="33">
        <f>IF((B22*($B$26-($B$27-0.05*$B$27)-$B$60))&lt;0,0,B22*($B$26-($B$27-0.05*$B$27)-$B$60))</f>
        <v>1705.8838553858977</v>
      </c>
      <c r="C33" s="34" t="s">
        <v>110</v>
      </c>
      <c r="D33" s="171"/>
    </row>
    <row r="34" spans="1:6">
      <c r="A34" s="168" t="s">
        <v>74</v>
      </c>
      <c r="B34" s="33">
        <f>IF((B24*($B$26-($B$27-0.05*$B$27)-$B$60))&lt;0,0,B24*($B$26-($B$27-0.05*$B$27)-$B$60))</f>
        <v>327.0407640069231</v>
      </c>
      <c r="C34" s="33">
        <f>B26*C24</f>
        <v>2778.9343556563522</v>
      </c>
      <c r="D34" s="230"/>
    </row>
    <row r="35" spans="1:6">
      <c r="A35" s="168" t="s">
        <v>76</v>
      </c>
      <c r="B35" s="33">
        <f>IF((B19*($B$26-($B$27-0.05*$B$27)-$B$60))&lt;0,0,B19*($B$26-($B$27-0.05*$B$27)-$B$60))</f>
        <v>45.667123751793255</v>
      </c>
      <c r="C35" s="33">
        <f>B35/2</f>
        <v>22.833561875896628</v>
      </c>
      <c r="D35" s="230"/>
    </row>
    <row r="36" spans="1:6">
      <c r="A36" s="168" t="s">
        <v>77</v>
      </c>
      <c r="B36" s="33">
        <f>IF((B18*($B$26-($B$27-0.05*$B$27)-$B$60))&lt;0,0,B18*($B$26-($B$27-0.05*$B$27)-$B$60))</f>
        <v>4433.9033357383369</v>
      </c>
      <c r="C36" s="34" t="s">
        <v>110</v>
      </c>
      <c r="D36" s="171"/>
    </row>
    <row r="37" spans="1:6">
      <c r="A37" s="168" t="s">
        <v>78</v>
      </c>
      <c r="B37" s="33">
        <f>B60</f>
        <v>170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37306.701197177703</v>
      </c>
      <c r="C5" s="17">
        <f>IF(ISERROR('Eigen informatie GS &amp; warmtenet'!B60),0,'Eigen informatie GS &amp; warmtenet'!B60)</f>
        <v>0</v>
      </c>
      <c r="D5" s="30">
        <f>SUM(D6:D12)</f>
        <v>48961.878448056086</v>
      </c>
      <c r="E5" s="17">
        <f>SUM(E6:E12)</f>
        <v>193.05806452948713</v>
      </c>
      <c r="F5" s="17">
        <f>SUM(F6:F12)</f>
        <v>8808.0740385445533</v>
      </c>
      <c r="G5" s="18"/>
      <c r="H5" s="17"/>
      <c r="I5" s="17"/>
      <c r="J5" s="17">
        <f>SUM(J6:J12)</f>
        <v>6.6673548793316328E-2</v>
      </c>
      <c r="K5" s="17"/>
      <c r="L5" s="17"/>
      <c r="M5" s="17"/>
      <c r="N5" s="17">
        <f>SUM(N6:N12)</f>
        <v>2573.660734170664</v>
      </c>
      <c r="O5" s="17">
        <f>B38*B39*B40</f>
        <v>19.589043063364617</v>
      </c>
      <c r="P5" s="17">
        <f>B46*B47*B48/1000-B46*B47*B48/1000/B49</f>
        <v>315.23482983897009</v>
      </c>
      <c r="R5" s="32"/>
    </row>
    <row r="6" spans="1:18">
      <c r="A6" s="32" t="s">
        <v>53</v>
      </c>
      <c r="B6" s="37">
        <f>B26</f>
        <v>7162.6176042548996</v>
      </c>
      <c r="C6" s="33"/>
      <c r="D6" s="37">
        <f>IF(ISERROR(TER_kantoor_gas_kWh/1000),0,TER_kantoor_gas_kWh/1000)*0.903</f>
        <v>8230.9018888193095</v>
      </c>
      <c r="E6" s="33">
        <f>$C$26*'E Balans VL '!I12/100/3.6*1000000</f>
        <v>1.7066406592484549</v>
      </c>
      <c r="F6" s="33">
        <f>$C$26*('E Balans VL '!L12+'E Balans VL '!N12)/100/3.6*1000000</f>
        <v>622.14350499845807</v>
      </c>
      <c r="G6" s="34"/>
      <c r="H6" s="33"/>
      <c r="I6" s="33"/>
      <c r="J6" s="33">
        <f>$C$26*('E Balans VL '!D12+'E Balans VL '!E12)/100/3.6*1000000</f>
        <v>0</v>
      </c>
      <c r="K6" s="33"/>
      <c r="L6" s="33"/>
      <c r="M6" s="33"/>
      <c r="N6" s="33">
        <f>$C$26*'E Balans VL '!Y12/100/3.6*1000000</f>
        <v>9.5738404797152352</v>
      </c>
      <c r="O6" s="33"/>
      <c r="P6" s="33"/>
      <c r="R6" s="32"/>
    </row>
    <row r="7" spans="1:18">
      <c r="A7" s="32" t="s">
        <v>52</v>
      </c>
      <c r="B7" s="37">
        <f t="shared" ref="B7:B12" si="0">B27</f>
        <v>4484.2016049655604</v>
      </c>
      <c r="C7" s="33"/>
      <c r="D7" s="37">
        <f>IF(ISERROR(TER_horeca_gas_kWh/1000),0,TER_horeca_gas_kWh/1000)*0.903</f>
        <v>6455.2631770006137</v>
      </c>
      <c r="E7" s="33">
        <f>$C$27*'E Balans VL '!I9/100/3.6*1000000</f>
        <v>0</v>
      </c>
      <c r="F7" s="33">
        <f>$C$27*('E Balans VL '!L9+'E Balans VL '!N9)/100/3.6*1000000</f>
        <v>365.38127834800844</v>
      </c>
      <c r="G7" s="34"/>
      <c r="H7" s="33"/>
      <c r="I7" s="33"/>
      <c r="J7" s="33">
        <f>$C$27*('E Balans VL '!D9+'E Balans VL '!E9)/100/3.6*1000000</f>
        <v>0</v>
      </c>
      <c r="K7" s="33"/>
      <c r="L7" s="33"/>
      <c r="M7" s="33"/>
      <c r="N7" s="33">
        <f>$C$27*'E Balans VL '!Y9/100/3.6*1000000</f>
        <v>1.2420403606212451</v>
      </c>
      <c r="O7" s="33"/>
      <c r="P7" s="33"/>
      <c r="R7" s="32"/>
    </row>
    <row r="8" spans="1:18">
      <c r="A8" s="6" t="s">
        <v>51</v>
      </c>
      <c r="B8" s="37">
        <f t="shared" si="0"/>
        <v>13246.600480045001</v>
      </c>
      <c r="C8" s="33"/>
      <c r="D8" s="37">
        <f>IF(ISERROR(TER_handel_gas_kWh/1000),0,TER_handel_gas_kWh/1000)*0.903</f>
        <v>9604.9056508829362</v>
      </c>
      <c r="E8" s="33">
        <f>$C$28*'E Balans VL '!I13/100/3.6*1000000</f>
        <v>105.88821897936802</v>
      </c>
      <c r="F8" s="33">
        <f>$C$28*('E Balans VL '!L13+'E Balans VL '!N13)/100/3.6*1000000</f>
        <v>1315.9674120194438</v>
      </c>
      <c r="G8" s="34"/>
      <c r="H8" s="33"/>
      <c r="I8" s="33"/>
      <c r="J8" s="33">
        <f>$C$28*('E Balans VL '!D13+'E Balans VL '!E13)/100/3.6*1000000</f>
        <v>0</v>
      </c>
      <c r="K8" s="33"/>
      <c r="L8" s="33"/>
      <c r="M8" s="33"/>
      <c r="N8" s="33">
        <f>$C$28*'E Balans VL '!Y13/100/3.6*1000000</f>
        <v>4.9483937694420419</v>
      </c>
      <c r="O8" s="33"/>
      <c r="P8" s="33"/>
      <c r="R8" s="32"/>
    </row>
    <row r="9" spans="1:18">
      <c r="A9" s="32" t="s">
        <v>50</v>
      </c>
      <c r="B9" s="37">
        <f t="shared" si="0"/>
        <v>4436.36929950174</v>
      </c>
      <c r="C9" s="33"/>
      <c r="D9" s="37">
        <f>IF(ISERROR(TER_gezond_gas_kWh/1000),0,TER_gezond_gas_kWh/1000)*0.903</f>
        <v>7536.161915599464</v>
      </c>
      <c r="E9" s="33">
        <f>$C$29*'E Balans VL '!I10/100/3.6*1000000</f>
        <v>0</v>
      </c>
      <c r="F9" s="33">
        <f>$C$29*('E Balans VL '!L10+'E Balans VL '!N10)/100/3.6*1000000</f>
        <v>404.44735537793184</v>
      </c>
      <c r="G9" s="34"/>
      <c r="H9" s="33"/>
      <c r="I9" s="33"/>
      <c r="J9" s="33">
        <f>$C$29*('E Balans VL '!D10+'E Balans VL '!E10)/100/3.6*1000000</f>
        <v>0</v>
      </c>
      <c r="K9" s="33"/>
      <c r="L9" s="33"/>
      <c r="M9" s="33"/>
      <c r="N9" s="33">
        <f>$C$29*'E Balans VL '!Y10/100/3.6*1000000</f>
        <v>32.425883882452233</v>
      </c>
      <c r="O9" s="33"/>
      <c r="P9" s="33"/>
      <c r="R9" s="32"/>
    </row>
    <row r="10" spans="1:18">
      <c r="A10" s="32" t="s">
        <v>49</v>
      </c>
      <c r="B10" s="37">
        <f t="shared" si="0"/>
        <v>6592.0915738673202</v>
      </c>
      <c r="C10" s="33"/>
      <c r="D10" s="37">
        <f>IF(ISERROR(TER_ander_gas_kWh/1000),0,TER_ander_gas_kWh/1000)*0.903</f>
        <v>14081.365071804215</v>
      </c>
      <c r="E10" s="33">
        <f>$C$30*'E Balans VL '!I14/100/3.6*1000000</f>
        <v>85.463204890870657</v>
      </c>
      <c r="F10" s="33">
        <f>$C$30*('E Balans VL '!L14+'E Balans VL '!N14)/100/3.6*1000000</f>
        <v>6045.8735204668619</v>
      </c>
      <c r="G10" s="34"/>
      <c r="H10" s="33"/>
      <c r="I10" s="33"/>
      <c r="J10" s="33">
        <f>$C$30*('E Balans VL '!D14+'E Balans VL '!E14)/100/3.6*1000000</f>
        <v>6.6673548793316328E-2</v>
      </c>
      <c r="K10" s="33"/>
      <c r="L10" s="33"/>
      <c r="M10" s="33"/>
      <c r="N10" s="33">
        <f>$C$30*'E Balans VL '!Y14/100/3.6*1000000</f>
        <v>2521.1094333487085</v>
      </c>
      <c r="O10" s="33"/>
      <c r="P10" s="33"/>
      <c r="R10" s="32"/>
    </row>
    <row r="11" spans="1:18">
      <c r="A11" s="32" t="s">
        <v>54</v>
      </c>
      <c r="B11" s="37">
        <f t="shared" si="0"/>
        <v>1384.8206345431799</v>
      </c>
      <c r="C11" s="33"/>
      <c r="D11" s="37">
        <f>IF(ISERROR(TER_onderwijs_gas_kWh/1000),0,TER_onderwijs_gas_kWh/1000)*0.903</f>
        <v>3053.2807439495527</v>
      </c>
      <c r="E11" s="33">
        <f>$C$31*'E Balans VL '!I11/100/3.6*1000000</f>
        <v>0</v>
      </c>
      <c r="F11" s="33">
        <f>$C$31*('E Balans VL '!L11+'E Balans VL '!N11)/100/3.6*1000000</f>
        <v>54.260967333847617</v>
      </c>
      <c r="G11" s="34"/>
      <c r="H11" s="33"/>
      <c r="I11" s="33"/>
      <c r="J11" s="33">
        <f>$C$31*('E Balans VL '!D11+'E Balans VL '!E11)/100/3.6*1000000</f>
        <v>0</v>
      </c>
      <c r="K11" s="33"/>
      <c r="L11" s="33"/>
      <c r="M11" s="33"/>
      <c r="N11" s="33">
        <f>$C$31*'E Balans VL '!Y11/100/3.6*1000000</f>
        <v>4.361142329724701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47.8125</v>
      </c>
      <c r="C13" s="243">
        <f ca="1">'lokale energieproductie'!O38+'lokale energieproductie'!O31</f>
        <v>68.303571428571431</v>
      </c>
      <c r="D13" s="304">
        <f ca="1">('lokale energieproductie'!P31+'lokale energieproductie'!P38)*(-1)</f>
        <v>-136.60714285714286</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37354.513697177703</v>
      </c>
      <c r="C16" s="21">
        <f t="shared" ca="1" si="1"/>
        <v>68.303571428571431</v>
      </c>
      <c r="D16" s="21">
        <f t="shared" ca="1" si="1"/>
        <v>48825.271305198941</v>
      </c>
      <c r="E16" s="21">
        <f t="shared" si="1"/>
        <v>193.05806452948713</v>
      </c>
      <c r="F16" s="21">
        <f t="shared" ca="1" si="1"/>
        <v>8808.0740385445533</v>
      </c>
      <c r="G16" s="21">
        <f t="shared" si="1"/>
        <v>0</v>
      </c>
      <c r="H16" s="21">
        <f t="shared" si="1"/>
        <v>0</v>
      </c>
      <c r="I16" s="21">
        <f t="shared" si="1"/>
        <v>0</v>
      </c>
      <c r="J16" s="21">
        <f t="shared" si="1"/>
        <v>6.6673548793316328E-2</v>
      </c>
      <c r="K16" s="21">
        <f t="shared" si="1"/>
        <v>0</v>
      </c>
      <c r="L16" s="21">
        <f t="shared" ca="1" si="1"/>
        <v>0</v>
      </c>
      <c r="M16" s="21">
        <f t="shared" si="1"/>
        <v>0</v>
      </c>
      <c r="N16" s="21">
        <f t="shared" ca="1" si="1"/>
        <v>2573.660734170664</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0.19970227433760562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7459.7813421016281</v>
      </c>
      <c r="C20" s="23">
        <f t="shared" ref="C20:P20" ca="1" si="2">C16*C18</f>
        <v>16.232142857142858</v>
      </c>
      <c r="D20" s="23">
        <f t="shared" ca="1" si="2"/>
        <v>9862.7048036501874</v>
      </c>
      <c r="E20" s="23">
        <f t="shared" si="2"/>
        <v>43.824180648193582</v>
      </c>
      <c r="F20" s="23">
        <f t="shared" ca="1" si="2"/>
        <v>2351.7557682913957</v>
      </c>
      <c r="G20" s="23">
        <f t="shared" si="2"/>
        <v>0</v>
      </c>
      <c r="H20" s="23">
        <f t="shared" si="2"/>
        <v>0</v>
      </c>
      <c r="I20" s="23">
        <f t="shared" si="2"/>
        <v>0</v>
      </c>
      <c r="J20" s="23">
        <f t="shared" si="2"/>
        <v>2.3602436272833979E-2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7162.6176042548996</v>
      </c>
      <c r="C26" s="39">
        <f>IF(ISERROR(B26*3.6/1000000/'E Balans VL '!Z12*100),0,B26*3.6/1000000/'E Balans VL '!Z12*100)</f>
        <v>0.20549482502718172</v>
      </c>
      <c r="D26" s="233" t="s">
        <v>841</v>
      </c>
      <c r="F26" s="6"/>
    </row>
    <row r="27" spans="1:18" ht="30">
      <c r="A27" s="228" t="s">
        <v>52</v>
      </c>
      <c r="B27" s="33">
        <f>IF(ISERROR(TER_horeca_ele_kWh/1000),0,TER_horeca_ele_kWh/1000)</f>
        <v>4484.2016049655604</v>
      </c>
      <c r="C27" s="39">
        <f>IF(ISERROR(B27*3.6/1000000/'E Balans VL '!Z9*100),0,B27*3.6/1000000/'E Balans VL '!Z9*100)</f>
        <v>0.32851419714660351</v>
      </c>
      <c r="D27" s="233" t="s">
        <v>841</v>
      </c>
      <c r="F27" s="6"/>
    </row>
    <row r="28" spans="1:18" ht="30">
      <c r="A28" s="168" t="s">
        <v>51</v>
      </c>
      <c r="B28" s="33">
        <f>IF(ISERROR(TER_handel_ele_kWh/1000),0,TER_handel_ele_kWh/1000)</f>
        <v>13246.600480045001</v>
      </c>
      <c r="C28" s="39">
        <f>IF(ISERROR(B28*3.6/1000000/'E Balans VL '!Z13*100),0,B28*3.6/1000000/'E Balans VL '!Z13*100)</f>
        <v>0.40933112769627217</v>
      </c>
      <c r="D28" s="233" t="s">
        <v>841</v>
      </c>
      <c r="F28" s="6"/>
    </row>
    <row r="29" spans="1:18" ht="30">
      <c r="A29" s="228" t="s">
        <v>50</v>
      </c>
      <c r="B29" s="33">
        <f>IF(ISERROR(TER_gezond_ele_kWh/1000),0,TER_gezond_ele_kWh/1000)</f>
        <v>4436.36929950174</v>
      </c>
      <c r="C29" s="39">
        <f>IF(ISERROR(B29*3.6/1000000/'E Balans VL '!Z10*100),0,B29*3.6/1000000/'E Balans VL '!Z10*100)</f>
        <v>0.43479147038635096</v>
      </c>
      <c r="D29" s="233" t="s">
        <v>841</v>
      </c>
      <c r="F29" s="6"/>
    </row>
    <row r="30" spans="1:18" ht="30">
      <c r="A30" s="228" t="s">
        <v>49</v>
      </c>
      <c r="B30" s="33">
        <f>IF(ISERROR(TER_ander_ele_kWh/1000),0,TER_ander_ele_kWh/1000)</f>
        <v>6592.0915738673202</v>
      </c>
      <c r="C30" s="39">
        <f>IF(ISERROR(B30*3.6/1000000/'E Balans VL '!Z14*100),0,B30*3.6/1000000/'E Balans VL '!Z14*100)</f>
        <v>0.27306572884634678</v>
      </c>
      <c r="D30" s="233" t="s">
        <v>841</v>
      </c>
      <c r="F30" s="6"/>
    </row>
    <row r="31" spans="1:18" ht="30">
      <c r="A31" s="228" t="s">
        <v>54</v>
      </c>
      <c r="B31" s="33">
        <f>IF(ISERROR(TER_onderwijs_ele_kWh/1000),0,TER_onderwijs_ele_kWh/1000)</f>
        <v>1384.8206345431799</v>
      </c>
      <c r="C31" s="39">
        <f>IF(ISERROR(B31*3.6/1000000/'E Balans VL '!Z11*100),0,B31*3.6/1000000/'E Balans VL '!Z11*100)</f>
        <v>0.42551327881948081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28960.5719742806</v>
      </c>
      <c r="C5" s="17">
        <f>IF(ISERROR('Eigen informatie GS &amp; warmtenet'!B61),0,'Eigen informatie GS &amp; warmtenet'!B61)</f>
        <v>0</v>
      </c>
      <c r="D5" s="30">
        <f>SUM(D6:D15)</f>
        <v>9583.3192567680326</v>
      </c>
      <c r="E5" s="17">
        <f>SUM(E6:E15)</f>
        <v>145.03028595154098</v>
      </c>
      <c r="F5" s="17">
        <f>SUM(F6:F15)</f>
        <v>3720.1487187628154</v>
      </c>
      <c r="G5" s="18"/>
      <c r="H5" s="17"/>
      <c r="I5" s="17"/>
      <c r="J5" s="17">
        <f>SUM(J6:J15)</f>
        <v>44.697466438053738</v>
      </c>
      <c r="K5" s="17"/>
      <c r="L5" s="17"/>
      <c r="M5" s="17"/>
      <c r="N5" s="17">
        <f>SUM(N6:N15)</f>
        <v>1036.4768445801903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21962.053911693598</v>
      </c>
      <c r="C8" s="33"/>
      <c r="D8" s="37">
        <f>IF( ISERROR(IND_metaal_Gas_kWH/1000),0,IND_metaal_Gas_kWH/1000)*0.903</f>
        <v>5369.5936181886482</v>
      </c>
      <c r="E8" s="33">
        <f>C30*'E Balans VL '!I18/100/3.6*1000000</f>
        <v>119.71858101905029</v>
      </c>
      <c r="F8" s="33">
        <f>C30*'E Balans VL '!L18/100/3.6*1000000+C30*'E Balans VL '!N18/100/3.6*1000000</f>
        <v>1414.357949434077</v>
      </c>
      <c r="G8" s="34"/>
      <c r="H8" s="33"/>
      <c r="I8" s="33"/>
      <c r="J8" s="40">
        <f>C30*'E Balans VL '!D18/100/3.6*1000000+C30*'E Balans VL '!E18/100/3.6*1000000</f>
        <v>17.989601050049892</v>
      </c>
      <c r="K8" s="33"/>
      <c r="L8" s="33"/>
      <c r="M8" s="33"/>
      <c r="N8" s="33">
        <f>C30*'E Balans VL '!Y18/100/3.6*1000000</f>
        <v>474.47566230505316</v>
      </c>
      <c r="O8" s="33"/>
      <c r="P8" s="33"/>
      <c r="R8" s="32"/>
    </row>
    <row r="9" spans="1:18">
      <c r="A9" s="6" t="s">
        <v>32</v>
      </c>
      <c r="B9" s="37">
        <f t="shared" si="0"/>
        <v>3368.8322955747599</v>
      </c>
      <c r="C9" s="33"/>
      <c r="D9" s="37">
        <f>IF( ISERROR(IND_andere_gas_kWh/1000),0,IND_andere_gas_kWh/1000)*0.903</f>
        <v>2097.4912211746155</v>
      </c>
      <c r="E9" s="33">
        <f>C31*'E Balans VL '!I19/100/3.6*1000000</f>
        <v>10.875164364127111</v>
      </c>
      <c r="F9" s="33">
        <f>C31*'E Balans VL '!L19/100/3.6*1000000+C31*'E Balans VL '!N19/100/3.6*1000000</f>
        <v>2178.3134078590697</v>
      </c>
      <c r="G9" s="34"/>
      <c r="H9" s="33"/>
      <c r="I9" s="33"/>
      <c r="J9" s="40">
        <f>C31*'E Balans VL '!D19/100/3.6*1000000+C31*'E Balans VL '!E19/100/3.6*1000000</f>
        <v>0</v>
      </c>
      <c r="K9" s="33"/>
      <c r="L9" s="33"/>
      <c r="M9" s="33"/>
      <c r="N9" s="33">
        <f>C31*'E Balans VL '!Y19/100/3.6*1000000</f>
        <v>136.13062172160429</v>
      </c>
      <c r="O9" s="33"/>
      <c r="P9" s="33"/>
      <c r="R9" s="32"/>
    </row>
    <row r="10" spans="1:18">
      <c r="A10" s="6" t="s">
        <v>40</v>
      </c>
      <c r="B10" s="37">
        <f t="shared" si="0"/>
        <v>619.74186465004902</v>
      </c>
      <c r="C10" s="33"/>
      <c r="D10" s="37">
        <f>IF( ISERROR(IND_voed_gas_kWh/1000),0,IND_voed_gas_kWh/1000)*0.903</f>
        <v>382.28488080520333</v>
      </c>
      <c r="E10" s="33">
        <f>C32*'E Balans VL '!I20/100/3.6*1000000</f>
        <v>1.2991308306511484</v>
      </c>
      <c r="F10" s="33">
        <f>C32*'E Balans VL '!L20/100/3.6*1000000+C32*'E Balans VL '!N20/100/3.6*1000000</f>
        <v>12.0747132751358</v>
      </c>
      <c r="G10" s="34"/>
      <c r="H10" s="33"/>
      <c r="I10" s="33"/>
      <c r="J10" s="40">
        <f>C32*'E Balans VL '!D20/100/3.6*1000000+C32*'E Balans VL '!E20/100/3.6*1000000</f>
        <v>0</v>
      </c>
      <c r="K10" s="33"/>
      <c r="L10" s="33"/>
      <c r="M10" s="33"/>
      <c r="N10" s="33">
        <f>C32*'E Balans VL '!Y20/100/3.6*1000000</f>
        <v>24.651613199517758</v>
      </c>
      <c r="O10" s="33"/>
      <c r="P10" s="33"/>
      <c r="R10" s="32"/>
    </row>
    <row r="11" spans="1:18">
      <c r="A11" s="6" t="s">
        <v>39</v>
      </c>
      <c r="B11" s="37">
        <f t="shared" si="0"/>
        <v>25.8712535841636</v>
      </c>
      <c r="C11" s="33"/>
      <c r="D11" s="37">
        <f>IF( ISERROR(IND_textiel_gas_kWh/1000),0,IND_textiel_gas_kWh/1000)*0.903</f>
        <v>149.65186403209557</v>
      </c>
      <c r="E11" s="33">
        <f>C33*'E Balans VL '!I21/100/3.6*1000000</f>
        <v>2.2230390502707472E-2</v>
      </c>
      <c r="F11" s="33">
        <f>C33*'E Balans VL '!L21/100/3.6*1000000+C33*'E Balans VL '!N21/100/3.6*1000000</f>
        <v>0.54241768270418567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730.9945148027399</v>
      </c>
      <c r="C12" s="33"/>
      <c r="D12" s="37">
        <f>IF( ISERROR(IND_min_gas_kWh/1000),0,IND_min_gas_kWh/1000)*0.903</f>
        <v>653.52023216702855</v>
      </c>
      <c r="E12" s="33">
        <f>C34*'E Balans VL '!I22/100/3.6*1000000</f>
        <v>11.962768280234839</v>
      </c>
      <c r="F12" s="33">
        <f>C34*'E Balans VL '!L22/100/3.6*1000000+C34*'E Balans VL '!N22/100/3.6*1000000</f>
        <v>111.57485670904363</v>
      </c>
      <c r="G12" s="34"/>
      <c r="H12" s="33"/>
      <c r="I12" s="33"/>
      <c r="J12" s="40">
        <f>C34*'E Balans VL '!D22/100/3.6*1000000+C34*'E Balans VL '!E22/100/3.6*1000000</f>
        <v>26.159783194334594</v>
      </c>
      <c r="K12" s="33"/>
      <c r="L12" s="33"/>
      <c r="M12" s="33"/>
      <c r="N12" s="33">
        <f>C34*'E Balans VL '!Y22/100/3.6*1000000</f>
        <v>400.60050863969008</v>
      </c>
      <c r="O12" s="33"/>
      <c r="P12" s="33"/>
      <c r="R12" s="32"/>
    </row>
    <row r="13" spans="1:18">
      <c r="A13" s="6" t="s">
        <v>38</v>
      </c>
      <c r="B13" s="37">
        <f t="shared" si="0"/>
        <v>2233.5034379773497</v>
      </c>
      <c r="C13" s="33"/>
      <c r="D13" s="37">
        <f>IF( ISERROR(IND_papier_gas_kWh/1000),0,IND_papier_gas_kWh/1000)*0.903</f>
        <v>929.9788550580613</v>
      </c>
      <c r="E13" s="33">
        <f>C35*'E Balans VL '!I23/100/3.6*1000000</f>
        <v>0</v>
      </c>
      <c r="F13" s="33">
        <f>C35*'E Balans VL '!L23/100/3.6*1000000+C35*'E Balans VL '!N23/100/3.6*1000000</f>
        <v>0.29918482700553878</v>
      </c>
      <c r="G13" s="34"/>
      <c r="H13" s="33"/>
      <c r="I13" s="33"/>
      <c r="J13" s="40">
        <f>C35*'E Balans VL '!D23/100/3.6*1000000+C35*'E Balans VL '!E23/100/3.6*1000000</f>
        <v>0.44180103316992936</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19.574695997941998</v>
      </c>
      <c r="C15" s="33"/>
      <c r="D15" s="37">
        <f>IF( ISERROR(IND_rest_gas_kWh/1000),0,IND_rest_gas_kWh/1000)*0.903</f>
        <v>0.79858534238019807</v>
      </c>
      <c r="E15" s="33">
        <f>C37*'E Balans VL '!I15/100/3.6*1000000</f>
        <v>1.1524110669749164</v>
      </c>
      <c r="F15" s="33">
        <f>C37*'E Balans VL '!L15/100/3.6*1000000+C37*'E Balans VL '!N15/100/3.6*1000000</f>
        <v>2.9861889757798692</v>
      </c>
      <c r="G15" s="34"/>
      <c r="H15" s="33"/>
      <c r="I15" s="33"/>
      <c r="J15" s="40">
        <f>C37*'E Balans VL '!D15/100/3.6*1000000+C37*'E Balans VL '!E15/100/3.6*1000000</f>
        <v>0.1062811604993234</v>
      </c>
      <c r="K15" s="33"/>
      <c r="L15" s="33"/>
      <c r="M15" s="33"/>
      <c r="N15" s="33">
        <f>C37*'E Balans VL '!Y15/100/3.6*1000000</f>
        <v>0.61843871432509312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28960.5719742806</v>
      </c>
      <c r="C18" s="21">
        <f>C5+C16</f>
        <v>0</v>
      </c>
      <c r="D18" s="21">
        <f>MAX((D5+D16),0)</f>
        <v>9583.3192567680326</v>
      </c>
      <c r="E18" s="21">
        <f>MAX((E5+E16),0)</f>
        <v>145.03028595154098</v>
      </c>
      <c r="F18" s="21">
        <f>MAX((F5+F16),0)</f>
        <v>3720.1487187628154</v>
      </c>
      <c r="G18" s="21"/>
      <c r="H18" s="21"/>
      <c r="I18" s="21"/>
      <c r="J18" s="21">
        <f>MAX((J5+J16),0)</f>
        <v>44.697466438053738</v>
      </c>
      <c r="K18" s="21"/>
      <c r="L18" s="21">
        <f>MAX((L5+L16),0)</f>
        <v>0</v>
      </c>
      <c r="M18" s="21"/>
      <c r="N18" s="21">
        <f>MAX((N5+N16),0)</f>
        <v>1036.4768445801903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0.19970227433760562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5783.4920893817571</v>
      </c>
      <c r="C22" s="23">
        <f ca="1">C18*C20</f>
        <v>0</v>
      </c>
      <c r="D22" s="23">
        <f>D18*D20</f>
        <v>1935.8304898671427</v>
      </c>
      <c r="E22" s="23">
        <f>E18*E20</f>
        <v>32.921874910999804</v>
      </c>
      <c r="F22" s="23">
        <f>F18*F20</f>
        <v>993.27970790967174</v>
      </c>
      <c r="G22" s="23"/>
      <c r="H22" s="23"/>
      <c r="I22" s="23"/>
      <c r="J22" s="23">
        <f>J18*J20</f>
        <v>15.822903119071022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21962.053911693598</v>
      </c>
      <c r="C30" s="39">
        <f>IF(ISERROR(B30*3.6/1000000/'E Balans VL '!Z18*100),0,B30*3.6/1000000/'E Balans VL '!Z18*100)</f>
        <v>1.322494665717374</v>
      </c>
      <c r="D30" s="233" t="s">
        <v>841</v>
      </c>
    </row>
    <row r="31" spans="1:18" ht="30">
      <c r="A31" s="6" t="s">
        <v>32</v>
      </c>
      <c r="B31" s="37">
        <f>IF( ISERROR(IND_ander_ele_kWh/1000),0,IND_ander_ele_kWh/1000)</f>
        <v>3368.8322955747599</v>
      </c>
      <c r="C31" s="39">
        <f>IF(ISERROR(B31*3.6/1000000/'E Balans VL '!Z19*100),0,B31*3.6/1000000/'E Balans VL '!Z19*100)</f>
        <v>0.13725320200717725</v>
      </c>
      <c r="D31" s="233" t="s">
        <v>841</v>
      </c>
    </row>
    <row r="32" spans="1:18" ht="30">
      <c r="A32" s="168" t="s">
        <v>40</v>
      </c>
      <c r="B32" s="37">
        <f>IF( ISERROR(IND_voed_ele_kWh/1000),0,IND_voed_ele_kWh/1000)</f>
        <v>619.74186465004902</v>
      </c>
      <c r="C32" s="39">
        <f>IF(ISERROR(B32*3.6/1000000/'E Balans VL '!Z20*100),0,B32*3.6/1000000/'E Balans VL '!Z20*100)</f>
        <v>1.7919231334656931E-2</v>
      </c>
      <c r="D32" s="233" t="s">
        <v>841</v>
      </c>
    </row>
    <row r="33" spans="1:5" ht="30">
      <c r="A33" s="168" t="s">
        <v>39</v>
      </c>
      <c r="B33" s="37">
        <f>IF( ISERROR(IND_textiel_ele_kWh/1000),0,IND_textiel_ele_kWh/1000)</f>
        <v>25.8712535841636</v>
      </c>
      <c r="C33" s="39">
        <f>IF(ISERROR(B33*3.6/1000000/'E Balans VL '!Z21*100),0,B33*3.6/1000000/'E Balans VL '!Z21*100)</f>
        <v>4.2546201919057367E-3</v>
      </c>
      <c r="D33" s="233" t="s">
        <v>841</v>
      </c>
    </row>
    <row r="34" spans="1:5" ht="30">
      <c r="A34" s="168" t="s">
        <v>36</v>
      </c>
      <c r="B34" s="37">
        <f>IF( ISERROR(IND_min_ele_kWh/1000),0,IND_min_ele_kWh/1000)</f>
        <v>730.9945148027399</v>
      </c>
      <c r="C34" s="39">
        <f>IF(ISERROR(B34*3.6/1000000/'E Balans VL '!Z22*100),0,B34*3.6/1000000/'E Balans VL '!Z22*100)</f>
        <v>0.31212786523798369</v>
      </c>
      <c r="D34" s="233" t="s">
        <v>841</v>
      </c>
    </row>
    <row r="35" spans="1:5" ht="30">
      <c r="A35" s="168" t="s">
        <v>38</v>
      </c>
      <c r="B35" s="37">
        <f>IF( ISERROR(IND_papier_ele_kWh/1000),0,IND_papier_ele_kWh/1000)</f>
        <v>2233.5034379773497</v>
      </c>
      <c r="C35" s="39">
        <f>IF(ISERROR(B35*3.6/1000000/'E Balans VL '!Z22*100),0,B35*3.6/1000000/'E Balans VL '!Z22*100)</f>
        <v>0.95368521374704385</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19.574695997941998</v>
      </c>
      <c r="C37" s="39">
        <f>IF(ISERROR(B37*3.6/1000000/'E Balans VL '!Z15*100),0,B37*3.6/1000000/'E Balans VL '!Z15*100)</f>
        <v>1.6072308044010267E-4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1838.29823515062</v>
      </c>
      <c r="C5" s="17">
        <f>'Eigen informatie GS &amp; warmtenet'!B62</f>
        <v>0</v>
      </c>
      <c r="D5" s="30">
        <f>IF(ISERROR(SUM(LB_lb_gas_kWh,LB_rest_gas_kWh)/1000),0,SUM(LB_lb_gas_kWh,LB_rest_gas_kWh)/1000)*0.903</f>
        <v>2146.8091786335344</v>
      </c>
      <c r="E5" s="17">
        <f>B17*'E Balans VL '!I25/3.6*1000000/100</f>
        <v>52.651972424882359</v>
      </c>
      <c r="F5" s="17">
        <f>B17*('E Balans VL '!L25/3.6*1000000+'E Balans VL '!N25/3.6*1000000)/100</f>
        <v>5819.1026159747162</v>
      </c>
      <c r="G5" s="18"/>
      <c r="H5" s="17"/>
      <c r="I5" s="17"/>
      <c r="J5" s="17">
        <f>('E Balans VL '!D25+'E Balans VL '!E25)/3.6*1000000*landbouw!B17/100</f>
        <v>467.42151423701529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1838.29823515062</v>
      </c>
      <c r="C8" s="21">
        <f>C5+C6</f>
        <v>0</v>
      </c>
      <c r="D8" s="21">
        <f>MAX((D5+D6),0)</f>
        <v>2146.8091786335344</v>
      </c>
      <c r="E8" s="21">
        <f>MAX((E5+E6),0)</f>
        <v>52.651972424882359</v>
      </c>
      <c r="F8" s="21">
        <f>MAX((F5+F6),0)</f>
        <v>5819.1026159747162</v>
      </c>
      <c r="G8" s="21"/>
      <c r="H8" s="21"/>
      <c r="I8" s="21"/>
      <c r="J8" s="21">
        <f>MAX((J5+J6),0)</f>
        <v>467.42151423701529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0.19970227433760562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367.1123384703854</v>
      </c>
      <c r="C12" s="23">
        <f ca="1">C8*C10</f>
        <v>0</v>
      </c>
      <c r="D12" s="23">
        <f>D8*D10</f>
        <v>433.65545408397401</v>
      </c>
      <c r="E12" s="23">
        <f>E8*E10</f>
        <v>11.951997740448295</v>
      </c>
      <c r="F12" s="23">
        <f>F8*F10</f>
        <v>1553.7003984652492</v>
      </c>
      <c r="G12" s="23"/>
      <c r="H12" s="23"/>
      <c r="I12" s="23"/>
      <c r="J12" s="23">
        <f>J8*J10</f>
        <v>165.46721603990341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0.25456260285419774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71.56056965771262</v>
      </c>
      <c r="C26" s="243">
        <f>B26*'GWP N2O_CH4'!B5</f>
        <v>1502.7719628119651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18.076658209473756</v>
      </c>
      <c r="C27" s="243">
        <f>B27*'GWP N2O_CH4'!B5</f>
        <v>379.60982239894889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2.182973460286223</v>
      </c>
      <c r="C28" s="243">
        <f>B28*'GWP N2O_CH4'!B4</f>
        <v>676.72177268872917</v>
      </c>
      <c r="D28" s="50"/>
    </row>
    <row r="29" spans="1:4">
      <c r="A29" s="41" t="s">
        <v>272</v>
      </c>
      <c r="B29" s="243">
        <f>B34*'ha_N2O bodem landbouw'!B4</f>
        <v>10.57663619767834</v>
      </c>
      <c r="C29" s="243">
        <f>B29*'GWP N2O_CH4'!B4</f>
        <v>3278.7572212802852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2.4028224511174396E-3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2.725390002244729E-3</v>
      </c>
      <c r="C5" s="434" t="s">
        <v>210</v>
      </c>
      <c r="D5" s="419">
        <f>SUM(D6:D11)</f>
        <v>4.4844623979884623E-3</v>
      </c>
      <c r="E5" s="419">
        <f>SUM(E6:E11)</f>
        <v>1.9244118764463422E-3</v>
      </c>
      <c r="F5" s="432" t="s">
        <v>210</v>
      </c>
      <c r="G5" s="419">
        <f>SUM(G6:G11)</f>
        <v>0.82482068647425166</v>
      </c>
      <c r="H5" s="419">
        <f>SUM(H6:H11)</f>
        <v>0.22406246745082642</v>
      </c>
      <c r="I5" s="434" t="s">
        <v>210</v>
      </c>
      <c r="J5" s="434" t="s">
        <v>210</v>
      </c>
      <c r="K5" s="434" t="s">
        <v>210</v>
      </c>
      <c r="L5" s="434" t="s">
        <v>210</v>
      </c>
      <c r="M5" s="419">
        <f>SUM(M6:M11)</f>
        <v>6.3243865955104117E-2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9.2308107556696921E-4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1.5390404013849301E-3</v>
      </c>
      <c r="E6" s="886">
        <f>vkm_GW_PW*SUMIFS(TableVerdeelsleutelVkm[LPG],TableVerdeelsleutelVkm[Voertuigtype],"Lichte voertuigen")*SUMIFS(TableECFTransport[EnergieConsumptieFactor (PJ per km)],TableECFTransport[Index],CONCATENATE($A6,"_LPG_LPG"))</f>
        <v>6.1016692302038407E-4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0.1833704880293516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7.5477234983439404E-2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1.58795444419201E-2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3.0210244340642346E-6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0.11975531275042949</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8.8362086813921759E-7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6.8761475346275375E-3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4.6279813680722023E-4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1.0567778958880654E-3</v>
      </c>
      <c r="E8" s="422">
        <f>vkm_NGW_PW*SUMIFS(TableVerdeelsleutelVkm[LPG],TableVerdeelsleutelVkm[Voertuigtype],"Lichte voertuigen")*SUMIFS(TableECFTransport[EnergieConsumptieFactor (PJ per km)],TableECFTransport[Index],CONCATENATE($A8,"_LPG_LPG"))</f>
        <v>4.0115832991791784E-4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0.11043089776253567</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5.1342324732673E-2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9.9805154679952577E-3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3.3335769920987886E-7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1.7017182698940061E-2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1.1768975595321439E-7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9.7709729396286849E-4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1.332261562562634E-3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1.8886441007154671E-3</v>
      </c>
      <c r="E10" s="422">
        <f>vkm_SW_PW*SUMIFS(TableVerdeelsleutelVkm[LPG],TableVerdeelsleutelVkm[Voertuigtype],"Lichte voertuigen")*SUMIFS(TableECFTransport[EnergieConsumptieFactor (PJ per km)],TableECFTransport[Index],CONCATENATE($A10,"_LPG_LPG"))</f>
        <v>9.1308662350804046E-4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0.24895031711801752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9.7240733871409107E-2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2.1187875463368765E-2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3.8948451746315166E-6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0.14529648811497733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1.1725526807983181E-6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8.3426857532295957E-3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757.05277840131362</v>
      </c>
      <c r="C14" s="21"/>
      <c r="D14" s="21">
        <f t="shared" ref="D14:M14" si="0">((D5)*10^9/3600)+D12</f>
        <v>1245.6839994412394</v>
      </c>
      <c r="E14" s="21">
        <f t="shared" si="0"/>
        <v>534.55885456842839</v>
      </c>
      <c r="F14" s="21"/>
      <c r="G14" s="21">
        <f t="shared" si="0"/>
        <v>229116.8573539588</v>
      </c>
      <c r="H14" s="21">
        <f t="shared" si="0"/>
        <v>62239.574291896221</v>
      </c>
      <c r="I14" s="21"/>
      <c r="J14" s="21"/>
      <c r="K14" s="21"/>
      <c r="L14" s="21"/>
      <c r="M14" s="21">
        <f t="shared" si="0"/>
        <v>17567.740543084477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0.19970227433760562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151.18516164034568</v>
      </c>
      <c r="C18" s="23"/>
      <c r="D18" s="23">
        <f t="shared" ref="D18:M18" si="1">D14*D16</f>
        <v>251.62816788713036</v>
      </c>
      <c r="E18" s="23">
        <f t="shared" si="1"/>
        <v>121.34485998703325</v>
      </c>
      <c r="F18" s="23"/>
      <c r="G18" s="23">
        <f t="shared" si="1"/>
        <v>61174.200913507004</v>
      </c>
      <c r="H18" s="23">
        <f t="shared" si="1"/>
        <v>15497.653998682159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1.9671055541649768E-4</v>
      </c>
      <c r="C50" s="315">
        <f t="shared" ref="C50:P50" si="2">SUM(C51:C52)</f>
        <v>0</v>
      </c>
      <c r="D50" s="315">
        <f t="shared" si="2"/>
        <v>0</v>
      </c>
      <c r="E50" s="315">
        <f t="shared" si="2"/>
        <v>0</v>
      </c>
      <c r="F50" s="315">
        <f t="shared" si="2"/>
        <v>0</v>
      </c>
      <c r="G50" s="315">
        <f t="shared" si="2"/>
        <v>1.2314675466732218E-2</v>
      </c>
      <c r="H50" s="315">
        <f t="shared" si="2"/>
        <v>0</v>
      </c>
      <c r="I50" s="315">
        <f t="shared" si="2"/>
        <v>0</v>
      </c>
      <c r="J50" s="315">
        <f t="shared" si="2"/>
        <v>0</v>
      </c>
      <c r="K50" s="315">
        <f t="shared" si="2"/>
        <v>0</v>
      </c>
      <c r="L50" s="315">
        <f t="shared" si="2"/>
        <v>0</v>
      </c>
      <c r="M50" s="315">
        <f t="shared" si="2"/>
        <v>7.0708139774088984E-4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1.9671055541649768E-4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1.2314675466732218E-2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7.0708139774088984E-4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54.641820949027135</v>
      </c>
      <c r="C54" s="21">
        <f t="shared" ref="C54:P54" si="3">(C50)*10^9/3600</f>
        <v>0</v>
      </c>
      <c r="D54" s="21">
        <f t="shared" si="3"/>
        <v>0</v>
      </c>
      <c r="E54" s="21">
        <f t="shared" si="3"/>
        <v>0</v>
      </c>
      <c r="F54" s="21">
        <f t="shared" si="3"/>
        <v>0</v>
      </c>
      <c r="G54" s="21">
        <f t="shared" si="3"/>
        <v>3420.7431852033938</v>
      </c>
      <c r="H54" s="21">
        <f t="shared" si="3"/>
        <v>0</v>
      </c>
      <c r="I54" s="21">
        <f t="shared" si="3"/>
        <v>0</v>
      </c>
      <c r="J54" s="21">
        <f t="shared" si="3"/>
        <v>0</v>
      </c>
      <c r="K54" s="21">
        <f t="shared" si="3"/>
        <v>0</v>
      </c>
      <c r="L54" s="21">
        <f t="shared" si="3"/>
        <v>0</v>
      </c>
      <c r="M54" s="21">
        <f t="shared" si="3"/>
        <v>196.41149937246939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0.19970227433760562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10.912095917468942</v>
      </c>
      <c r="C58" s="23">
        <f t="shared" ref="C58:P58" ca="1" si="4">C54*C56</f>
        <v>0</v>
      </c>
      <c r="D58" s="23">
        <f t="shared" si="4"/>
        <v>0</v>
      </c>
      <c r="E58" s="23">
        <f t="shared" si="4"/>
        <v>0</v>
      </c>
      <c r="F58" s="23">
        <f t="shared" si="4"/>
        <v>0</v>
      </c>
      <c r="G58" s="23">
        <f t="shared" si="4"/>
        <v>913.3384304493062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10.457375463389658</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11859.48962858905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47.8125</v>
      </c>
      <c r="C8" s="545">
        <f>B48</f>
        <v>56.25</v>
      </c>
      <c r="D8" s="546"/>
      <c r="E8" s="546">
        <f>E48</f>
        <v>0</v>
      </c>
      <c r="F8" s="547"/>
      <c r="G8" s="548"/>
      <c r="H8" s="546">
        <f>I48</f>
        <v>0</v>
      </c>
      <c r="I8" s="546">
        <f>G48+F48</f>
        <v>0</v>
      </c>
      <c r="J8" s="546">
        <f>H48+D48+C48</f>
        <v>0</v>
      </c>
      <c r="K8" s="546"/>
      <c r="L8" s="546"/>
      <c r="M8" s="546"/>
      <c r="N8" s="549"/>
      <c r="O8" s="550">
        <f>C8*$C$12+D8*$D$12+E8*$E$12+F8*$F$12+G8*$G$12+H8*$H$12+I8*$I$12+J8*$J$12</f>
        <v>11.362500000000001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11917.759504052439</v>
      </c>
      <c r="C10" s="560">
        <f t="shared" ref="C10:L10" si="0">SUM(C8:C9)</f>
        <v>56.25</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11.362500000000001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68.303571428571431</v>
      </c>
      <c r="C17" s="576">
        <f>B49</f>
        <v>80.357142857142861</v>
      </c>
      <c r="D17" s="577"/>
      <c r="E17" s="577">
        <f>E49</f>
        <v>0</v>
      </c>
      <c r="F17" s="578"/>
      <c r="G17" s="579"/>
      <c r="H17" s="576">
        <f>I49</f>
        <v>0</v>
      </c>
      <c r="I17" s="577">
        <f>G49+F49</f>
        <v>0</v>
      </c>
      <c r="J17" s="577">
        <f>H49+D49+C49</f>
        <v>0</v>
      </c>
      <c r="K17" s="577"/>
      <c r="L17" s="577"/>
      <c r="M17" s="577"/>
      <c r="N17" s="962"/>
      <c r="O17" s="580">
        <f>C17*$C$22+E17*$E$22+H17*$H$22+I17*$I$22+J17*$J$22+D17*$D$22+F17*$F$22+G17*$G$22+K17*$K$22+L17*$L$22</f>
        <v>16.232142857142858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68.303571428571431</v>
      </c>
      <c r="C20" s="559">
        <f>SUM(C17:C19)</f>
        <v>80.357142857142861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16.232142857142858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24001</v>
      </c>
      <c r="C28" s="787">
        <v>3200</v>
      </c>
      <c r="D28" s="637" t="s">
        <v>874</v>
      </c>
      <c r="E28" s="636"/>
      <c r="F28" s="636" t="s">
        <v>875</v>
      </c>
      <c r="G28" s="636" t="s">
        <v>876</v>
      </c>
      <c r="H28" s="636" t="s">
        <v>877</v>
      </c>
      <c r="I28" s="636" t="s">
        <v>878</v>
      </c>
      <c r="J28" s="786">
        <v>43125</v>
      </c>
      <c r="K28" s="786">
        <v>43671</v>
      </c>
      <c r="L28" s="636" t="s">
        <v>879</v>
      </c>
      <c r="M28" s="636">
        <v>25.5</v>
      </c>
      <c r="N28" s="636">
        <v>47.8125</v>
      </c>
      <c r="O28" s="636">
        <v>68.303571428571431</v>
      </c>
      <c r="P28" s="636">
        <v>136.60714285714286</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25.5</v>
      </c>
      <c r="N29" s="594">
        <f>SUM(N28:N28)</f>
        <v>47.8125</v>
      </c>
      <c r="O29" s="594">
        <f>SUM(O28:O28)</f>
        <v>68.303571428571431</v>
      </c>
      <c r="P29" s="594">
        <f>SUM(P28:P28)</f>
        <v>136.60714285714286</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25.5</v>
      </c>
      <c r="N31" s="594">
        <f ca="1">SUMIF($Z$28:AD28,"tertiair",N28:N28)</f>
        <v>47.8125</v>
      </c>
      <c r="O31" s="594">
        <f ca="1">SUMIF($Z$28:AE28,"tertiair",O28:O28)</f>
        <v>68.303571428571431</v>
      </c>
      <c r="P31" s="594">
        <f ca="1">SUMIF($Z$28:AF28,"tertiair",P28:P28)</f>
        <v>136.60714285714286</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56.25</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80.357142857142861</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2021-06-29T14:15:11Z</dcterms:modified>
</cp:coreProperties>
</file>