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22" i="59"/>
  <c r="C29" i="20"/>
  <c r="C17" i="19"/>
  <c r="C19" i="19" s="1"/>
  <c r="D39" i="14" s="1"/>
  <c r="C10" i="17"/>
  <c r="C12" i="17" s="1"/>
  <c r="D54" i="14" s="1"/>
  <c r="D56" i="14" s="1"/>
  <c r="C20" i="16"/>
  <c r="C22" i="16" s="1"/>
  <c r="D43" i="14" s="1"/>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<sst xmlns="http://schemas.openxmlformats.org/spreadsheetml/2006/main" count="2445" uniqueCount="882">
  <si>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</si>
  <si>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</si>
  <si>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</si>
  <si>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</si>
  <si>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</si>
  <si>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</si>
  <si>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</si>
  <si>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</si>
  <si>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</si>
  <si>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</si>
  <si>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</si>
  <si>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</si>
  <si>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</si>
  <si>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</si>
  <si>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</si>
  <si>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</si>
  <si>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</si>
  <si>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</si>
  <si>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</si>
  <si>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</si>
  <si>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</si>
  <si>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</si>
  <si>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</si>
  <si>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</si>
  <si>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</si>
  <si>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</si>
  <si>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</si>
  <si>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</si>
  <si>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</si>
  <si>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</si>
  <si>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</si>
  <si>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</si>
  <si>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</si>
  <si>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</si>
  <si>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</si>
  <si>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</si>
  <si>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</si>
  <si>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</si>
  <si>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</si>
  <si>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</si>
  <si>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</si>
  <si>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</si>
  <si>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</si>
  <si>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</si>
  <si>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</si>
  <si>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</si>
  <si>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</si>
  <si>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</si>
  <si>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</si>
  <si>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</si>
  <si>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</si>
  <si>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</si>
  <si>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</si>
  <si>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</si>
  <si>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</si>
  <si>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</si>
  <si>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</si>
  <si>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</si>
  <si>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</si>
  <si>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</si>
  <si>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</si>
  <si>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</si>
  <si>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</si>
  <si>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</si>
  <si>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</si>
  <si>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</si>
  <si>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</si>
  <si>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</si>
  <si>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</si>
  <si>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</si>
  <si>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</si>
  <si>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</si>
  <si>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</si>
  <si>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</si>
  <si>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</si>
  <si>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</si>
  <si>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</si>
  <si>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</si>
  <si>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</si>
  <si>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</si>
  <si>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</si>
  <si>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</si>
  <si>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</si>
  <si>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</si>
  <si>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</si>
  <si>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</si>
  <si>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</si>
  <si>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</si>
  <si>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</si>
  <si>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</si>
  <si>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</si>
  <si>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</si>
  <si>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</si>
  <si>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</si>
  <si>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</si>
  <si>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</si>
  <si>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</si>
  <si>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</si>
  <si>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</si>
  <si>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</si>
  <si>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</si>
  <si>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</si>
  <si>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</si>
  <si>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</si>
  <si>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</si>
  <si>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</si>
  <si>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</si>
  <si>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</si>
  <si>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</si>
  <si>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</si>
  <si>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</si>
  <si>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</si>
  <si>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</si>
  <si>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</si>
  <si>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</si>
  <si>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</si>
  <si>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</si>
  <si>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</si>
  <si>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</si>
  <si>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</si>
  <si>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</si>
  <si>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</si>
  <si>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</si>
  <si>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</si>
  <si>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</si>
  <si>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</si>
  <si>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</si>
  <si>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</si>
  <si>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</si>
  <si>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</si>
  <si>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</si>
  <si>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</si>
  <si>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</si>
  <si>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</si>
  <si>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</si>
  <si>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</si>
  <si>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</si>
  <si>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</si>
  <si>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</si>
  <si>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</si>
  <si>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</si>
  <si>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</si>
  <si>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</si>
  <si>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</si>
  <si>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</si>
  <si>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</si>
  <si>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</si>
  <si>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</si>
  <si>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</si>
  <si>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</si>
  <si>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</si>
  <si>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</si>
  <si>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</si>
  <si>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</si>
  <si>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</si>
  <si>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</si>
  <si>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</si>
  <si>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</si>
  <si>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</si>
  <si>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</si>
  <si>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</si>
  <si>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</si>
  <si>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</si>
  <si>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</si>
  <si>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</si>
  <si>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</si>
  <si>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</si>
  <si>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</si>
  <si>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</si>
  <si>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</si>
  <si>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</si>
  <si>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</si>
  <si>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</si>
  <si>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</si>
  <si>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</si>
  <si>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</si>
  <si>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</si>
  <si>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</si>
  <si>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</si>
  <si>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</si>
  <si>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</si>
  <si>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</si>
  <si>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</si>
  <si>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</si>
  <si>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</si>
  <si>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</si>
  <si>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</si>
  <si>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</si>
  <si>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</si>
  <si>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</si>
  <si>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</si>
  <si>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</si>
  <si>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</si>
  <si>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</si>
  <si>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</si>
  <si>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</si>
  <si>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</si>
  <si>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</si>
  <si>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</si>
  <si>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</si>
  <si>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</si>
  <si>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</si>
  <si>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</si>
  <si>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</si>
  <si>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</si>
  <si>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</si>
  <si>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</si>
  <si>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</si>
  <si>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</si>
  <si>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</si>
  <si>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</si>
  <si>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</si>
  <si>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</si>
  <si>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</si>
  <si>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</si>
  <si>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</si>
  <si>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</si>
  <si>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</si>
  <si>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</si>
  <si>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</si>
  <si>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</si>
  <si>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</si>
  <si>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</si>
  <si>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</si>
  <si>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</si>
  <si>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</si>
  <si>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</si>
  <si>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</si>
  <si>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</si>
  <si>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</si>
  <si>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</si>
  <si>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</si>
  <si>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</si>
  <si>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</si>
  <si>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</si>
  <si>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</si>
  <si>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</si>
  <si>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</si>
  <si>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</si>
  <si>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</si>
  <si>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</si>
  <si>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</si>
  <si>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</si>
  <si>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</si>
  <si>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</si>
  <si>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</si>
  <si>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</si>
  <si>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</si>
  <si>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</si>
  <si>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</si>
  <si>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</si>
  <si>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</si>
  <si>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</si>
  <si>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</si>
  <si>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</si>
  <si>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</si>
  <si>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</si>
  <si>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</si>
  <si>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</si>
  <si>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</si>
  <si>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</si>
  <si>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</si>
  <si>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</si>
  <si>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</si>
  <si>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</si>
  <si>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</si>
  <si>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</si>
  <si>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</si>
  <si>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</si>
  <si>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</si>
  <si>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</si>
  <si>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</si>
  <si>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</si>
  <si>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</si>
  <si>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</si>
  <si>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</si>
  <si>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</si>
  <si>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</si>
  <si>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</si>
  <si>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</si>
  <si>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</si>
  <si>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</si>
  <si>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</si>
  <si>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</si>
  <si>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</si>
  <si>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</si>
  <si>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</si>
  <si>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</si>
  <si>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</si>
  <si>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</si>
  <si>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</si>
  <si>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</si>
  <si>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</si>
  <si>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</si>
  <si>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</si>
  <si>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</si>
  <si>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</si>
  <si>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</si>
  <si>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</si>
  <si>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</si>
  <si>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</si>
  <si>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</si>
  <si>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</si>
  <si>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</si>
  <si>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</si>
  <si>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</si>
  <si>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</si>
  <si>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</si>
  <si>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</si>
  <si>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</si>
  <si>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</si>
  <si>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</si>
  <si>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</si>
  <si>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</si>
  <si>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</si>
  <si>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</si>
  <si>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</si>
  <si>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</si>
  <si>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</si>
  <si>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</si>
  <si>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</si>
  <si>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</si>
  <si>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</si>
  <si>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</si>
  <si>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</si>
  <si>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</si>
  <si>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</si>
  <si>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</si>
  <si>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</si>
  <si>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</si>
  <si>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</si>
  <si>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</si>
  <si>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</si>
  <si>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</si>
  <si>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</si>
  <si>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</si>
  <si>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</si>
  <si>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</si>
  <si>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</si>
  <si>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</si>
  <si>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</si>
  <si>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</si>
  <si>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</si>
  <si>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</si>
  <si>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</si>
  <si>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</si>
  <si>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</si>
  <si>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</si>
  <si>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</si>
  <si>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</si>
  <si>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</si>
  <si>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</si>
  <si>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</si>
  <si>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</si>
  <si>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</si>
  <si>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</si>
  <si>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</si>
  <si>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</si>
  <si>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</si>
  <si>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</si>
  <si>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</si>
  <si>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</si>
  <si>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</si>
  <si>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</si>
  <si>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</si>
  <si>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</si>
  <si>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</si>
  <si>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</si>
  <si>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</si>
  <si>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</si>
  <si>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</si>
  <si>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</si>
  <si>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</si>
  <si>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</si>
  <si>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</si>
  <si>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</si>
  <si>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</si>
  <si>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</si>
  <si>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</si>
  <si>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</si>
  <si>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</si>
  <si>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</si>
  <si>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</si>
  <si>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</si>
  <si>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</si>
  <si>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</si>
  <si>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</si>
  <si>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</si>
  <si>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</si>
  <si>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</si>
  <si>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</si>
  <si>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</si>
  <si>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</si>
  <si>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</si>
  <si>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</si>
  <si>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</si>
  <si>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</si>
  <si>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</si>
  <si>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</si>
  <si>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</si>
  <si>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</si>
  <si>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</si>
  <si>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</si>
  <si>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</si>
  <si>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</si>
  <si>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</si>
  <si>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</si>
  <si>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</si>
  <si>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</si>
  <si>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</si>
  <si>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</si>
  <si>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</si>
  <si>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</si>
  <si>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</si>
  <si>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</si>
  <si>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</si>
  <si>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</si>
  <si>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</si>
  <si>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</si>
  <si>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</si>
  <si>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</si>
  <si>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</si>
  <si>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</si>
  <si>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</si>
  <si>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</si>
  <si>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</si>
  <si>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</si>
  <si>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</si>
  <si>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</si>
  <si>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</si>
  <si>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</si>
  <si>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</si>
  <si>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</si>
  <si>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</si>
  <si>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</si>
  <si>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</si>
  <si>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</si>
  <si>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</si>
  <si>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</si>
  <si>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</si>
  <si>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</si>
  <si>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</si>
  <si>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</si>
  <si>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</si>
  <si>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</si>
  <si>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</si>
  <si>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</si>
  <si>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</si>
  <si>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</si>
  <si>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</si>
  <si>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</si>
  <si>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</si>
  <si>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</si>
  <si>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</si>
  <si>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</si>
  <si>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</si>
  <si>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</si>
  <si>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</si>
  <si>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</si>
  <si>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</si>
  <si>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</si>
  <si>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</si>
  <si>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</si>
  <si>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</si>
  <si>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</si>
  <si>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</si>
  <si>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</si>
  <si>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</si>
  <si>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</si>
  <si>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</si>
  <si>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</si>
  <si>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</si>
  <si>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</si>
  <si>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</si>
  <si>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</si>
  <si>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</si>
  <si>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</si>
  <si>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</si>
  <si>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</si>
  <si>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</si>
  <si>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</si>
  <si>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</si>
  <si>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</si>
  <si>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</si>
  <si>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</si>
  <si>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</si>
  <si>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</si>
  <si>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</si>
  <si>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</si>
  <si>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</si>
  <si>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</si>
  <si>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</si>
  <si>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</si>
  <si>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</si>
  <si>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</si>
  <si>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</si>
  <si>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</si>
  <si>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</si>
  <si>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</si>
  <si>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</si>
  <si>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</si>
  <si>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</si>
  <si>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</si>
  <si>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</si>
  <si>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</si>
  <si>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</si>
  <si>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</si>
  <si>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</si>
  <si>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</si>
  <si>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</si>
  <si>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</si>
  <si>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</si>
  <si>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</si>
  <si>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</si>
  <si>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</si>
  <si>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</si>
  <si>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</si>
  <si>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</si>
  <si>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</si>
  <si>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</si>
  <si>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</si>
  <si>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</si>
  <si>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</si>
  <si>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</si>
  <si>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</si>
  <si>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</si>
  <si>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</si>
  <si>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</si>
  <si>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</si>
  <si>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</si>
  <si>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</si>
  <si>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</si>
  <si>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</si>
  <si>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</si>
  <si>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</si>
  <si>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</si>
  <si>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</si>
  <si>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</si>
  <si>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</si>
  <si>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</si>
  <si>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</si>
  <si>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</si>
  <si>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</si>
  <si>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</si>
  <si>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</si>
  <si>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</si>
  <si>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</si>
  <si>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</si>
  <si>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</si>
  <si>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</si>
  <si>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</si>
  <si>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</si>
  <si>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</si>
  <si>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</si>
  <si>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</si>
  <si>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</si>
  <si>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</si>
  <si>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</si>
  <si>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</si>
  <si>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</si>
  <si>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</si>
  <si>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</si>
  <si>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</si>
  <si>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</si>
  <si>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</si>
  <si>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</si>
  <si>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</si>
  <si>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</si>
  <si>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</si>
  <si>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</si>
  <si>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</si>
  <si>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</si>
  <si>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</si>
  <si>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</si>
  <si>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</si>
  <si>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</si>
  <si>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</si>
  <si>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</si>
  <si>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</si>
  <si>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</si>
  <si>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</si>
  <si>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</si>
  <si>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</si>
  <si>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</si>
  <si>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</si>
  <si>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</si>
  <si>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</si>
  <si>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</si>
  <si>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</si>
  <si>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</si>
  <si>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</si>
  <si>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</si>
  <si>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</si>
  <si>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</si>
  <si>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</si>
  <si>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</si>
  <si>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</si>
  <si>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</si>
  <si>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</si>
  <si>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</si>
  <si>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</si>
  <si>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</si>
  <si>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</si>
  <si>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</si>
  <si>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</si>
  <si>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</si>
  <si>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</si>
  <si>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</si>
  <si>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</si>
  <si>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</si>
  <si>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</si>
  <si>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</si>
  <si>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</si>
  <si>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</si>
  <si>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</si>
  <si>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</si>
  <si>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</si>
  <si>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</si>
  <si>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</si>
  <si>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</si>
  <si>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</si>
  <si>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</si>
  <si>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</si>
  <si>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</si>
  <si>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</si>
  <si>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</si>
  <si>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</si>
  <si>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</si>
  <si>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</si>
  <si>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</si>
  <si>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</si>
  <si>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</si>
  <si>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</si>
  <si>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</si>
  <si>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</si>
  <si>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</si>
  <si>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</si>
  <si>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</si>
  <si>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</si>
  <si>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</si>
  <si>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</si>
  <si>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</si>
  <si>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</si>
  <si>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</si>
  <si>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</si>
  <si>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</si>
  <si>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</si>
  <si>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</si>
  <si>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</si>
  <si>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</si>
  <si>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</si>
  <si>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</si>
  <si>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</si>
  <si>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</si>
  <si>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</si>
  <si>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</si>
  <si>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</si>
  <si>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</si>
  <si>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</si>
  <si>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</si>
  <si>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</si>
  <si>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</si>
  <si>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</si>
  <si>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</si>
  <si>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</si>
  <si>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</si>
  <si>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</si>
  <si>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</si>
  <si>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</si>
  <si>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</si>
  <si>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</si>
  <si>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</si>
  <si>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</si>
  <si>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</si>
  <si>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</si>
  <si>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</si>
  <si>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</si>
  <si>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</si>
  <si>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</si>
  <si>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</si>
  <si>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</si>
  <si>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</si>
  <si>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</si>
  <si>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</si>
  <si>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</si>
  <si>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</si>
  <si>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</si>
  <si>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</si>
  <si>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</si>
  <si>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</si>
  <si>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</si>
  <si>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</si>
  <si>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</si>
  <si>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</si>
  <si>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</si>
  <si>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</si>
  <si>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</si>
  <si>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</si>
  <si>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</si>
  <si>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</si>
  <si>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</si>
  <si>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</si>
  <si>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</si>
  <si>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</si>
  <si>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</si>
  <si>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</si>
  <si>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</si>
  <si>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</si>
  <si>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</si>
  <si>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</si>
  <si>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</si>
  <si>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</si>
  <si>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</si>
  <si>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</si>
  <si>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</si>
  <si>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</si>
  <si>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</si>
  <si>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</si>
  <si>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</si>
  <si>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</si>
  <si>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</si>
  <si>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</si>
  <si>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</si>
  <si>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</si>
  <si>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</si>
  <si>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</si>
  <si>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</si>
  <si>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</si>
  <si>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</si>
  <si>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</si>
  <si>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</si>
  <si>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</si>
  <si>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</si>
  <si>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</si>
  <si>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</si>
  <si>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</si>
  <si>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</si>
  <si>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</si>
  <si>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</si>
  <si>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</si>
  <si>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</si>
  <si>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</si>
  <si>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</si>
  <si>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</si>
  <si>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</si>
  <si>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</si>
  <si>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</si>
  <si>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</si>
  <si>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</si>
  <si>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</si>
  <si>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</si>
  <si>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</si>
  <si>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</si>
  <si>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</si>
  <si>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</si>
  <si>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</si>
  <si>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</si>
  <si>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</si>
  <si>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</si>
  <si>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</si>
  <si>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</si>
  <si>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</si>
  <si>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</si>
  <si>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</si>
  <si>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</si>
  <si>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</si>
  <si>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</si>
  <si>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</si>
  <si>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</si>
  <si>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</si>
  <si>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</si>
  <si>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</si>
  <si>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</si>
  <si>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</si>
  <si>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</si>
  <si>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</si>
  <si>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</si>
  <si>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</si>
  <si>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</si>
  <si>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</si>
  <si>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</si>
  <si>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</si>
  <si>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</si>
  <si>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</si>
  <si>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</si>
  <si>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</si>
  <si>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</si>
  <si>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</si>
  <si>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</si>
  <si>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</si>
  <si>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</si>
  <si>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</si>
  <si>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</si>
  <si>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</si>
  <si>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</si>
  <si>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</si>
  <si>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</si>
  <si>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</si>
  <si>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</si>
  <si>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</si>
  <si>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</si>
  <si>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</si>
  <si>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</si>
  <si>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</si>
  <si>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</si>
  <si>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</si>
  <si>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</si>
  <si>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</si>
  <si>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</si>
  <si>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</si>
  <si>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</si>
  <si>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</si>
  <si>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</si>
  <si>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</si>
  <si>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</si>
  <si>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</si>
  <si>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</si>
  <si>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</si>
  <si>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</si>
  <si>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</si>
  <si>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</si>
  <si>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</si>
  <si>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</si>
  <si>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</si>
  <si>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</si>
  <si>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</si>
  <si>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</si>
  <si>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</si>
  <si>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</si>
  <si>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</si>
  <si>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</si>
  <si>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</si>
  <si>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</si>
  <si>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</si>
  <si>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</si>
  <si>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</si>
  <si>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</si>
  <si>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</si>
  <si>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</si>
  <si>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</si>
  <si>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</si>
  <si>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</si>
  <si>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</si>
  <si>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</si>
  <si>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</si>
  <si>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</si>
  <si>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</si>
  <si>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</si>
  <si>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</si>
  <si>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</si>
  <si>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</si>
  <si>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</si>
  <si>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</si>
  <si>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</si>
  <si>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</si>
  <si>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</si>
  <si>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</si>
  <si>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</si>
  <si>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</si>
  <si>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</si>
  <si>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</si>
  <si>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</si>
  <si>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</si>
  <si>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</si>
  <si>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</si>
  <si>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</si>
  <si>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</si>
  <si>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</si>
  <si>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</si>
  <si>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</si>
  <si>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23027</t>
  </si>
  <si>
    <t>HALLE</t>
  </si>
  <si>
    <t>referentietaak LNE (2017); Jaarverslag De Lijn</t>
  </si>
  <si>
    <t>waterkracht</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</si>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</sst>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307467.79151447577</c:v>
                </c:pt>
                <c:pt idx="1">
                  <c:v>185158.1672709687</c:v>
                </c:pt>
                <c:pt idx="2">
                  <c:v>2222.393</c:v>
                </c:pt>
                <c:pt idx="3">
                  <c:v>17942.016184694839</c:v>
                </c:pt>
                <c:pt idx="4">
                  <c:v>108296.09495044038</c:v>
                </c:pt>
                <c:pt idx="5">
                  <c:v>603802.97953943082</c:v>
                </c:pt>
                <c:pt idx="6">
                  <c:v>3742.1403802399118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307467.79151447577</c:v>
                </c:pt>
                <c:pt idx="1">
                  <c:v>185158.1672709687</c:v>
                </c:pt>
                <c:pt idx="2">
                  <c:v>2222.393</c:v>
                </c:pt>
                <c:pt idx="3">
                  <c:v>17942.016184694839</c:v>
                </c:pt>
                <c:pt idx="4">
                  <c:v>108296.09495044038</c:v>
                </c:pt>
                <c:pt idx="5">
                  <c:v>603802.97953943082</c:v>
                </c:pt>
                <c:pt idx="6">
                  <c:v>3742.1403802399118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59378.645174401259</c:v>
                </c:pt>
                <c:pt idx="1">
                  <c:v>34624.980571014195</c:v>
                </c:pt>
                <c:pt idx="2">
                  <c:v>374.39575761055892</c:v>
                </c:pt>
                <c:pt idx="3">
                  <c:v>3084.1453976814969</c:v>
                </c:pt>
                <c:pt idx="4">
                  <c:v>20541.962427377504</c:v>
                </c:pt>
                <c:pt idx="5">
                  <c:v>149471.21515926495</c:v>
                </c:pt>
                <c:pt idx="6">
                  <c:v>940.21766319785252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59378.645174401259</c:v>
                </c:pt>
                <c:pt idx="1">
                  <c:v>34624.980571014195</c:v>
                </c:pt>
                <c:pt idx="2">
                  <c:v>374.39575761055892</c:v>
                </c:pt>
                <c:pt idx="3">
                  <c:v>3084.1453976814969</c:v>
                </c:pt>
                <c:pt idx="4">
                  <c:v>20541.962427377504</c:v>
                </c:pt>
                <c:pt idx="5">
                  <c:v>149471.21515926495</c:v>
                </c:pt>
                <c:pt idx="6">
                  <c:v>940.21766319785252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23027</v>
      </c>
      <c r="B6" s="386"/>
      <c r="C6" s="387"/>
    </row>
    <row r="7" spans="1:7" s="384" customFormat="1" ht="15.75" customHeight="1">
      <c r="A7" s="388" t="str">
        <f>txtMunicipality</f>
        <v>HALLE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76975.640511187332</v>
      </c>
      <c r="D10" s="683">
        <f ca="1">tertiair!C16</f>
        <v>5715</v>
      </c>
      <c r="E10" s="683">
        <f ca="1">tertiair!D16</f>
        <v>92643.320639380778</v>
      </c>
      <c r="F10" s="683">
        <f>tertiair!E16</f>
        <v>407.74439115432284</v>
      </c>
      <c r="G10" s="683">
        <f ca="1">tertiair!F16</f>
        <v>9840.5221362250832</v>
      </c>
      <c r="H10" s="683">
        <f>tertiair!G16</f>
        <v>0</v>
      </c>
      <c r="I10" s="683">
        <f>tertiair!H16</f>
        <v>0</v>
      </c>
      <c r="J10" s="683">
        <f>tertiair!I16</f>
        <v>0</v>
      </c>
      <c r="K10" s="683">
        <f>tertiair!J16</f>
        <v>3.9591136641863915E-2</v>
      </c>
      <c r="L10" s="683">
        <f>tertiair!K16</f>
        <v>0</v>
      </c>
      <c r="M10" s="683">
        <f ca="1">tertiair!L16</f>
        <v>0</v>
      </c>
      <c r="N10" s="683">
        <f>tertiair!M16</f>
        <v>0</v>
      </c>
      <c r="O10" s="683">
        <f ca="1">tertiair!N16</f>
        <v>1588.1364486585528</v>
      </c>
      <c r="P10" s="683">
        <f>tertiair!O16</f>
        <v>0</v>
      </c>
      <c r="Q10" s="684">
        <f>tertiair!P16</f>
        <v>210.15655322598008</v>
      </c>
      <c r="R10" s="686">
        <f ca="1">SUM(C10:Q10)</f>
        <v>187380.56027096868</v>
      </c>
      <c r="S10" s="67"/>
    </row>
    <row r="11" spans="1:19" s="445" customFormat="1">
      <c r="A11" s="804" t="s">
        <v>220</v>
      </c>
      <c r="B11" s="809"/>
      <c r="C11" s="683">
        <f>huishoudens!B8</f>
        <v>60216.838176401128</v>
      </c>
      <c r="D11" s="683">
        <f>huishoudens!C8</f>
        <v>0</v>
      </c>
      <c r="E11" s="683">
        <f>huishoudens!D8</f>
        <v>166488.40460367131</v>
      </c>
      <c r="F11" s="683">
        <f>huishoudens!E8</f>
        <v>2549.4912780916234</v>
      </c>
      <c r="G11" s="683">
        <f>huishoudens!F8</f>
        <v>55850.699082503423</v>
      </c>
      <c r="H11" s="683">
        <f>huishoudens!G8</f>
        <v>0</v>
      </c>
      <c r="I11" s="683">
        <f>huishoudens!H8</f>
        <v>0</v>
      </c>
      <c r="J11" s="683">
        <f>huishoudens!I8</f>
        <v>0</v>
      </c>
      <c r="K11" s="683">
        <f>huishoudens!J8</f>
        <v>318.29924267204643</v>
      </c>
      <c r="L11" s="683">
        <f>huishoudens!K8</f>
        <v>0</v>
      </c>
      <c r="M11" s="683">
        <f>huishoudens!L8</f>
        <v>0</v>
      </c>
      <c r="N11" s="683">
        <f>huishoudens!M8</f>
        <v>0</v>
      </c>
      <c r="O11" s="683">
        <f>huishoudens!N8</f>
        <v>20962.087417635685</v>
      </c>
      <c r="P11" s="683">
        <f>huishoudens!O8</f>
        <v>355.12852127027872</v>
      </c>
      <c r="Q11" s="684">
        <f>huishoudens!P8</f>
        <v>726.8431922302666</v>
      </c>
      <c r="R11" s="686">
        <f>SUM(C11:Q11)</f>
        <v>307467.79151447577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56712.482906827507</v>
      </c>
      <c r="D13" s="683">
        <f>industrie!C18</f>
        <v>0</v>
      </c>
      <c r="E13" s="683">
        <f>industrie!D18</f>
        <v>34312.440240654614</v>
      </c>
      <c r="F13" s="683">
        <f>industrie!E18</f>
        <v>140.72521337567412</v>
      </c>
      <c r="G13" s="683">
        <f>industrie!F18</f>
        <v>15066.716615989268</v>
      </c>
      <c r="H13" s="683">
        <f>industrie!G18</f>
        <v>0</v>
      </c>
      <c r="I13" s="683">
        <f>industrie!H18</f>
        <v>0</v>
      </c>
      <c r="J13" s="683">
        <f>industrie!I18</f>
        <v>0</v>
      </c>
      <c r="K13" s="683">
        <f>industrie!J18</f>
        <v>5.691858483833145</v>
      </c>
      <c r="L13" s="683">
        <f>industrie!K18</f>
        <v>0</v>
      </c>
      <c r="M13" s="683">
        <f>industrie!L18</f>
        <v>0</v>
      </c>
      <c r="N13" s="683">
        <f>industrie!M18</f>
        <v>0</v>
      </c>
      <c r="O13" s="683">
        <f>industrie!N18</f>
        <v>2058.0381151094944</v>
      </c>
      <c r="P13" s="683">
        <f>industrie!O18</f>
        <v>0</v>
      </c>
      <c r="Q13" s="684">
        <f>industrie!P18</f>
        <v>0</v>
      </c>
      <c r="R13" s="686">
        <f>SUM(C13:Q13)</f>
        <v>108296.09495044038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193904.96159441597</v>
      </c>
      <c r="D16" s="719">
        <f t="shared" ref="D16:R16" ca="1" si="0">SUM(D9:D15)</f>
        <v>5715</v>
      </c>
      <c r="E16" s="719">
        <f t="shared" ca="1" si="0"/>
        <v>293444.16548370669</v>
      </c>
      <c r="F16" s="719">
        <f t="shared" si="0"/>
        <v>3097.9608826216204</v>
      </c>
      <c r="G16" s="719">
        <f t="shared" ca="1" si="0"/>
        <v>80757.93783471777</v>
      </c>
      <c r="H16" s="719">
        <f t="shared" si="0"/>
        <v>0</v>
      </c>
      <c r="I16" s="719">
        <f t="shared" si="0"/>
        <v>0</v>
      </c>
      <c r="J16" s="719">
        <f t="shared" si="0"/>
        <v>0</v>
      </c>
      <c r="K16" s="719">
        <f t="shared" si="0"/>
        <v>324.03069229252145</v>
      </c>
      <c r="L16" s="719">
        <f t="shared" si="0"/>
        <v>0</v>
      </c>
      <c r="M16" s="719">
        <f t="shared" ca="1" si="0"/>
        <v>0</v>
      </c>
      <c r="N16" s="719">
        <f t="shared" si="0"/>
        <v>0</v>
      </c>
      <c r="O16" s="719">
        <f t="shared" ca="1" si="0"/>
        <v>24608.261981403732</v>
      </c>
      <c r="P16" s="719">
        <f t="shared" si="0"/>
        <v>355.12852127027872</v>
      </c>
      <c r="Q16" s="719">
        <f t="shared" si="0"/>
        <v>936.99974545624673</v>
      </c>
      <c r="R16" s="719">
        <f t="shared" ca="1" si="0"/>
        <v>603144.44673588476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55.688642961427711</v>
      </c>
      <c r="D19" s="683">
        <f>transport!C54</f>
        <v>0</v>
      </c>
      <c r="E19" s="683">
        <f>transport!D54</f>
        <v>0</v>
      </c>
      <c r="F19" s="683">
        <f>transport!E54</f>
        <v>0</v>
      </c>
      <c r="G19" s="683">
        <f>transport!F54</f>
        <v>0</v>
      </c>
      <c r="H19" s="683">
        <f>transport!G54</f>
        <v>3486.2774079442624</v>
      </c>
      <c r="I19" s="683">
        <f>transport!H54</f>
        <v>0</v>
      </c>
      <c r="J19" s="683">
        <f>transport!I54</f>
        <v>0</v>
      </c>
      <c r="K19" s="683">
        <f>transport!J54</f>
        <v>0</v>
      </c>
      <c r="L19" s="683">
        <f>transport!K54</f>
        <v>0</v>
      </c>
      <c r="M19" s="683">
        <f>transport!L54</f>
        <v>0</v>
      </c>
      <c r="N19" s="683">
        <f>transport!M54</f>
        <v>200.17432933422171</v>
      </c>
      <c r="O19" s="683">
        <f>transport!N54</f>
        <v>0</v>
      </c>
      <c r="P19" s="683">
        <f>transport!O54</f>
        <v>0</v>
      </c>
      <c r="Q19" s="684">
        <f>transport!P54</f>
        <v>0</v>
      </c>
      <c r="R19" s="686">
        <f>SUM(C19:Q19)</f>
        <v>3742.1403802399118</v>
      </c>
      <c r="S19" s="67"/>
    </row>
    <row r="20" spans="1:19" s="445" customFormat="1">
      <c r="A20" s="804" t="s">
        <v>302</v>
      </c>
      <c r="B20" s="809"/>
      <c r="C20" s="683">
        <f>transport!B14</f>
        <v>1460.7574989060074</v>
      </c>
      <c r="D20" s="683">
        <f>transport!C14</f>
        <v>0</v>
      </c>
      <c r="E20" s="683">
        <f>transport!D14</f>
        <v>2554.8755343346679</v>
      </c>
      <c r="F20" s="683">
        <f>transport!E14</f>
        <v>1061.6760367228912</v>
      </c>
      <c r="G20" s="683">
        <f>transport!F14</f>
        <v>0</v>
      </c>
      <c r="H20" s="683">
        <f>transport!G14</f>
        <v>437918.0724217142</v>
      </c>
      <c r="I20" s="683">
        <f>transport!H14</f>
        <v>126682.40072867666</v>
      </c>
      <c r="J20" s="683">
        <f>transport!I14</f>
        <v>0</v>
      </c>
      <c r="K20" s="683">
        <f>transport!J14</f>
        <v>0</v>
      </c>
      <c r="L20" s="683">
        <f>transport!K14</f>
        <v>0</v>
      </c>
      <c r="M20" s="683">
        <f>transport!L14</f>
        <v>0</v>
      </c>
      <c r="N20" s="683">
        <f>transport!M14</f>
        <v>34125.197319076411</v>
      </c>
      <c r="O20" s="683">
        <f>transport!N14</f>
        <v>0</v>
      </c>
      <c r="P20" s="683">
        <f>transport!O14</f>
        <v>0</v>
      </c>
      <c r="Q20" s="684">
        <f>transport!P14</f>
        <v>0</v>
      </c>
      <c r="R20" s="686">
        <f>SUM(C20:Q20)</f>
        <v>603802.97953943082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1516.446141867435</v>
      </c>
      <c r="D22" s="807">
        <f t="shared" ref="D22:R22" si="1">SUM(D18:D21)</f>
        <v>0</v>
      </c>
      <c r="E22" s="807">
        <f t="shared" si="1"/>
        <v>2554.8755343346679</v>
      </c>
      <c r="F22" s="807">
        <f t="shared" si="1"/>
        <v>1061.6760367228912</v>
      </c>
      <c r="G22" s="807">
        <f t="shared" si="1"/>
        <v>0</v>
      </c>
      <c r="H22" s="807">
        <f t="shared" si="1"/>
        <v>441404.34982965846</v>
      </c>
      <c r="I22" s="807">
        <f t="shared" si="1"/>
        <v>126682.40072867666</v>
      </c>
      <c r="J22" s="807">
        <f t="shared" si="1"/>
        <v>0</v>
      </c>
      <c r="K22" s="807">
        <f t="shared" si="1"/>
        <v>0</v>
      </c>
      <c r="L22" s="807">
        <f t="shared" si="1"/>
        <v>0</v>
      </c>
      <c r="M22" s="807">
        <f t="shared" si="1"/>
        <v>0</v>
      </c>
      <c r="N22" s="807">
        <f t="shared" si="1"/>
        <v>34325.371648410633</v>
      </c>
      <c r="O22" s="807">
        <f t="shared" si="1"/>
        <v>0</v>
      </c>
      <c r="P22" s="807">
        <f t="shared" si="1"/>
        <v>0</v>
      </c>
      <c r="Q22" s="807">
        <f t="shared" si="1"/>
        <v>0</v>
      </c>
      <c r="R22" s="807">
        <f t="shared" si="1"/>
        <v>607545.11991967075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794.52747561914407</v>
      </c>
      <c r="D24" s="683">
        <f>+landbouw!C8</f>
        <v>7270.7142857142862</v>
      </c>
      <c r="E24" s="683">
        <f>+landbouw!D8</f>
        <v>7136.930860425935</v>
      </c>
      <c r="F24" s="683">
        <f>+landbouw!E8</f>
        <v>22.756611488387225</v>
      </c>
      <c r="G24" s="683">
        <f>+landbouw!F8</f>
        <v>2515.0635644603822</v>
      </c>
      <c r="H24" s="683">
        <f>+landbouw!G8</f>
        <v>0</v>
      </c>
      <c r="I24" s="683">
        <f>+landbouw!H8</f>
        <v>0</v>
      </c>
      <c r="J24" s="683">
        <f>+landbouw!I8</f>
        <v>0</v>
      </c>
      <c r="K24" s="683">
        <f>+landbouw!J8</f>
        <v>202.02338698670661</v>
      </c>
      <c r="L24" s="683">
        <f>+landbouw!K8</f>
        <v>0</v>
      </c>
      <c r="M24" s="683">
        <f>+landbouw!L8</f>
        <v>0</v>
      </c>
      <c r="N24" s="683">
        <f>+landbouw!M8</f>
        <v>0</v>
      </c>
      <c r="O24" s="683">
        <f>+landbouw!N8</f>
        <v>0</v>
      </c>
      <c r="P24" s="683">
        <f>+landbouw!O8</f>
        <v>0</v>
      </c>
      <c r="Q24" s="684">
        <f>+landbouw!P8</f>
        <v>0</v>
      </c>
      <c r="R24" s="686">
        <f>SUM(C24:Q24)</f>
        <v>17942.016184694839</v>
      </c>
      <c r="S24" s="67"/>
    </row>
    <row r="25" spans="1:19" s="445" customFormat="1" ht="15" thickBot="1">
      <c r="A25" s="826" t="s">
        <v>696</v>
      </c>
      <c r="B25" s="939"/>
      <c r="C25" s="940">
        <f>IF(Onbekend_ele_kWh="---",0,Onbekend_ele_kWh)/1000+IF(REST_rest_ele_kWh="---",0,REST_rest_ele_kWh)/1000</f>
        <v>1766.83355687533</v>
      </c>
      <c r="D25" s="940"/>
      <c r="E25" s="940">
        <f>IF(onbekend_gas_kWh="---",0,onbekend_gas_kWh)/1000+IF(REST_rest_gas_kWh="---",0,REST_rest_gas_kWh)/1000</f>
        <v>4794.6255181594397</v>
      </c>
      <c r="F25" s="940"/>
      <c r="G25" s="940"/>
      <c r="H25" s="940"/>
      <c r="I25" s="940"/>
      <c r="J25" s="940"/>
      <c r="K25" s="940"/>
      <c r="L25" s="940"/>
      <c r="M25" s="940"/>
      <c r="N25" s="940"/>
      <c r="O25" s="940"/>
      <c r="P25" s="940"/>
      <c r="Q25" s="941"/>
      <c r="R25" s="686">
        <f>SUM(C25:Q25)</f>
        <v>6561.4590750347697</v>
      </c>
      <c r="S25" s="67"/>
    </row>
    <row r="26" spans="1:19" s="445" customFormat="1" ht="15.75" thickBot="1">
      <c r="A26" s="691" t="s">
        <v>697</v>
      </c>
      <c r="B26" s="812"/>
      <c r="C26" s="807">
        <f>SUM(C24:C25)</f>
        <v>2561.3610324944739</v>
      </c>
      <c r="D26" s="807">
        <f t="shared" ref="D26:R26" si="2">SUM(D24:D25)</f>
        <v>7270.7142857142862</v>
      </c>
      <c r="E26" s="807">
        <f t="shared" si="2"/>
        <v>11931.556378585374</v>
      </c>
      <c r="F26" s="807">
        <f t="shared" si="2"/>
        <v>22.756611488387225</v>
      </c>
      <c r="G26" s="807">
        <f t="shared" si="2"/>
        <v>2515.0635644603822</v>
      </c>
      <c r="H26" s="807">
        <f t="shared" si="2"/>
        <v>0</v>
      </c>
      <c r="I26" s="807">
        <f t="shared" si="2"/>
        <v>0</v>
      </c>
      <c r="J26" s="807">
        <f t="shared" si="2"/>
        <v>0</v>
      </c>
      <c r="K26" s="807">
        <f t="shared" si="2"/>
        <v>202.02338698670661</v>
      </c>
      <c r="L26" s="807">
        <f t="shared" si="2"/>
        <v>0</v>
      </c>
      <c r="M26" s="807">
        <f t="shared" si="2"/>
        <v>0</v>
      </c>
      <c r="N26" s="807">
        <f t="shared" si="2"/>
        <v>0</v>
      </c>
      <c r="O26" s="807">
        <f t="shared" si="2"/>
        <v>0</v>
      </c>
      <c r="P26" s="807">
        <f t="shared" si="2"/>
        <v>0</v>
      </c>
      <c r="Q26" s="807">
        <f t="shared" si="2"/>
        <v>0</v>
      </c>
      <c r="R26" s="807">
        <f t="shared" si="2"/>
        <v>24503.47525972961</v>
      </c>
      <c r="S26" s="67"/>
    </row>
    <row r="27" spans="1:19" s="445" customFormat="1" ht="17.25" thickTop="1" thickBot="1">
      <c r="A27" s="692" t="s">
        <v>115</v>
      </c>
      <c r="B27" s="799"/>
      <c r="C27" s="693">
        <f ca="1">C22+C16+C26</f>
        <v>197982.76876877787</v>
      </c>
      <c r="D27" s="693">
        <f t="shared" ref="D27:R27" ca="1" si="3">D22+D16+D26</f>
        <v>12985.714285714286</v>
      </c>
      <c r="E27" s="693">
        <f t="shared" ca="1" si="3"/>
        <v>307930.59739662672</v>
      </c>
      <c r="F27" s="693">
        <f t="shared" si="3"/>
        <v>4182.3935308328992</v>
      </c>
      <c r="G27" s="693">
        <f t="shared" ca="1" si="3"/>
        <v>83273.001399178145</v>
      </c>
      <c r="H27" s="693">
        <f t="shared" si="3"/>
        <v>441404.34982965846</v>
      </c>
      <c r="I27" s="693">
        <f t="shared" si="3"/>
        <v>126682.40072867666</v>
      </c>
      <c r="J27" s="693">
        <f t="shared" si="3"/>
        <v>0</v>
      </c>
      <c r="K27" s="693">
        <f t="shared" si="3"/>
        <v>526.05407927922806</v>
      </c>
      <c r="L27" s="693">
        <f t="shared" si="3"/>
        <v>0</v>
      </c>
      <c r="M27" s="693">
        <f t="shared" ca="1" si="3"/>
        <v>0</v>
      </c>
      <c r="N27" s="693">
        <f t="shared" si="3"/>
        <v>34325.371648410633</v>
      </c>
      <c r="O27" s="693">
        <f t="shared" ca="1" si="3"/>
        <v>24608.261981403732</v>
      </c>
      <c r="P27" s="693">
        <f t="shared" si="3"/>
        <v>355.12852127027872</v>
      </c>
      <c r="Q27" s="693">
        <f t="shared" si="3"/>
        <v>936.99974545624673</v>
      </c>
      <c r="R27" s="693">
        <f t="shared" ca="1" si="3"/>
        <v>1235193.0419152852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12967.712392337455</v>
      </c>
      <c r="D40" s="683">
        <f ca="1">tertiair!C20</f>
        <v>597.72176470588238</v>
      </c>
      <c r="E40" s="683">
        <f ca="1">tertiair!D20</f>
        <v>18713.950769154919</v>
      </c>
      <c r="F40" s="683">
        <f>tertiair!E20</f>
        <v>92.557976792031283</v>
      </c>
      <c r="G40" s="683">
        <f ca="1">tertiair!F20</f>
        <v>2627.4194103720974</v>
      </c>
      <c r="H40" s="683">
        <f>tertiair!G20</f>
        <v>0</v>
      </c>
      <c r="I40" s="683">
        <f>tertiair!H20</f>
        <v>0</v>
      </c>
      <c r="J40" s="683">
        <f>tertiair!I20</f>
        <v>0</v>
      </c>
      <c r="K40" s="683">
        <f>tertiair!J20</f>
        <v>1.4015262371219825E-2</v>
      </c>
      <c r="L40" s="683">
        <f>tertiair!K20</f>
        <v>0</v>
      </c>
      <c r="M40" s="683">
        <f ca="1">tertiair!L20</f>
        <v>0</v>
      </c>
      <c r="N40" s="683">
        <f>tertiair!M20</f>
        <v>0</v>
      </c>
      <c r="O40" s="683">
        <f ca="1">tertiair!N20</f>
        <v>0</v>
      </c>
      <c r="P40" s="683">
        <f>tertiair!O20</f>
        <v>0</v>
      </c>
      <c r="Q40" s="766">
        <f>tertiair!P20</f>
        <v>0</v>
      </c>
      <c r="R40" s="845">
        <f t="shared" ca="1" si="4"/>
        <v>34999.376328624756</v>
      </c>
    </row>
    <row r="41" spans="1:18">
      <c r="A41" s="817" t="s">
        <v>220</v>
      </c>
      <c r="B41" s="824"/>
      <c r="C41" s="683">
        <f ca="1">huishoudens!B12</f>
        <v>10144.438337398529</v>
      </c>
      <c r="D41" s="683">
        <f ca="1">huishoudens!C12</f>
        <v>0</v>
      </c>
      <c r="E41" s="683">
        <f>huishoudens!D12</f>
        <v>33630.657729941609</v>
      </c>
      <c r="F41" s="683">
        <f>huishoudens!E12</f>
        <v>578.73452012679854</v>
      </c>
      <c r="G41" s="683">
        <f>huishoudens!F12</f>
        <v>14912.136655028415</v>
      </c>
      <c r="H41" s="683">
        <f>huishoudens!G12</f>
        <v>0</v>
      </c>
      <c r="I41" s="683">
        <f>huishoudens!H12</f>
        <v>0</v>
      </c>
      <c r="J41" s="683">
        <f>huishoudens!I12</f>
        <v>0</v>
      </c>
      <c r="K41" s="683">
        <f>huishoudens!J12</f>
        <v>112.67793190590443</v>
      </c>
      <c r="L41" s="683">
        <f>huishoudens!K12</f>
        <v>0</v>
      </c>
      <c r="M41" s="683">
        <f>huishoudens!L12</f>
        <v>0</v>
      </c>
      <c r="N41" s="683">
        <f>huishoudens!M12</f>
        <v>0</v>
      </c>
      <c r="O41" s="683">
        <f>huishoudens!N12</f>
        <v>0</v>
      </c>
      <c r="P41" s="683">
        <f>huishoudens!O12</f>
        <v>0</v>
      </c>
      <c r="Q41" s="766">
        <f>huishoudens!P12</f>
        <v>0</v>
      </c>
      <c r="R41" s="845">
        <f t="shared" ca="1" si="4"/>
        <v>59378.645174401259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9554.0766209565809</v>
      </c>
      <c r="D43" s="683">
        <f ca="1">industrie!C22</f>
        <v>0</v>
      </c>
      <c r="E43" s="683">
        <f>industrie!D22</f>
        <v>6931.1129286122323</v>
      </c>
      <c r="F43" s="683">
        <f>industrie!E22</f>
        <v>31.944623436278025</v>
      </c>
      <c r="G43" s="683">
        <f>industrie!F22</f>
        <v>4022.8133364691348</v>
      </c>
      <c r="H43" s="683">
        <f>industrie!G22</f>
        <v>0</v>
      </c>
      <c r="I43" s="683">
        <f>industrie!H22</f>
        <v>0</v>
      </c>
      <c r="J43" s="683">
        <f>industrie!I22</f>
        <v>0</v>
      </c>
      <c r="K43" s="683">
        <f>industrie!J22</f>
        <v>2.0149179032769333</v>
      </c>
      <c r="L43" s="683">
        <f>industrie!K22</f>
        <v>0</v>
      </c>
      <c r="M43" s="683">
        <f>industrie!L22</f>
        <v>0</v>
      </c>
      <c r="N43" s="683">
        <f>industrie!M22</f>
        <v>0</v>
      </c>
      <c r="O43" s="683">
        <f>industrie!N22</f>
        <v>0</v>
      </c>
      <c r="P43" s="683">
        <f>industrie!O22</f>
        <v>0</v>
      </c>
      <c r="Q43" s="766">
        <f>industrie!P22</f>
        <v>0</v>
      </c>
      <c r="R43" s="844">
        <f t="shared" ca="1" si="4"/>
        <v>20541.962427377504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32666.227350692567</v>
      </c>
      <c r="D46" s="719">
        <f t="shared" ref="D46:Q46" ca="1" si="5">SUM(D39:D45)</f>
        <v>597.72176470588238</v>
      </c>
      <c r="E46" s="719">
        <f t="shared" ca="1" si="5"/>
        <v>59275.721427708762</v>
      </c>
      <c r="F46" s="719">
        <f t="shared" si="5"/>
        <v>703.23712035510778</v>
      </c>
      <c r="G46" s="719">
        <f t="shared" ca="1" si="5"/>
        <v>21562.369401869648</v>
      </c>
      <c r="H46" s="719">
        <f t="shared" si="5"/>
        <v>0</v>
      </c>
      <c r="I46" s="719">
        <f t="shared" si="5"/>
        <v>0</v>
      </c>
      <c r="J46" s="719">
        <f t="shared" si="5"/>
        <v>0</v>
      </c>
      <c r="K46" s="719">
        <f t="shared" si="5"/>
        <v>114.70686507155258</v>
      </c>
      <c r="L46" s="719">
        <f t="shared" si="5"/>
        <v>0</v>
      </c>
      <c r="M46" s="719">
        <f t="shared" ca="1" si="5"/>
        <v>0</v>
      </c>
      <c r="N46" s="719">
        <f t="shared" si="5"/>
        <v>0</v>
      </c>
      <c r="O46" s="719">
        <f t="shared" ca="1" si="5"/>
        <v>0</v>
      </c>
      <c r="P46" s="719">
        <f t="shared" si="5"/>
        <v>0</v>
      </c>
      <c r="Q46" s="719">
        <f t="shared" si="5"/>
        <v>0</v>
      </c>
      <c r="R46" s="719">
        <f ca="1">SUM(R39:R45)</f>
        <v>114919.98393040351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9.3815952767344246</v>
      </c>
      <c r="D49" s="683">
        <f ca="1">transport!C58</f>
        <v>0</v>
      </c>
      <c r="E49" s="683">
        <f>transport!D58</f>
        <v>0</v>
      </c>
      <c r="F49" s="683">
        <f>transport!E58</f>
        <v>0</v>
      </c>
      <c r="G49" s="683">
        <f>transport!F58</f>
        <v>0</v>
      </c>
      <c r="H49" s="683">
        <f>transport!G58</f>
        <v>930.83606792111812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940.21766319785252</v>
      </c>
    </row>
    <row r="50" spans="1:18">
      <c r="A50" s="820" t="s">
        <v>302</v>
      </c>
      <c r="B50" s="830"/>
      <c r="C50" s="689">
        <f ca="1">transport!B18</f>
        <v>246.08672295503985</v>
      </c>
      <c r="D50" s="689">
        <f>transport!C18</f>
        <v>0</v>
      </c>
      <c r="E50" s="689">
        <f>transport!D18</f>
        <v>516.08485793560294</v>
      </c>
      <c r="F50" s="689">
        <f>transport!E18</f>
        <v>241.00046033609632</v>
      </c>
      <c r="G50" s="689">
        <f>transport!F18</f>
        <v>0</v>
      </c>
      <c r="H50" s="689">
        <f>transport!G18</f>
        <v>116924.1253365977</v>
      </c>
      <c r="I50" s="689">
        <f>transport!H18</f>
        <v>31543.917781440487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149471.21515926495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255.46831823177428</v>
      </c>
      <c r="D52" s="719">
        <f t="shared" ref="D52:Q52" ca="1" si="6">SUM(D48:D51)</f>
        <v>0</v>
      </c>
      <c r="E52" s="719">
        <f t="shared" si="6"/>
        <v>516.08485793560294</v>
      </c>
      <c r="F52" s="719">
        <f t="shared" si="6"/>
        <v>241.00046033609632</v>
      </c>
      <c r="G52" s="719">
        <f t="shared" si="6"/>
        <v>0</v>
      </c>
      <c r="H52" s="719">
        <f t="shared" si="6"/>
        <v>117854.96140451882</v>
      </c>
      <c r="I52" s="719">
        <f t="shared" si="6"/>
        <v>31543.917781440487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150411.43282246281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133.8501858927896</v>
      </c>
      <c r="D54" s="689">
        <f ca="1">+landbouw!C12</f>
        <v>760.4311764705883</v>
      </c>
      <c r="E54" s="689">
        <f>+landbouw!D12</f>
        <v>1441.6600338060389</v>
      </c>
      <c r="F54" s="689">
        <f>+landbouw!E12</f>
        <v>5.1657508078639003</v>
      </c>
      <c r="G54" s="689">
        <f>+landbouw!F12</f>
        <v>671.52197171092212</v>
      </c>
      <c r="H54" s="689">
        <f>+landbouw!G12</f>
        <v>0</v>
      </c>
      <c r="I54" s="689">
        <f>+landbouw!H12</f>
        <v>0</v>
      </c>
      <c r="J54" s="689">
        <f>+landbouw!I12</f>
        <v>0</v>
      </c>
      <c r="K54" s="689">
        <f>+landbouw!J12</f>
        <v>71.516278993294137</v>
      </c>
      <c r="L54" s="689">
        <f>+landbouw!K12</f>
        <v>0</v>
      </c>
      <c r="M54" s="689">
        <f>+landbouw!L12</f>
        <v>0</v>
      </c>
      <c r="N54" s="689">
        <f>+landbouw!M12</f>
        <v>0</v>
      </c>
      <c r="O54" s="689">
        <f>+landbouw!N12</f>
        <v>0</v>
      </c>
      <c r="P54" s="689">
        <f>+landbouw!O12</f>
        <v>0</v>
      </c>
      <c r="Q54" s="690">
        <f>+landbouw!P12</f>
        <v>0</v>
      </c>
      <c r="R54" s="718">
        <f ca="1">SUM(C54:Q54)</f>
        <v>3084.1453976814969</v>
      </c>
    </row>
    <row r="55" spans="1:18" ht="15" thickBot="1">
      <c r="A55" s="820" t="s">
        <v>696</v>
      </c>
      <c r="B55" s="830"/>
      <c r="C55" s="689">
        <f ca="1">C25*'EF ele_warmte'!B12</f>
        <v>297.64987025161514</v>
      </c>
      <c r="D55" s="689"/>
      <c r="E55" s="689">
        <f>E25*EF_CO2_aardgas</f>
        <v>968.51435466820692</v>
      </c>
      <c r="F55" s="689"/>
      <c r="G55" s="689"/>
      <c r="H55" s="689"/>
      <c r="I55" s="689"/>
      <c r="J55" s="689"/>
      <c r="K55" s="689"/>
      <c r="L55" s="689"/>
      <c r="M55" s="689"/>
      <c r="N55" s="689"/>
      <c r="O55" s="689"/>
      <c r="P55" s="689"/>
      <c r="Q55" s="690"/>
      <c r="R55" s="718">
        <f ca="1">SUM(C55:Q55)</f>
        <v>1266.1642249198221</v>
      </c>
    </row>
    <row r="56" spans="1:18" ht="15.75" thickBot="1">
      <c r="A56" s="818" t="s">
        <v>697</v>
      </c>
      <c r="B56" s="831"/>
      <c r="C56" s="719">
        <f ca="1">SUM(C54:C55)</f>
        <v>431.50005614440477</v>
      </c>
      <c r="D56" s="719">
        <f t="shared" ref="D56:Q56" ca="1" si="7">SUM(D54:D55)</f>
        <v>760.4311764705883</v>
      </c>
      <c r="E56" s="719">
        <f t="shared" si="7"/>
        <v>2410.1743884742459</v>
      </c>
      <c r="F56" s="719">
        <f t="shared" si="7"/>
        <v>5.1657508078639003</v>
      </c>
      <c r="G56" s="719">
        <f t="shared" si="7"/>
        <v>671.52197171092212</v>
      </c>
      <c r="H56" s="719">
        <f t="shared" si="7"/>
        <v>0</v>
      </c>
      <c r="I56" s="719">
        <f t="shared" si="7"/>
        <v>0</v>
      </c>
      <c r="J56" s="719">
        <f t="shared" si="7"/>
        <v>0</v>
      </c>
      <c r="K56" s="719">
        <f t="shared" si="7"/>
        <v>71.516278993294137</v>
      </c>
      <c r="L56" s="719">
        <f t="shared" si="7"/>
        <v>0</v>
      </c>
      <c r="M56" s="719">
        <f t="shared" si="7"/>
        <v>0</v>
      </c>
      <c r="N56" s="719">
        <f t="shared" si="7"/>
        <v>0</v>
      </c>
      <c r="O56" s="719">
        <f t="shared" si="7"/>
        <v>0</v>
      </c>
      <c r="P56" s="719">
        <f t="shared" si="7"/>
        <v>0</v>
      </c>
      <c r="Q56" s="720">
        <f t="shared" si="7"/>
        <v>0</v>
      </c>
      <c r="R56" s="721">
        <f ca="1">SUM(R54:R55)</f>
        <v>4350.3096226013186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33353.195725068741</v>
      </c>
      <c r="D61" s="727">
        <f t="shared" ref="D61:Q61" ca="1" si="8">D46+D52+D56</f>
        <v>1358.1529411764707</v>
      </c>
      <c r="E61" s="727">
        <f t="shared" ca="1" si="8"/>
        <v>62201.980674118611</v>
      </c>
      <c r="F61" s="727">
        <f t="shared" si="8"/>
        <v>949.40333149906803</v>
      </c>
      <c r="G61" s="727">
        <f t="shared" ca="1" si="8"/>
        <v>22233.891373580569</v>
      </c>
      <c r="H61" s="727">
        <f t="shared" si="8"/>
        <v>117854.96140451882</v>
      </c>
      <c r="I61" s="727">
        <f t="shared" si="8"/>
        <v>31543.917781440487</v>
      </c>
      <c r="J61" s="727">
        <f t="shared" si="8"/>
        <v>0</v>
      </c>
      <c r="K61" s="727">
        <f t="shared" si="8"/>
        <v>186.22314406484674</v>
      </c>
      <c r="L61" s="727">
        <f t="shared" si="8"/>
        <v>0</v>
      </c>
      <c r="M61" s="727">
        <f t="shared" ca="1" si="8"/>
        <v>0</v>
      </c>
      <c r="N61" s="727">
        <f t="shared" si="8"/>
        <v>0</v>
      </c>
      <c r="O61" s="727">
        <f t="shared" ca="1" si="8"/>
        <v>0</v>
      </c>
      <c r="P61" s="727">
        <f t="shared" si="8"/>
        <v>0</v>
      </c>
      <c r="Q61" s="727">
        <f t="shared" si="8"/>
        <v>0</v>
      </c>
      <c r="R61" s="727">
        <f ca="1">R46+R52+R56</f>
        <v>269681.72637546767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0.16846514437840604</v>
      </c>
      <c r="D63" s="773">
        <f t="shared" ca="1" si="9"/>
        <v>0.10458823529411765</v>
      </c>
      <c r="E63" s="965">
        <f t="shared" ca="1" si="9"/>
        <v>0.20200000000000004</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33510.622794506264</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8764.5501994063961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5089.5000000000009</v>
      </c>
      <c r="C76" s="740">
        <f>'lokale energieproductie'!B8*IFERROR(SUM(D76:H76)/SUM(D76:O76),0)</f>
        <v>4000.4999999999995</v>
      </c>
      <c r="D76" s="948">
        <f>'lokale energieproductie'!C8</f>
        <v>4706.4705882352937</v>
      </c>
      <c r="E76" s="949">
        <f>'lokale energieproductie'!D8</f>
        <v>0</v>
      </c>
      <c r="F76" s="949">
        <f>'lokale energieproductie'!E8</f>
        <v>0</v>
      </c>
      <c r="G76" s="949">
        <f>'lokale energieproductie'!F8</f>
        <v>0</v>
      </c>
      <c r="H76" s="949">
        <f>'lokale energieproductie'!G8</f>
        <v>0</v>
      </c>
      <c r="I76" s="949">
        <f>'lokale energieproductie'!I8</f>
        <v>0</v>
      </c>
      <c r="J76" s="949">
        <f>'lokale energieproductie'!J8</f>
        <v>5987.6470588235297</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950.70705882352934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47364.67299391266</v>
      </c>
      <c r="C78" s="745">
        <f>SUM(C72:C77)</f>
        <v>4000.4999999999995</v>
      </c>
      <c r="D78" s="746">
        <f t="shared" ref="D78:H78" si="10">SUM(D76:D77)</f>
        <v>4706.4705882352937</v>
      </c>
      <c r="E78" s="746">
        <f t="shared" si="10"/>
        <v>0</v>
      </c>
      <c r="F78" s="746">
        <f t="shared" si="10"/>
        <v>0</v>
      </c>
      <c r="G78" s="746">
        <f t="shared" si="10"/>
        <v>0</v>
      </c>
      <c r="H78" s="746">
        <f t="shared" si="10"/>
        <v>0</v>
      </c>
      <c r="I78" s="746">
        <f>SUM(I76:I77)</f>
        <v>0</v>
      </c>
      <c r="J78" s="746">
        <f>SUM(J76:J77)</f>
        <v>5987.6470588235297</v>
      </c>
      <c r="K78" s="746">
        <f t="shared" ref="K78:L78" si="11">SUM(K76:K77)</f>
        <v>0</v>
      </c>
      <c r="L78" s="746">
        <f t="shared" si="11"/>
        <v>0</v>
      </c>
      <c r="M78" s="746">
        <f>SUM(M76:M77)</f>
        <v>0</v>
      </c>
      <c r="N78" s="746">
        <f>SUM(N76:N77)</f>
        <v>0</v>
      </c>
      <c r="O78" s="855">
        <f>SUM(O76:O77)</f>
        <v>0</v>
      </c>
      <c r="P78" s="747">
        <v>0</v>
      </c>
      <c r="Q78" s="747">
        <f>SUM(Q76:Q77)</f>
        <v>950.70705882352934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7270.7142857142871</v>
      </c>
      <c r="C87" s="758">
        <f>'lokale energieproductie'!B17*IFERROR(SUM(D87:H87)/SUM(D87:O87),0)</f>
        <v>5715</v>
      </c>
      <c r="D87" s="769">
        <f>'lokale energieproductie'!C17</f>
        <v>6723.5294117647063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8553.7815126050427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1358.1529411764707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7270.7142857142871</v>
      </c>
      <c r="C90" s="745">
        <f>SUM(C87:C89)</f>
        <v>5715</v>
      </c>
      <c r="D90" s="745">
        <f t="shared" ref="D90:H90" si="12">SUM(D87:D89)</f>
        <v>6723.5294117647063</v>
      </c>
      <c r="E90" s="745">
        <f t="shared" si="12"/>
        <v>0</v>
      </c>
      <c r="F90" s="745">
        <f t="shared" si="12"/>
        <v>0</v>
      </c>
      <c r="G90" s="745">
        <f t="shared" si="12"/>
        <v>0</v>
      </c>
      <c r="H90" s="745">
        <f t="shared" si="12"/>
        <v>0</v>
      </c>
      <c r="I90" s="745">
        <f>SUM(I87:I89)</f>
        <v>0</v>
      </c>
      <c r="J90" s="745">
        <f>SUM(J87:J89)</f>
        <v>8553.7815126050427</v>
      </c>
      <c r="K90" s="745">
        <f t="shared" ref="K90:L90" si="13">SUM(K87:K89)</f>
        <v>0</v>
      </c>
      <c r="L90" s="745">
        <f t="shared" si="13"/>
        <v>0</v>
      </c>
      <c r="M90" s="745">
        <f>SUM(M87:M89)</f>
        <v>0</v>
      </c>
      <c r="N90" s="745">
        <f>SUM(N87:N89)</f>
        <v>0</v>
      </c>
      <c r="O90" s="745">
        <f>SUM(O87:O89)</f>
        <v>0</v>
      </c>
      <c r="P90" s="745">
        <v>0</v>
      </c>
      <c r="Q90" s="745">
        <f>SUM(Q87:Q89)</f>
        <v>1358.1529411764707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60216.838176401128</v>
      </c>
      <c r="C4" s="449">
        <f>huishoudens!C8</f>
        <v>0</v>
      </c>
      <c r="D4" s="449">
        <f>huishoudens!D8</f>
        <v>166488.40460367131</v>
      </c>
      <c r="E4" s="449">
        <f>huishoudens!E8</f>
        <v>2549.4912780916234</v>
      </c>
      <c r="F4" s="449">
        <f>huishoudens!F8</f>
        <v>55850.699082503423</v>
      </c>
      <c r="G4" s="449">
        <f>huishoudens!G8</f>
        <v>0</v>
      </c>
      <c r="H4" s="449">
        <f>huishoudens!H8</f>
        <v>0</v>
      </c>
      <c r="I4" s="449">
        <f>huishoudens!I8</f>
        <v>0</v>
      </c>
      <c r="J4" s="449">
        <f>huishoudens!J8</f>
        <v>318.29924267204643</v>
      </c>
      <c r="K4" s="449">
        <f>huishoudens!K8</f>
        <v>0</v>
      </c>
      <c r="L4" s="449">
        <f>huishoudens!L8</f>
        <v>0</v>
      </c>
      <c r="M4" s="449">
        <f>huishoudens!M8</f>
        <v>0</v>
      </c>
      <c r="N4" s="449">
        <f>huishoudens!N8</f>
        <v>20962.087417635685</v>
      </c>
      <c r="O4" s="449">
        <f>huishoudens!O8</f>
        <v>355.12852127027872</v>
      </c>
      <c r="P4" s="450">
        <f>huishoudens!P8</f>
        <v>726.8431922302666</v>
      </c>
      <c r="Q4" s="451">
        <f>SUM(B4:P4)</f>
        <v>307467.79151447577</v>
      </c>
    </row>
    <row r="5" spans="1:17">
      <c r="A5" s="448" t="s">
        <v>155</v>
      </c>
      <c r="B5" s="449">
        <f ca="1">tertiair!B16</f>
        <v>74753.247511187335</v>
      </c>
      <c r="C5" s="449">
        <f ca="1">tertiair!C16</f>
        <v>5715</v>
      </c>
      <c r="D5" s="449">
        <f ca="1">tertiair!D16</f>
        <v>92643.320639380778</v>
      </c>
      <c r="E5" s="449">
        <f>tertiair!E16</f>
        <v>407.74439115432284</v>
      </c>
      <c r="F5" s="449">
        <f ca="1">tertiair!F16</f>
        <v>9840.5221362250832</v>
      </c>
      <c r="G5" s="449">
        <f>tertiair!G16</f>
        <v>0</v>
      </c>
      <c r="H5" s="449">
        <f>tertiair!H16</f>
        <v>0</v>
      </c>
      <c r="I5" s="449">
        <f>tertiair!I16</f>
        <v>0</v>
      </c>
      <c r="J5" s="449">
        <f>tertiair!J16</f>
        <v>3.9591136641863915E-2</v>
      </c>
      <c r="K5" s="449">
        <f>tertiair!K16</f>
        <v>0</v>
      </c>
      <c r="L5" s="449">
        <f ca="1">tertiair!L16</f>
        <v>0</v>
      </c>
      <c r="M5" s="449">
        <f>tertiair!M16</f>
        <v>0</v>
      </c>
      <c r="N5" s="449">
        <f ca="1">tertiair!N16</f>
        <v>1588.1364486585528</v>
      </c>
      <c r="O5" s="449">
        <f>tertiair!O16</f>
        <v>0</v>
      </c>
      <c r="P5" s="450">
        <f>tertiair!P16</f>
        <v>210.15655322598008</v>
      </c>
      <c r="Q5" s="448">
        <f t="shared" ref="Q5:Q14" ca="1" si="0">SUM(B5:P5)</f>
        <v>185158.1672709687</v>
      </c>
    </row>
    <row r="6" spans="1:17">
      <c r="A6" s="448" t="s">
        <v>193</v>
      </c>
      <c r="B6" s="449">
        <f>'openbare verlichting'!B8</f>
        <v>2222.393</v>
      </c>
      <c r="C6" s="449"/>
      <c r="D6" s="449"/>
      <c r="E6" s="449"/>
      <c r="F6" s="449"/>
      <c r="G6" s="449"/>
      <c r="H6" s="449"/>
      <c r="I6" s="449"/>
      <c r="J6" s="449"/>
      <c r="K6" s="449"/>
      <c r="L6" s="449"/>
      <c r="M6" s="449"/>
      <c r="N6" s="449"/>
      <c r="O6" s="449"/>
      <c r="P6" s="450"/>
      <c r="Q6" s="448">
        <f t="shared" si="0"/>
        <v>2222.393</v>
      </c>
    </row>
    <row r="7" spans="1:17">
      <c r="A7" s="448" t="s">
        <v>111</v>
      </c>
      <c r="B7" s="449">
        <f>landbouw!B8</f>
        <v>794.52747561914407</v>
      </c>
      <c r="C7" s="449">
        <f>landbouw!C8</f>
        <v>7270.7142857142862</v>
      </c>
      <c r="D7" s="449">
        <f>landbouw!D8</f>
        <v>7136.930860425935</v>
      </c>
      <c r="E7" s="449">
        <f>landbouw!E8</f>
        <v>22.756611488387225</v>
      </c>
      <c r="F7" s="449">
        <f>landbouw!F8</f>
        <v>2515.0635644603822</v>
      </c>
      <c r="G7" s="449">
        <f>landbouw!G8</f>
        <v>0</v>
      </c>
      <c r="H7" s="449">
        <f>landbouw!H8</f>
        <v>0</v>
      </c>
      <c r="I7" s="449">
        <f>landbouw!I8</f>
        <v>0</v>
      </c>
      <c r="J7" s="449">
        <f>landbouw!J8</f>
        <v>202.02338698670661</v>
      </c>
      <c r="K7" s="449">
        <f>landbouw!K8</f>
        <v>0</v>
      </c>
      <c r="L7" s="449">
        <f>landbouw!L8</f>
        <v>0</v>
      </c>
      <c r="M7" s="449">
        <f>landbouw!M8</f>
        <v>0</v>
      </c>
      <c r="N7" s="449">
        <f>landbouw!N8</f>
        <v>0</v>
      </c>
      <c r="O7" s="449">
        <f>landbouw!O8</f>
        <v>0</v>
      </c>
      <c r="P7" s="450">
        <f>landbouw!P8</f>
        <v>0</v>
      </c>
      <c r="Q7" s="448">
        <f t="shared" si="0"/>
        <v>17942.016184694839</v>
      </c>
    </row>
    <row r="8" spans="1:17">
      <c r="A8" s="448" t="s">
        <v>617</v>
      </c>
      <c r="B8" s="449">
        <f>industrie!B18</f>
        <v>56712.482906827507</v>
      </c>
      <c r="C8" s="449">
        <f>industrie!C18</f>
        <v>0</v>
      </c>
      <c r="D8" s="449">
        <f>industrie!D18</f>
        <v>34312.440240654614</v>
      </c>
      <c r="E8" s="449">
        <f>industrie!E18</f>
        <v>140.72521337567412</v>
      </c>
      <c r="F8" s="449">
        <f>industrie!F18</f>
        <v>15066.716615989268</v>
      </c>
      <c r="G8" s="449">
        <f>industrie!G18</f>
        <v>0</v>
      </c>
      <c r="H8" s="449">
        <f>industrie!H18</f>
        <v>0</v>
      </c>
      <c r="I8" s="449">
        <f>industrie!I18</f>
        <v>0</v>
      </c>
      <c r="J8" s="449">
        <f>industrie!J18</f>
        <v>5.691858483833145</v>
      </c>
      <c r="K8" s="449">
        <f>industrie!K18</f>
        <v>0</v>
      </c>
      <c r="L8" s="449">
        <f>industrie!L18</f>
        <v>0</v>
      </c>
      <c r="M8" s="449">
        <f>industrie!M18</f>
        <v>0</v>
      </c>
      <c r="N8" s="449">
        <f>industrie!N18</f>
        <v>2058.0381151094944</v>
      </c>
      <c r="O8" s="449">
        <f>industrie!O18</f>
        <v>0</v>
      </c>
      <c r="P8" s="450">
        <f>industrie!P18</f>
        <v>0</v>
      </c>
      <c r="Q8" s="448">
        <f t="shared" si="0"/>
        <v>108296.09495044038</v>
      </c>
    </row>
    <row r="9" spans="1:17" s="454" customFormat="1">
      <c r="A9" s="452" t="s">
        <v>543</v>
      </c>
      <c r="B9" s="453">
        <f>transport!B14</f>
        <v>1460.7574989060074</v>
      </c>
      <c r="C9" s="453">
        <f>transport!C14</f>
        <v>0</v>
      </c>
      <c r="D9" s="453">
        <f>transport!D14</f>
        <v>2554.8755343346679</v>
      </c>
      <c r="E9" s="453">
        <f>transport!E14</f>
        <v>1061.6760367228912</v>
      </c>
      <c r="F9" s="453">
        <f>transport!F14</f>
        <v>0</v>
      </c>
      <c r="G9" s="453">
        <f>transport!G14</f>
        <v>437918.0724217142</v>
      </c>
      <c r="H9" s="453">
        <f>transport!H14</f>
        <v>126682.40072867666</v>
      </c>
      <c r="I9" s="453">
        <f>transport!I14</f>
        <v>0</v>
      </c>
      <c r="J9" s="453">
        <f>transport!J14</f>
        <v>0</v>
      </c>
      <c r="K9" s="453">
        <f>transport!K14</f>
        <v>0</v>
      </c>
      <c r="L9" s="453">
        <f>transport!L14</f>
        <v>0</v>
      </c>
      <c r="M9" s="453">
        <f>transport!M14</f>
        <v>34125.197319076411</v>
      </c>
      <c r="N9" s="453">
        <f>transport!N14</f>
        <v>0</v>
      </c>
      <c r="O9" s="453">
        <f>transport!O14</f>
        <v>0</v>
      </c>
      <c r="P9" s="453">
        <f>transport!P14</f>
        <v>0</v>
      </c>
      <c r="Q9" s="452">
        <f>SUM(B9:P9)</f>
        <v>603802.97953943082</v>
      </c>
    </row>
    <row r="10" spans="1:17">
      <c r="A10" s="448" t="s">
        <v>533</v>
      </c>
      <c r="B10" s="449">
        <f>transport!B54</f>
        <v>55.688642961427711</v>
      </c>
      <c r="C10" s="449">
        <f>transport!C54</f>
        <v>0</v>
      </c>
      <c r="D10" s="449">
        <f>transport!D54</f>
        <v>0</v>
      </c>
      <c r="E10" s="449">
        <f>transport!E54</f>
        <v>0</v>
      </c>
      <c r="F10" s="449">
        <f>transport!F54</f>
        <v>0</v>
      </c>
      <c r="G10" s="449">
        <f>transport!G54</f>
        <v>3486.2774079442624</v>
      </c>
      <c r="H10" s="449">
        <f>transport!H54</f>
        <v>0</v>
      </c>
      <c r="I10" s="449">
        <f>transport!I54</f>
        <v>0</v>
      </c>
      <c r="J10" s="449">
        <f>transport!J54</f>
        <v>0</v>
      </c>
      <c r="K10" s="449">
        <f>transport!K54</f>
        <v>0</v>
      </c>
      <c r="L10" s="449">
        <f>transport!L54</f>
        <v>0</v>
      </c>
      <c r="M10" s="449">
        <f>transport!M54</f>
        <v>200.17432933422171</v>
      </c>
      <c r="N10" s="449">
        <f>transport!N54</f>
        <v>0</v>
      </c>
      <c r="O10" s="449">
        <f>transport!O54</f>
        <v>0</v>
      </c>
      <c r="P10" s="450">
        <f>transport!P54</f>
        <v>0</v>
      </c>
      <c r="Q10" s="448">
        <f t="shared" si="0"/>
        <v>3742.1403802399118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1766.83355687533</v>
      </c>
      <c r="C14" s="456"/>
      <c r="D14" s="456">
        <f>'SEAP template'!E25</f>
        <v>4794.6255181594397</v>
      </c>
      <c r="E14" s="456"/>
      <c r="F14" s="456"/>
      <c r="G14" s="456"/>
      <c r="H14" s="456"/>
      <c r="I14" s="456"/>
      <c r="J14" s="456"/>
      <c r="K14" s="456"/>
      <c r="L14" s="456"/>
      <c r="M14" s="456"/>
      <c r="N14" s="456"/>
      <c r="O14" s="456"/>
      <c r="P14" s="457"/>
      <c r="Q14" s="448">
        <f t="shared" si="0"/>
        <v>6561.4590750347697</v>
      </c>
    </row>
    <row r="15" spans="1:17" s="460" customFormat="1">
      <c r="A15" s="458" t="s">
        <v>537</v>
      </c>
      <c r="B15" s="459">
        <f ca="1">SUM(B4:B14)</f>
        <v>197982.76876877787</v>
      </c>
      <c r="C15" s="459">
        <f t="shared" ref="C15:Q15" ca="1" si="1">SUM(C4:C14)</f>
        <v>12985.714285714286</v>
      </c>
      <c r="D15" s="459">
        <f t="shared" ca="1" si="1"/>
        <v>307930.59739662678</v>
      </c>
      <c r="E15" s="459">
        <f t="shared" si="1"/>
        <v>4182.3935308328983</v>
      </c>
      <c r="F15" s="459">
        <f t="shared" ca="1" si="1"/>
        <v>83273.001399178145</v>
      </c>
      <c r="G15" s="459">
        <f t="shared" si="1"/>
        <v>441404.34982965846</v>
      </c>
      <c r="H15" s="459">
        <f t="shared" si="1"/>
        <v>126682.40072867666</v>
      </c>
      <c r="I15" s="459">
        <f t="shared" si="1"/>
        <v>0</v>
      </c>
      <c r="J15" s="459">
        <f t="shared" si="1"/>
        <v>526.05407927922806</v>
      </c>
      <c r="K15" s="459">
        <f t="shared" si="1"/>
        <v>0</v>
      </c>
      <c r="L15" s="459">
        <f t="shared" ca="1" si="1"/>
        <v>0</v>
      </c>
      <c r="M15" s="459">
        <f t="shared" si="1"/>
        <v>34325.371648410633</v>
      </c>
      <c r="N15" s="459">
        <f t="shared" ca="1" si="1"/>
        <v>24608.261981403732</v>
      </c>
      <c r="O15" s="459">
        <f t="shared" si="1"/>
        <v>355.12852127027872</v>
      </c>
      <c r="P15" s="459">
        <f t="shared" si="1"/>
        <v>936.99974545624673</v>
      </c>
      <c r="Q15" s="459">
        <f t="shared" ca="1" si="1"/>
        <v>1235193.0419152852</v>
      </c>
    </row>
    <row r="17" spans="1:17">
      <c r="A17" s="461" t="s">
        <v>538</v>
      </c>
      <c r="B17" s="778">
        <f ca="1">huishoudens!B10</f>
        <v>0.16846514437840604</v>
      </c>
      <c r="C17" s="778">
        <f ca="1">huishoudens!C10</f>
        <v>0.10458823529411765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10144.438337398529</v>
      </c>
      <c r="C22" s="449">
        <f t="shared" ref="C22:C32" ca="1" si="3">C4*$C$17</f>
        <v>0</v>
      </c>
      <c r="D22" s="449">
        <f t="shared" ref="D22:D32" si="4">D4*$D$17</f>
        <v>33630.657729941609</v>
      </c>
      <c r="E22" s="449">
        <f t="shared" ref="E22:E32" si="5">E4*$E$17</f>
        <v>578.73452012679854</v>
      </c>
      <c r="F22" s="449">
        <f t="shared" ref="F22:F32" si="6">F4*$F$17</f>
        <v>14912.136655028415</v>
      </c>
      <c r="G22" s="449">
        <f t="shared" ref="G22:G32" si="7">G4*$G$17</f>
        <v>0</v>
      </c>
      <c r="H22" s="449">
        <f t="shared" ref="H22:H32" si="8">H4*$H$17</f>
        <v>0</v>
      </c>
      <c r="I22" s="449">
        <f t="shared" ref="I22:I32" si="9">I4*$I$17</f>
        <v>0</v>
      </c>
      <c r="J22" s="449">
        <f t="shared" ref="J22:J32" si="10">J4*$J$17</f>
        <v>112.67793190590443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59378.645174401259</v>
      </c>
    </row>
    <row r="23" spans="1:17">
      <c r="A23" s="448" t="s">
        <v>155</v>
      </c>
      <c r="B23" s="449">
        <f t="shared" ca="1" si="2"/>
        <v>12593.316634726896</v>
      </c>
      <c r="C23" s="449">
        <f t="shared" ca="1" si="3"/>
        <v>597.72176470588238</v>
      </c>
      <c r="D23" s="449">
        <f t="shared" ca="1" si="4"/>
        <v>18713.950769154919</v>
      </c>
      <c r="E23" s="449">
        <f t="shared" si="5"/>
        <v>92.557976792031283</v>
      </c>
      <c r="F23" s="449">
        <f t="shared" ca="1" si="6"/>
        <v>2627.4194103720974</v>
      </c>
      <c r="G23" s="449">
        <f t="shared" si="7"/>
        <v>0</v>
      </c>
      <c r="H23" s="449">
        <f t="shared" si="8"/>
        <v>0</v>
      </c>
      <c r="I23" s="449">
        <f t="shared" si="9"/>
        <v>0</v>
      </c>
      <c r="J23" s="449">
        <f t="shared" si="10"/>
        <v>1.4015262371219825E-2</v>
      </c>
      <c r="K23" s="449">
        <f t="shared" si="11"/>
        <v>0</v>
      </c>
      <c r="L23" s="449">
        <f t="shared" ca="1" si="12"/>
        <v>0</v>
      </c>
      <c r="M23" s="449">
        <f t="shared" si="13"/>
        <v>0</v>
      </c>
      <c r="N23" s="449">
        <f t="shared" ca="1" si="14"/>
        <v>0</v>
      </c>
      <c r="O23" s="449">
        <f t="shared" si="15"/>
        <v>0</v>
      </c>
      <c r="P23" s="450">
        <f t="shared" si="16"/>
        <v>0</v>
      </c>
      <c r="Q23" s="448">
        <f t="shared" ref="Q23:Q31" ca="1" si="17">SUM(B23:P23)</f>
        <v>34624.980571014195</v>
      </c>
    </row>
    <row r="24" spans="1:17">
      <c r="A24" s="448" t="s">
        <v>193</v>
      </c>
      <c r="B24" s="449">
        <f t="shared" ca="1" si="2"/>
        <v>374.39575761055892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374.39575761055892</v>
      </c>
    </row>
    <row r="25" spans="1:17">
      <c r="A25" s="448" t="s">
        <v>111</v>
      </c>
      <c r="B25" s="449">
        <f t="shared" ca="1" si="2"/>
        <v>133.8501858927896</v>
      </c>
      <c r="C25" s="449">
        <f t="shared" ca="1" si="3"/>
        <v>760.4311764705883</v>
      </c>
      <c r="D25" s="449">
        <f t="shared" si="4"/>
        <v>1441.6600338060389</v>
      </c>
      <c r="E25" s="449">
        <f t="shared" si="5"/>
        <v>5.1657508078639003</v>
      </c>
      <c r="F25" s="449">
        <f t="shared" si="6"/>
        <v>671.52197171092212</v>
      </c>
      <c r="G25" s="449">
        <f t="shared" si="7"/>
        <v>0</v>
      </c>
      <c r="H25" s="449">
        <f t="shared" si="8"/>
        <v>0</v>
      </c>
      <c r="I25" s="449">
        <f t="shared" si="9"/>
        <v>0</v>
      </c>
      <c r="J25" s="449">
        <f t="shared" si="10"/>
        <v>71.516278993294137</v>
      </c>
      <c r="K25" s="449">
        <f t="shared" si="11"/>
        <v>0</v>
      </c>
      <c r="L25" s="449">
        <f t="shared" si="12"/>
        <v>0</v>
      </c>
      <c r="M25" s="449">
        <f t="shared" si="13"/>
        <v>0</v>
      </c>
      <c r="N25" s="449">
        <f t="shared" si="14"/>
        <v>0</v>
      </c>
      <c r="O25" s="449">
        <f t="shared" si="15"/>
        <v>0</v>
      </c>
      <c r="P25" s="450">
        <f t="shared" si="16"/>
        <v>0</v>
      </c>
      <c r="Q25" s="448">
        <f t="shared" ca="1" si="17"/>
        <v>3084.1453976814969</v>
      </c>
    </row>
    <row r="26" spans="1:17">
      <c r="A26" s="448" t="s">
        <v>617</v>
      </c>
      <c r="B26" s="449">
        <f t="shared" ca="1" si="2"/>
        <v>9554.0766209565809</v>
      </c>
      <c r="C26" s="449">
        <f t="shared" ca="1" si="3"/>
        <v>0</v>
      </c>
      <c r="D26" s="449">
        <f t="shared" si="4"/>
        <v>6931.1129286122323</v>
      </c>
      <c r="E26" s="449">
        <f t="shared" si="5"/>
        <v>31.944623436278025</v>
      </c>
      <c r="F26" s="449">
        <f t="shared" si="6"/>
        <v>4022.8133364691348</v>
      </c>
      <c r="G26" s="449">
        <f t="shared" si="7"/>
        <v>0</v>
      </c>
      <c r="H26" s="449">
        <f t="shared" si="8"/>
        <v>0</v>
      </c>
      <c r="I26" s="449">
        <f t="shared" si="9"/>
        <v>0</v>
      </c>
      <c r="J26" s="449">
        <f t="shared" si="10"/>
        <v>2.0149179032769333</v>
      </c>
      <c r="K26" s="449">
        <f t="shared" si="11"/>
        <v>0</v>
      </c>
      <c r="L26" s="449">
        <f t="shared" si="12"/>
        <v>0</v>
      </c>
      <c r="M26" s="449">
        <f t="shared" si="13"/>
        <v>0</v>
      </c>
      <c r="N26" s="449">
        <f t="shared" si="14"/>
        <v>0</v>
      </c>
      <c r="O26" s="449">
        <f t="shared" si="15"/>
        <v>0</v>
      </c>
      <c r="P26" s="450">
        <f t="shared" si="16"/>
        <v>0</v>
      </c>
      <c r="Q26" s="448">
        <f t="shared" ca="1" si="17"/>
        <v>20541.962427377504</v>
      </c>
    </row>
    <row r="27" spans="1:17" s="454" customFormat="1">
      <c r="A27" s="452" t="s">
        <v>543</v>
      </c>
      <c r="B27" s="772">
        <f t="shared" ca="1" si="2"/>
        <v>246.08672295503985</v>
      </c>
      <c r="C27" s="453">
        <f t="shared" ca="1" si="3"/>
        <v>0</v>
      </c>
      <c r="D27" s="453">
        <f t="shared" si="4"/>
        <v>516.08485793560294</v>
      </c>
      <c r="E27" s="453">
        <f t="shared" si="5"/>
        <v>241.00046033609632</v>
      </c>
      <c r="F27" s="453">
        <f t="shared" si="6"/>
        <v>0</v>
      </c>
      <c r="G27" s="453">
        <f t="shared" si="7"/>
        <v>116924.1253365977</v>
      </c>
      <c r="H27" s="453">
        <f t="shared" si="8"/>
        <v>31543.917781440487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149471.21515926495</v>
      </c>
    </row>
    <row r="28" spans="1:17" ht="16.5" customHeight="1">
      <c r="A28" s="448" t="s">
        <v>533</v>
      </c>
      <c r="B28" s="449">
        <f t="shared" ca="1" si="2"/>
        <v>9.3815952767344246</v>
      </c>
      <c r="C28" s="449">
        <f t="shared" ca="1" si="3"/>
        <v>0</v>
      </c>
      <c r="D28" s="449">
        <f t="shared" si="4"/>
        <v>0</v>
      </c>
      <c r="E28" s="449">
        <f t="shared" si="5"/>
        <v>0</v>
      </c>
      <c r="F28" s="449">
        <f t="shared" si="6"/>
        <v>0</v>
      </c>
      <c r="G28" s="449">
        <f t="shared" si="7"/>
        <v>930.83606792111812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940.21766319785252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297.64987025161514</v>
      </c>
      <c r="C32" s="449">
        <f t="shared" ca="1" si="3"/>
        <v>0</v>
      </c>
      <c r="D32" s="449">
        <f t="shared" si="4"/>
        <v>968.51435466820692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1266.1642249198221</v>
      </c>
    </row>
    <row r="33" spans="1:17" s="460" customFormat="1">
      <c r="A33" s="458" t="s">
        <v>537</v>
      </c>
      <c r="B33" s="459">
        <f ca="1">SUM(B22:B32)</f>
        <v>33353.195725068748</v>
      </c>
      <c r="C33" s="459">
        <f t="shared" ref="C33:Q33" ca="1" si="19">SUM(C22:C32)</f>
        <v>1358.1529411764707</v>
      </c>
      <c r="D33" s="459">
        <f t="shared" ca="1" si="19"/>
        <v>62201.980674118611</v>
      </c>
      <c r="E33" s="459">
        <f t="shared" si="19"/>
        <v>949.40333149906803</v>
      </c>
      <c r="F33" s="459">
        <f t="shared" ca="1" si="19"/>
        <v>22233.891373580569</v>
      </c>
      <c r="G33" s="459">
        <f t="shared" si="19"/>
        <v>117854.96140451882</v>
      </c>
      <c r="H33" s="459">
        <f t="shared" si="19"/>
        <v>31543.917781440487</v>
      </c>
      <c r="I33" s="459">
        <f t="shared" si="19"/>
        <v>0</v>
      </c>
      <c r="J33" s="459">
        <f t="shared" si="19"/>
        <v>186.22314406484671</v>
      </c>
      <c r="K33" s="459">
        <f t="shared" si="19"/>
        <v>0</v>
      </c>
      <c r="L33" s="459">
        <f t="shared" ca="1" si="19"/>
        <v>0</v>
      </c>
      <c r="M33" s="459">
        <f t="shared" si="19"/>
        <v>0</v>
      </c>
      <c r="N33" s="459">
        <f t="shared" ca="1" si="19"/>
        <v>0</v>
      </c>
      <c r="O33" s="459">
        <f t="shared" si="19"/>
        <v>0</v>
      </c>
      <c r="P33" s="459">
        <f t="shared" si="19"/>
        <v>0</v>
      </c>
      <c r="Q33" s="459">
        <f t="shared" ca="1" si="19"/>
        <v>269681.72637546761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33510.622794506264</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8764.5501994063961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5089.5000000000009</v>
      </c>
      <c r="C8" s="1016">
        <f>'SEAP template'!C76</f>
        <v>4000.4999999999995</v>
      </c>
      <c r="D8" s="1016">
        <f>'SEAP template'!D76</f>
        <v>4706.4705882352937</v>
      </c>
      <c r="E8" s="1016">
        <f>'SEAP template'!E76</f>
        <v>0</v>
      </c>
      <c r="F8" s="1016">
        <f>'SEAP template'!F76</f>
        <v>0</v>
      </c>
      <c r="G8" s="1016">
        <f>'SEAP template'!G76</f>
        <v>0</v>
      </c>
      <c r="H8" s="1016">
        <f>'SEAP template'!H76</f>
        <v>0</v>
      </c>
      <c r="I8" s="1016">
        <f>'SEAP template'!I76</f>
        <v>0</v>
      </c>
      <c r="J8" s="1016">
        <f>'SEAP template'!J76</f>
        <v>5987.6470588235297</v>
      </c>
      <c r="K8" s="1016">
        <f>'SEAP template'!K76</f>
        <v>0</v>
      </c>
      <c r="L8" s="1016">
        <f>'SEAP template'!L76</f>
        <v>0</v>
      </c>
      <c r="M8" s="1016">
        <f>'SEAP template'!M76</f>
        <v>0</v>
      </c>
      <c r="N8" s="1016">
        <f>'SEAP template'!N76</f>
        <v>0</v>
      </c>
      <c r="O8" s="1016">
        <f>'SEAP template'!O76</f>
        <v>0</v>
      </c>
      <c r="P8" s="1017">
        <f>'SEAP template'!Q76</f>
        <v>950.70705882352934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47364.67299391266</v>
      </c>
      <c r="C10" s="1018">
        <f>SUM(C4:C9)</f>
        <v>4000.4999999999995</v>
      </c>
      <c r="D10" s="1018">
        <f t="shared" ref="D10:H10" si="0">SUM(D8:D9)</f>
        <v>4706.4705882352937</v>
      </c>
      <c r="E10" s="1018">
        <f t="shared" si="0"/>
        <v>0</v>
      </c>
      <c r="F10" s="1018">
        <f t="shared" si="0"/>
        <v>0</v>
      </c>
      <c r="G10" s="1018">
        <f t="shared" si="0"/>
        <v>0</v>
      </c>
      <c r="H10" s="1018">
        <f t="shared" si="0"/>
        <v>0</v>
      </c>
      <c r="I10" s="1018">
        <f>SUM(I8:I9)</f>
        <v>0</v>
      </c>
      <c r="J10" s="1018">
        <f>SUM(J8:J9)</f>
        <v>5987.6470588235297</v>
      </c>
      <c r="K10" s="1018">
        <f t="shared" ref="K10:L10" si="1">SUM(K8:K9)</f>
        <v>0</v>
      </c>
      <c r="L10" s="1018">
        <f t="shared" si="1"/>
        <v>0</v>
      </c>
      <c r="M10" s="1018">
        <f>SUM(M8:M9)</f>
        <v>0</v>
      </c>
      <c r="N10" s="1018">
        <f>SUM(N8:N9)</f>
        <v>0</v>
      </c>
      <c r="O10" s="1018">
        <f>SUM(O8:O9)</f>
        <v>0</v>
      </c>
      <c r="P10" s="1018">
        <f>SUM(P8:P9)</f>
        <v>950.70705882352934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0.16846514437840604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7270.7142857142871</v>
      </c>
      <c r="C17" s="1019">
        <f>'SEAP template'!C87</f>
        <v>5715</v>
      </c>
      <c r="D17" s="1017">
        <f>'SEAP template'!D87</f>
        <v>6723.5294117647063</v>
      </c>
      <c r="E17" s="1017">
        <f>'SEAP template'!E87</f>
        <v>0</v>
      </c>
      <c r="F17" s="1017">
        <f>'SEAP template'!F87</f>
        <v>0</v>
      </c>
      <c r="G17" s="1017">
        <f>'SEAP template'!G87</f>
        <v>0</v>
      </c>
      <c r="H17" s="1017">
        <f>'SEAP template'!H87</f>
        <v>0</v>
      </c>
      <c r="I17" s="1017">
        <f>'SEAP template'!I87</f>
        <v>0</v>
      </c>
      <c r="J17" s="1017">
        <f>'SEAP template'!J87</f>
        <v>8553.7815126050427</v>
      </c>
      <c r="K17" s="1017">
        <f>'SEAP template'!K87</f>
        <v>0</v>
      </c>
      <c r="L17" s="1017">
        <f>'SEAP template'!L87</f>
        <v>0</v>
      </c>
      <c r="M17" s="1017">
        <f>'SEAP template'!M87</f>
        <v>0</v>
      </c>
      <c r="N17" s="1017">
        <f>'SEAP template'!N87</f>
        <v>0</v>
      </c>
      <c r="O17" s="1017">
        <f>'SEAP template'!O87</f>
        <v>0</v>
      </c>
      <c r="P17" s="1017">
        <f>'SEAP template'!Q87</f>
        <v>1358.1529411764707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7270.7142857142871</v>
      </c>
      <c r="C20" s="1018">
        <f>SUM(C17:C19)</f>
        <v>5715</v>
      </c>
      <c r="D20" s="1018">
        <f t="shared" ref="D20:H20" si="2">SUM(D17:D19)</f>
        <v>6723.5294117647063</v>
      </c>
      <c r="E20" s="1018">
        <f t="shared" si="2"/>
        <v>0</v>
      </c>
      <c r="F20" s="1018">
        <f t="shared" si="2"/>
        <v>0</v>
      </c>
      <c r="G20" s="1018">
        <f t="shared" si="2"/>
        <v>0</v>
      </c>
      <c r="H20" s="1018">
        <f t="shared" si="2"/>
        <v>0</v>
      </c>
      <c r="I20" s="1018">
        <f>SUM(I17:I19)</f>
        <v>0</v>
      </c>
      <c r="J20" s="1018">
        <f>SUM(J17:J19)</f>
        <v>8553.7815126050427</v>
      </c>
      <c r="K20" s="1018">
        <f t="shared" ref="K20:L20" si="3">SUM(K17:K19)</f>
        <v>0</v>
      </c>
      <c r="L20" s="1018">
        <f t="shared" si="3"/>
        <v>0</v>
      </c>
      <c r="M20" s="1018">
        <f>SUM(M17:M19)</f>
        <v>0</v>
      </c>
      <c r="N20" s="1018">
        <f>SUM(N17:N19)</f>
        <v>0</v>
      </c>
      <c r="O20" s="1018">
        <f>SUM(O17:O19)</f>
        <v>0</v>
      </c>
      <c r="P20" s="1018">
        <f>SUM(P17:P19)</f>
        <v>1358.1529411764707</v>
      </c>
    </row>
    <row r="21" spans="1:16">
      <c r="B21" s="883"/>
    </row>
    <row r="22" spans="1:16">
      <c r="A22" s="461" t="s">
        <v>755</v>
      </c>
      <c r="B22" s="778" t="s">
        <v>753</v>
      </c>
      <c r="C22" s="778">
        <f ca="1">'EF ele_warmte'!B22</f>
        <v>0.10458823529411765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0.16846514437840604</v>
      </c>
      <c r="C17" s="498">
        <f ca="1">'EF ele_warmte'!B22</f>
        <v>0.10458823529411765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0.16846514437840604</v>
      </c>
      <c r="C17" s="498">
        <f ca="1">'EF ele_warmte'!B22</f>
        <v>0.10458823529411765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0.16846514437840604</v>
      </c>
      <c r="C29" s="499">
        <f ca="1">'EF ele_warmte'!B22</f>
        <v>0.10458823529411765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16633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1630.21</v>
      </c>
      <c r="C14" s="326"/>
      <c r="D14" s="326"/>
      <c r="E14" s="326"/>
      <c r="F14" s="326"/>
    </row>
    <row r="15" spans="1:6">
      <c r="A15" s="1312" t="s">
        <v>183</v>
      </c>
      <c r="B15" s="1313">
        <v>6</v>
      </c>
      <c r="C15" s="326"/>
      <c r="D15" s="326"/>
      <c r="E15" s="326"/>
      <c r="F15" s="326"/>
    </row>
    <row r="16" spans="1:6">
      <c r="A16" s="1312" t="s">
        <v>6</v>
      </c>
      <c r="B16" s="1313">
        <v>218</v>
      </c>
      <c r="C16" s="326"/>
      <c r="D16" s="326"/>
      <c r="E16" s="326"/>
      <c r="F16" s="326"/>
    </row>
    <row r="17" spans="1:6">
      <c r="A17" s="1312" t="s">
        <v>7</v>
      </c>
      <c r="B17" s="1313">
        <v>211</v>
      </c>
      <c r="C17" s="326"/>
      <c r="D17" s="326"/>
      <c r="E17" s="326"/>
      <c r="F17" s="326"/>
    </row>
    <row r="18" spans="1:6">
      <c r="A18" s="1312" t="s">
        <v>8</v>
      </c>
      <c r="B18" s="1313">
        <v>278</v>
      </c>
      <c r="C18" s="326"/>
      <c r="D18" s="326"/>
      <c r="E18" s="326"/>
      <c r="F18" s="326"/>
    </row>
    <row r="19" spans="1:6">
      <c r="A19" s="1312" t="s">
        <v>9</v>
      </c>
      <c r="B19" s="1313">
        <v>179</v>
      </c>
      <c r="C19" s="326"/>
      <c r="D19" s="326"/>
      <c r="E19" s="326"/>
      <c r="F19" s="326"/>
    </row>
    <row r="20" spans="1:6">
      <c r="A20" s="1312" t="s">
        <v>10</v>
      </c>
      <c r="B20" s="1313">
        <v>302</v>
      </c>
      <c r="C20" s="326"/>
      <c r="D20" s="326"/>
      <c r="E20" s="326"/>
      <c r="F20" s="326"/>
    </row>
    <row r="21" spans="1:6">
      <c r="A21" s="1312" t="s">
        <v>11</v>
      </c>
      <c r="B21" s="1313">
        <v>721</v>
      </c>
      <c r="C21" s="326"/>
      <c r="D21" s="326"/>
      <c r="E21" s="326"/>
      <c r="F21" s="326"/>
    </row>
    <row r="22" spans="1:6">
      <c r="A22" s="1312" t="s">
        <v>12</v>
      </c>
      <c r="B22" s="1313">
        <v>1890</v>
      </c>
      <c r="C22" s="326"/>
      <c r="D22" s="326"/>
      <c r="E22" s="326"/>
      <c r="F22" s="326"/>
    </row>
    <row r="23" spans="1:6">
      <c r="A23" s="1312" t="s">
        <v>13</v>
      </c>
      <c r="B23" s="1313">
        <v>48</v>
      </c>
      <c r="C23" s="326"/>
      <c r="D23" s="326"/>
      <c r="E23" s="326"/>
      <c r="F23" s="326"/>
    </row>
    <row r="24" spans="1:6">
      <c r="A24" s="1312" t="s">
        <v>14</v>
      </c>
      <c r="B24" s="1313">
        <v>3</v>
      </c>
      <c r="C24" s="326"/>
      <c r="D24" s="326"/>
      <c r="E24" s="326"/>
      <c r="F24" s="326"/>
    </row>
    <row r="25" spans="1:6">
      <c r="A25" s="1312" t="s">
        <v>15</v>
      </c>
      <c r="B25" s="1313">
        <v>188</v>
      </c>
      <c r="C25" s="326"/>
      <c r="D25" s="326"/>
      <c r="E25" s="326"/>
      <c r="F25" s="326"/>
    </row>
    <row r="26" spans="1:6">
      <c r="A26" s="1312" t="s">
        <v>16</v>
      </c>
      <c r="B26" s="1313">
        <v>137</v>
      </c>
      <c r="C26" s="326"/>
      <c r="D26" s="326"/>
      <c r="E26" s="326"/>
      <c r="F26" s="326"/>
    </row>
    <row r="27" spans="1:6">
      <c r="A27" s="1312" t="s">
        <v>17</v>
      </c>
      <c r="B27" s="1313">
        <v>1</v>
      </c>
      <c r="C27" s="326"/>
      <c r="D27" s="326"/>
      <c r="E27" s="326"/>
      <c r="F27" s="326"/>
    </row>
    <row r="28" spans="1:6" s="43" customFormat="1">
      <c r="A28" s="1314" t="s">
        <v>18</v>
      </c>
      <c r="B28" s="1315">
        <v>411</v>
      </c>
      <c r="C28" s="332"/>
      <c r="D28" s="332"/>
      <c r="E28" s="332"/>
      <c r="F28" s="332"/>
    </row>
    <row r="29" spans="1:6">
      <c r="A29" s="1314" t="s">
        <v>684</v>
      </c>
      <c r="B29" s="1315">
        <v>176</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8</v>
      </c>
      <c r="D36" s="1313">
        <v>2691118.1891576899</v>
      </c>
      <c r="E36" s="1313">
        <v>14</v>
      </c>
      <c r="F36" s="1313">
        <v>30527.589614554199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404</v>
      </c>
    </row>
    <row r="39" spans="1:6">
      <c r="A39" s="1312" t="s">
        <v>29</v>
      </c>
      <c r="B39" s="1312" t="s">
        <v>30</v>
      </c>
      <c r="C39" s="1313">
        <v>13208</v>
      </c>
      <c r="D39" s="1313">
        <v>184372541.08933699</v>
      </c>
      <c r="E39" s="1313">
        <v>17139</v>
      </c>
      <c r="F39" s="1313">
        <v>54795313.151453003</v>
      </c>
    </row>
    <row r="40" spans="1:6">
      <c r="A40" s="1312" t="s">
        <v>29</v>
      </c>
      <c r="B40" s="1312" t="s">
        <v>28</v>
      </c>
      <c r="C40" s="1313">
        <v>0</v>
      </c>
      <c r="D40" s="1313">
        <v>0</v>
      </c>
      <c r="E40" s="1313">
        <v>0</v>
      </c>
      <c r="F40" s="1313">
        <v>0</v>
      </c>
    </row>
    <row r="41" spans="1:6">
      <c r="A41" s="1312" t="s">
        <v>31</v>
      </c>
      <c r="B41" s="1312" t="s">
        <v>32</v>
      </c>
      <c r="C41" s="1313">
        <v>190</v>
      </c>
      <c r="D41" s="1313">
        <v>3471262.0812787502</v>
      </c>
      <c r="E41" s="1313">
        <v>347</v>
      </c>
      <c r="F41" s="1313">
        <v>22289349.9458335</v>
      </c>
    </row>
    <row r="42" spans="1:6">
      <c r="A42" s="1312" t="s">
        <v>31</v>
      </c>
      <c r="B42" s="1312" t="s">
        <v>33</v>
      </c>
      <c r="C42" s="1313">
        <v>3</v>
      </c>
      <c r="D42" s="1313">
        <v>20902.687024350202</v>
      </c>
      <c r="E42" s="1313">
        <v>3</v>
      </c>
      <c r="F42" s="1313">
        <v>5422.7613882191999</v>
      </c>
    </row>
    <row r="43" spans="1:6">
      <c r="A43" s="1312" t="s">
        <v>31</v>
      </c>
      <c r="B43" s="1312" t="s">
        <v>34</v>
      </c>
      <c r="C43" s="1313">
        <v>0</v>
      </c>
      <c r="D43" s="1313">
        <v>0</v>
      </c>
      <c r="E43" s="1313">
        <v>0</v>
      </c>
      <c r="F43" s="1313">
        <v>0</v>
      </c>
    </row>
    <row r="44" spans="1:6">
      <c r="A44" s="1312" t="s">
        <v>31</v>
      </c>
      <c r="B44" s="1312" t="s">
        <v>35</v>
      </c>
      <c r="C44" s="1313">
        <v>12</v>
      </c>
      <c r="D44" s="1313">
        <v>1376370.9616904501</v>
      </c>
      <c r="E44" s="1313">
        <v>23</v>
      </c>
      <c r="F44" s="1313">
        <v>1791835.4331398399</v>
      </c>
    </row>
    <row r="45" spans="1:6">
      <c r="A45" s="1312" t="s">
        <v>31</v>
      </c>
      <c r="B45" s="1312" t="s">
        <v>36</v>
      </c>
      <c r="C45" s="1313">
        <v>0</v>
      </c>
      <c r="D45" s="1313">
        <v>0</v>
      </c>
      <c r="E45" s="1313">
        <v>3</v>
      </c>
      <c r="F45" s="1313">
        <v>87055.506055920399</v>
      </c>
    </row>
    <row r="46" spans="1:6">
      <c r="A46" s="1312" t="s">
        <v>31</v>
      </c>
      <c r="B46" s="1312" t="s">
        <v>37</v>
      </c>
      <c r="C46" s="1313">
        <v>0</v>
      </c>
      <c r="D46" s="1313">
        <v>0</v>
      </c>
      <c r="E46" s="1313">
        <v>0</v>
      </c>
      <c r="F46" s="1313">
        <v>0</v>
      </c>
    </row>
    <row r="47" spans="1:6">
      <c r="A47" s="1312" t="s">
        <v>31</v>
      </c>
      <c r="B47" s="1312" t="s">
        <v>38</v>
      </c>
      <c r="C47" s="1313">
        <v>6</v>
      </c>
      <c r="D47" s="1313">
        <v>19271020.9936997</v>
      </c>
      <c r="E47" s="1313">
        <v>8</v>
      </c>
      <c r="F47" s="1313">
        <v>5605024.5170780802</v>
      </c>
    </row>
    <row r="48" spans="1:6">
      <c r="A48" s="1312" t="s">
        <v>31</v>
      </c>
      <c r="B48" s="1312" t="s">
        <v>28</v>
      </c>
      <c r="C48" s="1313">
        <v>2</v>
      </c>
      <c r="D48" s="1313">
        <v>36973.0495262814</v>
      </c>
      <c r="E48" s="1313">
        <v>0</v>
      </c>
      <c r="F48" s="1313">
        <v>0</v>
      </c>
    </row>
    <row r="49" spans="1:6">
      <c r="A49" s="1312" t="s">
        <v>31</v>
      </c>
      <c r="B49" s="1312" t="s">
        <v>39</v>
      </c>
      <c r="C49" s="1313">
        <v>0</v>
      </c>
      <c r="D49" s="1313">
        <v>0</v>
      </c>
      <c r="E49" s="1313">
        <v>3</v>
      </c>
      <c r="F49" s="1313">
        <v>10609.8638341446</v>
      </c>
    </row>
    <row r="50" spans="1:6">
      <c r="A50" s="1312" t="s">
        <v>31</v>
      </c>
      <c r="B50" s="1312" t="s">
        <v>40</v>
      </c>
      <c r="C50" s="1313">
        <v>10</v>
      </c>
      <c r="D50" s="1313">
        <v>13821742.9185353</v>
      </c>
      <c r="E50" s="1313">
        <v>17</v>
      </c>
      <c r="F50" s="1313">
        <v>26923184.8794978</v>
      </c>
    </row>
    <row r="51" spans="1:6">
      <c r="A51" s="1312" t="s">
        <v>41</v>
      </c>
      <c r="B51" s="1312" t="s">
        <v>42</v>
      </c>
      <c r="C51" s="1313">
        <v>15</v>
      </c>
      <c r="D51" s="1313">
        <v>7903577.9185226299</v>
      </c>
      <c r="E51" s="1313">
        <v>48</v>
      </c>
      <c r="F51" s="1313">
        <v>794527.47561914404</v>
      </c>
    </row>
    <row r="52" spans="1:6">
      <c r="A52" s="1312" t="s">
        <v>41</v>
      </c>
      <c r="B52" s="1312" t="s">
        <v>28</v>
      </c>
      <c r="C52" s="1313">
        <v>0</v>
      </c>
      <c r="D52" s="1313">
        <v>0</v>
      </c>
      <c r="E52" s="1313">
        <v>0</v>
      </c>
      <c r="F52" s="1313">
        <v>0</v>
      </c>
    </row>
    <row r="53" spans="1:6">
      <c r="A53" s="1312" t="s">
        <v>43</v>
      </c>
      <c r="B53" s="1312" t="s">
        <v>44</v>
      </c>
      <c r="C53" s="1313">
        <v>348</v>
      </c>
      <c r="D53" s="1313">
        <v>4794625.5181594398</v>
      </c>
      <c r="E53" s="1313">
        <v>662</v>
      </c>
      <c r="F53" s="1313">
        <v>1766833.5568753299</v>
      </c>
    </row>
    <row r="54" spans="1:6">
      <c r="A54" s="1312" t="s">
        <v>45</v>
      </c>
      <c r="B54" s="1312" t="s">
        <v>46</v>
      </c>
      <c r="C54" s="1313">
        <v>0</v>
      </c>
      <c r="D54" s="1313">
        <v>0</v>
      </c>
      <c r="E54" s="1313">
        <v>1</v>
      </c>
      <c r="F54" s="1313">
        <v>2222393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102</v>
      </c>
      <c r="D57" s="1313">
        <v>6114662.4823959898</v>
      </c>
      <c r="E57" s="1313">
        <v>199</v>
      </c>
      <c r="F57" s="1313">
        <v>3914421.8806427699</v>
      </c>
    </row>
    <row r="58" spans="1:6">
      <c r="A58" s="1312" t="s">
        <v>48</v>
      </c>
      <c r="B58" s="1312" t="s">
        <v>50</v>
      </c>
      <c r="C58" s="1313">
        <v>87</v>
      </c>
      <c r="D58" s="1313">
        <v>12504545.232586401</v>
      </c>
      <c r="E58" s="1313">
        <v>116</v>
      </c>
      <c r="F58" s="1313">
        <v>7577007.5360649098</v>
      </c>
    </row>
    <row r="59" spans="1:6">
      <c r="A59" s="1312" t="s">
        <v>48</v>
      </c>
      <c r="B59" s="1312" t="s">
        <v>51</v>
      </c>
      <c r="C59" s="1313">
        <v>247</v>
      </c>
      <c r="D59" s="1313">
        <v>66128324.793412998</v>
      </c>
      <c r="E59" s="1313">
        <v>416</v>
      </c>
      <c r="F59" s="1313">
        <v>44435454.965327397</v>
      </c>
    </row>
    <row r="60" spans="1:6">
      <c r="A60" s="1312" t="s">
        <v>48</v>
      </c>
      <c r="B60" s="1312" t="s">
        <v>52</v>
      </c>
      <c r="C60" s="1313">
        <v>163</v>
      </c>
      <c r="D60" s="1313">
        <v>11353485.9014892</v>
      </c>
      <c r="E60" s="1313">
        <v>251</v>
      </c>
      <c r="F60" s="1313">
        <v>4846752.00276432</v>
      </c>
    </row>
    <row r="61" spans="1:6">
      <c r="A61" s="1312" t="s">
        <v>48</v>
      </c>
      <c r="B61" s="1312" t="s">
        <v>53</v>
      </c>
      <c r="C61" s="1313">
        <v>355</v>
      </c>
      <c r="D61" s="1313">
        <v>13365951.114143301</v>
      </c>
      <c r="E61" s="1313">
        <v>830</v>
      </c>
      <c r="F61" s="1313">
        <v>7537429.0332811503</v>
      </c>
    </row>
    <row r="62" spans="1:6">
      <c r="A62" s="1312" t="s">
        <v>48</v>
      </c>
      <c r="B62" s="1312" t="s">
        <v>54</v>
      </c>
      <c r="C62" s="1313">
        <v>41</v>
      </c>
      <c r="D62" s="1313">
        <v>5785877.25269501</v>
      </c>
      <c r="E62" s="1313">
        <v>51</v>
      </c>
      <c r="F62" s="1313">
        <v>2441682.09310679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202534.28581769601</v>
      </c>
      <c r="E65" s="1313">
        <v>0</v>
      </c>
      <c r="F65" s="1313">
        <v>0</v>
      </c>
    </row>
    <row r="66" spans="1:6">
      <c r="A66" s="1312" t="s">
        <v>55</v>
      </c>
      <c r="B66" s="1312" t="s">
        <v>57</v>
      </c>
      <c r="C66" s="1313">
        <v>0</v>
      </c>
      <c r="D66" s="1313">
        <v>0</v>
      </c>
      <c r="E66" s="1313">
        <v>24</v>
      </c>
      <c r="F66" s="1313">
        <v>439228.40396394598</v>
      </c>
    </row>
    <row r="67" spans="1:6">
      <c r="A67" s="1314" t="s">
        <v>55</v>
      </c>
      <c r="B67" s="1314" t="s">
        <v>58</v>
      </c>
      <c r="C67" s="1313">
        <v>0</v>
      </c>
      <c r="D67" s="1313">
        <v>0</v>
      </c>
      <c r="E67" s="1313">
        <v>0</v>
      </c>
      <c r="F67" s="1313">
        <v>0</v>
      </c>
    </row>
    <row r="68" spans="1:6">
      <c r="A68" s="1307" t="s">
        <v>55</v>
      </c>
      <c r="B68" s="1307" t="s">
        <v>59</v>
      </c>
      <c r="C68" s="1316">
        <v>9</v>
      </c>
      <c r="D68" s="1316">
        <v>287888.172534852</v>
      </c>
      <c r="E68" s="1316">
        <v>19</v>
      </c>
      <c r="F68" s="1316">
        <v>497560.10914568597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265139835</v>
      </c>
      <c r="E73" s="447"/>
      <c r="F73" s="326"/>
    </row>
    <row r="74" spans="1:6">
      <c r="A74" s="1312" t="s">
        <v>63</v>
      </c>
      <c r="B74" s="1312" t="s">
        <v>638</v>
      </c>
      <c r="C74" s="1326" t="s">
        <v>640</v>
      </c>
      <c r="D74" s="1327">
        <v>21376147.757468857</v>
      </c>
      <c r="E74" s="447"/>
      <c r="F74" s="326"/>
    </row>
    <row r="75" spans="1:6">
      <c r="A75" s="1312" t="s">
        <v>64</v>
      </c>
      <c r="B75" s="1312" t="s">
        <v>637</v>
      </c>
      <c r="C75" s="1326" t="s">
        <v>641</v>
      </c>
      <c r="D75" s="1327">
        <v>171048462</v>
      </c>
      <c r="E75" s="447"/>
      <c r="F75" s="326"/>
    </row>
    <row r="76" spans="1:6">
      <c r="A76" s="1312" t="s">
        <v>64</v>
      </c>
      <c r="B76" s="1312" t="s">
        <v>638</v>
      </c>
      <c r="C76" s="1326" t="s">
        <v>642</v>
      </c>
      <c r="D76" s="1327">
        <v>8205362.757468855</v>
      </c>
      <c r="E76" s="447"/>
      <c r="F76" s="326"/>
    </row>
    <row r="77" spans="1:6">
      <c r="A77" s="1312" t="s">
        <v>65</v>
      </c>
      <c r="B77" s="1312" t="s">
        <v>637</v>
      </c>
      <c r="C77" s="1326" t="s">
        <v>643</v>
      </c>
      <c r="D77" s="1327">
        <v>228153203</v>
      </c>
      <c r="E77" s="447"/>
      <c r="F77" s="326"/>
    </row>
    <row r="78" spans="1:6">
      <c r="A78" s="1307" t="s">
        <v>65</v>
      </c>
      <c r="B78" s="1307" t="s">
        <v>638</v>
      </c>
      <c r="C78" s="1307" t="s">
        <v>644</v>
      </c>
      <c r="D78" s="1328">
        <v>20789586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1038714.48506229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33510.622794506264</v>
      </c>
      <c r="C90" s="326"/>
      <c r="D90" s="326"/>
      <c r="E90" s="326"/>
      <c r="F90" s="326"/>
    </row>
    <row r="91" spans="1:6">
      <c r="A91" s="1312" t="s">
        <v>67</v>
      </c>
      <c r="B91" s="1313">
        <v>5421.5250249481223</v>
      </c>
      <c r="C91" s="326"/>
      <c r="D91" s="326"/>
      <c r="E91" s="326"/>
      <c r="F91" s="326"/>
    </row>
    <row r="92" spans="1:6">
      <c r="A92" s="1307" t="s">
        <v>68</v>
      </c>
      <c r="B92" s="1308">
        <v>3343.0251744582733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8417</v>
      </c>
      <c r="C97" s="326"/>
      <c r="D97" s="326"/>
      <c r="E97" s="326"/>
      <c r="F97" s="326"/>
    </row>
    <row r="98" spans="1:6">
      <c r="A98" s="1312" t="s">
        <v>71</v>
      </c>
      <c r="B98" s="1313">
        <v>12</v>
      </c>
      <c r="C98" s="326"/>
      <c r="D98" s="326"/>
      <c r="E98" s="326"/>
      <c r="F98" s="326"/>
    </row>
    <row r="99" spans="1:6">
      <c r="A99" s="1312" t="s">
        <v>72</v>
      </c>
      <c r="B99" s="1313">
        <v>88</v>
      </c>
      <c r="C99" s="326"/>
      <c r="D99" s="326"/>
      <c r="E99" s="326"/>
      <c r="F99" s="326"/>
    </row>
    <row r="100" spans="1:6">
      <c r="A100" s="1312" t="s">
        <v>73</v>
      </c>
      <c r="B100" s="1313">
        <v>1444</v>
      </c>
      <c r="C100" s="326"/>
      <c r="D100" s="326"/>
      <c r="E100" s="326"/>
      <c r="F100" s="326"/>
    </row>
    <row r="101" spans="1:6">
      <c r="A101" s="1312" t="s">
        <v>74</v>
      </c>
      <c r="B101" s="1313">
        <v>114</v>
      </c>
      <c r="C101" s="326"/>
      <c r="D101" s="326"/>
      <c r="E101" s="326"/>
      <c r="F101" s="326"/>
    </row>
    <row r="102" spans="1:6">
      <c r="A102" s="1312" t="s">
        <v>75</v>
      </c>
      <c r="B102" s="1313">
        <v>218</v>
      </c>
      <c r="C102" s="326"/>
      <c r="D102" s="326"/>
      <c r="E102" s="326"/>
      <c r="F102" s="326"/>
    </row>
    <row r="103" spans="1:6">
      <c r="A103" s="1312" t="s">
        <v>76</v>
      </c>
      <c r="B103" s="1313">
        <v>298</v>
      </c>
      <c r="C103" s="326"/>
      <c r="D103" s="326"/>
      <c r="E103" s="326"/>
      <c r="F103" s="326"/>
    </row>
    <row r="104" spans="1:6">
      <c r="A104" s="1312" t="s">
        <v>77</v>
      </c>
      <c r="B104" s="1313">
        <v>3161</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47</v>
      </c>
      <c r="C123" s="1313">
        <v>34</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145</v>
      </c>
      <c r="C129" s="326"/>
      <c r="D129" s="326"/>
      <c r="E129" s="326"/>
      <c r="F129" s="326"/>
    </row>
    <row r="130" spans="1:6">
      <c r="A130" s="1312" t="s">
        <v>290</v>
      </c>
      <c r="B130" s="1313">
        <v>0</v>
      </c>
      <c r="C130" s="326"/>
      <c r="D130" s="326"/>
      <c r="E130" s="326"/>
      <c r="F130" s="326"/>
    </row>
    <row r="131" spans="1:6">
      <c r="A131" s="1312" t="s">
        <v>291</v>
      </c>
      <c r="B131" s="1313">
        <v>3</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197982.76876877787</v>
      </c>
      <c r="C3" s="43" t="s">
        <v>169</v>
      </c>
      <c r="D3" s="43"/>
      <c r="E3" s="154"/>
      <c r="F3" s="43"/>
      <c r="G3" s="43"/>
      <c r="H3" s="43"/>
      <c r="I3" s="43"/>
      <c r="J3" s="43"/>
      <c r="K3" s="96"/>
    </row>
    <row r="4" spans="1:11">
      <c r="A4" s="354" t="s">
        <v>170</v>
      </c>
      <c r="B4" s="49">
        <f>IF(ISERROR('SEAP template'!B78+'SEAP template'!C78),0,'SEAP template'!B78+'SEAP template'!C78)</f>
        <v>51365.17299391266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950.70705882352934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0.16846514437840604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1358.1529411764707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12985.714285714286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0.10458823529411765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2222.393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2222.393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0.16846514437840604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374.39575761055892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54795.313151453003</v>
      </c>
      <c r="C5" s="17">
        <f>IF(ISERROR('Eigen informatie GS &amp; warmtenet'!B59),0,'Eigen informatie GS &amp; warmtenet'!B59)</f>
        <v>0</v>
      </c>
      <c r="D5" s="30">
        <f>(SUM(HH_hh_gas_kWh,HH_rest_gas_kWh)/1000)*0.903</f>
        <v>166488.40460367131</v>
      </c>
      <c r="E5" s="17">
        <f>B32*B41</f>
        <v>2549.4912780916234</v>
      </c>
      <c r="F5" s="17">
        <f>B36*B45</f>
        <v>55850.699082503423</v>
      </c>
      <c r="G5" s="18"/>
      <c r="H5" s="17"/>
      <c r="I5" s="17"/>
      <c r="J5" s="17">
        <f>B35*B44+C35*C44</f>
        <v>318.29924267204643</v>
      </c>
      <c r="K5" s="17"/>
      <c r="L5" s="17"/>
      <c r="M5" s="17"/>
      <c r="N5" s="17">
        <f>B34*B43+C34*C43</f>
        <v>20962.087417635685</v>
      </c>
      <c r="O5" s="17">
        <f>B52*B53*B54</f>
        <v>355.12852127027872</v>
      </c>
      <c r="P5" s="17">
        <f>B60*B61*B62/1000-B60*B61*B62/1000/B63</f>
        <v>726.8431922302666</v>
      </c>
    </row>
    <row r="6" spans="1:16">
      <c r="A6" s="16" t="s">
        <v>603</v>
      </c>
      <c r="B6" s="780">
        <f>kWh_PV_kleiner_dan_10kW</f>
        <v>5421.5250249481223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60216.838176401128</v>
      </c>
      <c r="C8" s="21">
        <f>C5</f>
        <v>0</v>
      </c>
      <c r="D8" s="21">
        <f>D5</f>
        <v>166488.40460367131</v>
      </c>
      <c r="E8" s="21">
        <f>E5</f>
        <v>2549.4912780916234</v>
      </c>
      <c r="F8" s="21">
        <f>F5</f>
        <v>55850.699082503423</v>
      </c>
      <c r="G8" s="21"/>
      <c r="H8" s="21"/>
      <c r="I8" s="21"/>
      <c r="J8" s="21">
        <f>J5</f>
        <v>318.29924267204643</v>
      </c>
      <c r="K8" s="21"/>
      <c r="L8" s="21">
        <f>L5</f>
        <v>0</v>
      </c>
      <c r="M8" s="21">
        <f>M5</f>
        <v>0</v>
      </c>
      <c r="N8" s="21">
        <f>N5</f>
        <v>20962.087417635685</v>
      </c>
      <c r="O8" s="21">
        <f>O5</f>
        <v>355.12852127027872</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0.16846514437840604</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10144.438337398529</v>
      </c>
      <c r="C12" s="23">
        <f ca="1">C10*C8</f>
        <v>0</v>
      </c>
      <c r="D12" s="23">
        <f>D8*D10</f>
        <v>33630.657729941609</v>
      </c>
      <c r="E12" s="23">
        <f>E10*E8</f>
        <v>578.73452012679854</v>
      </c>
      <c r="F12" s="23">
        <f>F10*F8</f>
        <v>14912.136655028415</v>
      </c>
      <c r="G12" s="23"/>
      <c r="H12" s="23"/>
      <c r="I12" s="23"/>
      <c r="J12" s="23">
        <f>J10*J8</f>
        <v>112.67793190590443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16633</v>
      </c>
      <c r="C26" s="36"/>
      <c r="D26" s="225"/>
    </row>
    <row r="27" spans="1:5" s="15" customFormat="1">
      <c r="A27" s="227" t="s">
        <v>866</v>
      </c>
      <c r="B27" s="37">
        <f>SUM(HH_hh_gas_aantal,HH_rest_gas_aantal)</f>
        <v>13208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12547.6</v>
      </c>
      <c r="C31" s="34" t="s">
        <v>110</v>
      </c>
      <c r="D31" s="171"/>
    </row>
    <row r="32" spans="1:5">
      <c r="A32" s="168" t="s">
        <v>72</v>
      </c>
      <c r="B32" s="33">
        <f>IF((B21*($B$26-($B$27-0.05*$B$27)-$B$60))&lt;0,0,(B21*($B$26-($B$27-0.05*$B$27)-$B$60)))</f>
        <v>63.761148034319312</v>
      </c>
      <c r="C32" s="34" t="s">
        <v>110</v>
      </c>
      <c r="D32" s="171"/>
    </row>
    <row r="33" spans="1:6">
      <c r="A33" s="168" t="s">
        <v>73</v>
      </c>
      <c r="B33" s="33">
        <f>IF((B22*($B$26-($B$27-0.05*$B$27)-$B$60))&lt;0,0,B22*($B$26-($B$27-0.05*$B$27)-$B$60))</f>
        <v>1035.3547637376248</v>
      </c>
      <c r="C33" s="34" t="s">
        <v>110</v>
      </c>
      <c r="D33" s="171"/>
    </row>
    <row r="34" spans="1:6">
      <c r="A34" s="168" t="s">
        <v>74</v>
      </c>
      <c r="B34" s="33">
        <f>IF((B24*($B$26-($B$27-0.05*$B$27)-$B$60))&lt;0,0,B24*($B$26-($B$27-0.05*$B$27)-$B$60))</f>
        <v>198.49136380645493</v>
      </c>
      <c r="C34" s="33">
        <f>B26*C24</f>
        <v>3408.2004968022493</v>
      </c>
      <c r="D34" s="230"/>
    </row>
    <row r="35" spans="1:6">
      <c r="A35" s="168" t="s">
        <v>76</v>
      </c>
      <c r="B35" s="33">
        <f>IF((B19*($B$26-($B$27-0.05*$B$27)-$B$60))&lt;0,0,B19*($B$26-($B$27-0.05*$B$27)-$B$60))</f>
        <v>27.716819039780948</v>
      </c>
      <c r="C35" s="33">
        <f>B35/2</f>
        <v>13.858409519890474</v>
      </c>
      <c r="D35" s="230"/>
    </row>
    <row r="36" spans="1:6">
      <c r="A36" s="168" t="s">
        <v>77</v>
      </c>
      <c r="B36" s="33">
        <f>IF((B18*($B$26-($B$27-0.05*$B$27)-$B$60))&lt;0,0,B18*($B$26-($B$27-0.05*$B$27)-$B$60))</f>
        <v>2691.0759053818188</v>
      </c>
      <c r="C36" s="34" t="s">
        <v>110</v>
      </c>
      <c r="D36" s="171"/>
    </row>
    <row r="37" spans="1:6">
      <c r="A37" s="168" t="s">
        <v>78</v>
      </c>
      <c r="B37" s="33">
        <f>B60</f>
        <v>69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70752.747511187335</v>
      </c>
      <c r="C5" s="17">
        <f>IF(ISERROR('Eigen informatie GS &amp; warmtenet'!B60),0,'Eigen informatie GS &amp; warmtenet'!B60)</f>
        <v>0</v>
      </c>
      <c r="D5" s="30">
        <f>SUM(D6:D12)</f>
        <v>104073.32063938078</v>
      </c>
      <c r="E5" s="17">
        <f>SUM(E6:E12)</f>
        <v>407.74439115432284</v>
      </c>
      <c r="F5" s="17">
        <f>SUM(F6:F12)</f>
        <v>9840.5221362250832</v>
      </c>
      <c r="G5" s="18"/>
      <c r="H5" s="17"/>
      <c r="I5" s="17"/>
      <c r="J5" s="17">
        <f>SUM(J6:J12)</f>
        <v>3.9591136641863915E-2</v>
      </c>
      <c r="K5" s="17"/>
      <c r="L5" s="17"/>
      <c r="M5" s="17"/>
      <c r="N5" s="17">
        <f>SUM(N6:N12)</f>
        <v>1588.1364486585528</v>
      </c>
      <c r="O5" s="17">
        <f>B38*B39*B40</f>
        <v>0</v>
      </c>
      <c r="P5" s="17">
        <f>B46*B47*B48/1000-B46*B47*B48/1000/B49</f>
        <v>210.15655322598008</v>
      </c>
      <c r="R5" s="32"/>
    </row>
    <row r="6" spans="1:18">
      <c r="A6" s="32" t="s">
        <v>53</v>
      </c>
      <c r="B6" s="37">
        <f>B26</f>
        <v>7537.4290332811506</v>
      </c>
      <c r="C6" s="33"/>
      <c r="D6" s="37">
        <f>IF(ISERROR(TER_kantoor_gas_kWh/1000),0,TER_kantoor_gas_kWh/1000)*0.903</f>
        <v>12069.453856071401</v>
      </c>
      <c r="E6" s="33">
        <f>$C$26*'E Balans VL '!I12/100/3.6*1000000</f>
        <v>1.7959471753393357</v>
      </c>
      <c r="F6" s="33">
        <f>$C$26*('E Balans VL '!L12+'E Balans VL '!N12)/100/3.6*1000000</f>
        <v>654.69954931797474</v>
      </c>
      <c r="G6" s="34"/>
      <c r="H6" s="33"/>
      <c r="I6" s="33"/>
      <c r="J6" s="33">
        <f>$C$26*('E Balans VL '!D12+'E Balans VL '!E12)/100/3.6*1000000</f>
        <v>0</v>
      </c>
      <c r="K6" s="33"/>
      <c r="L6" s="33"/>
      <c r="M6" s="33"/>
      <c r="N6" s="33">
        <f>$C$26*'E Balans VL '!Y12/100/3.6*1000000</f>
        <v>10.074828390802345</v>
      </c>
      <c r="O6" s="33"/>
      <c r="P6" s="33"/>
      <c r="R6" s="32"/>
    </row>
    <row r="7" spans="1:18">
      <c r="A7" s="32" t="s">
        <v>52</v>
      </c>
      <c r="B7" s="37">
        <f t="shared" ref="B7:B12" si="0">B27</f>
        <v>4846.7520027643204</v>
      </c>
      <c r="C7" s="33"/>
      <c r="D7" s="37">
        <f>IF(ISERROR(TER_horeca_gas_kWh/1000),0,TER_horeca_gas_kWh/1000)*0.903</f>
        <v>10252.197769044749</v>
      </c>
      <c r="E7" s="33">
        <f>$C$27*'E Balans VL '!I9/100/3.6*1000000</f>
        <v>0</v>
      </c>
      <c r="F7" s="33">
        <f>$C$27*('E Balans VL '!L9+'E Balans VL '!N9)/100/3.6*1000000</f>
        <v>394.92257454365705</v>
      </c>
      <c r="G7" s="34"/>
      <c r="H7" s="33"/>
      <c r="I7" s="33"/>
      <c r="J7" s="33">
        <f>$C$27*('E Balans VL '!D9+'E Balans VL '!E9)/100/3.6*1000000</f>
        <v>0</v>
      </c>
      <c r="K7" s="33"/>
      <c r="L7" s="33"/>
      <c r="M7" s="33"/>
      <c r="N7" s="33">
        <f>$C$27*'E Balans VL '!Y9/100/3.6*1000000</f>
        <v>1.3424600710835732</v>
      </c>
      <c r="O7" s="33"/>
      <c r="P7" s="33"/>
      <c r="R7" s="32"/>
    </row>
    <row r="8" spans="1:18">
      <c r="A8" s="6" t="s">
        <v>51</v>
      </c>
      <c r="B8" s="37">
        <f t="shared" si="0"/>
        <v>44435.454965327393</v>
      </c>
      <c r="C8" s="33"/>
      <c r="D8" s="37">
        <f>IF(ISERROR(TER_handel_gas_kWh/1000),0,TER_handel_gas_kWh/1000)*0.903</f>
        <v>59713.877288451942</v>
      </c>
      <c r="E8" s="33">
        <f>$C$28*'E Balans VL '!I13/100/3.6*1000000</f>
        <v>355.19990150714108</v>
      </c>
      <c r="F8" s="33">
        <f>$C$28*('E Balans VL '!L13+'E Balans VL '!N13)/100/3.6*1000000</f>
        <v>4414.3862239008031</v>
      </c>
      <c r="G8" s="34"/>
      <c r="H8" s="33"/>
      <c r="I8" s="33"/>
      <c r="J8" s="33">
        <f>$C$28*('E Balans VL '!D13+'E Balans VL '!E13)/100/3.6*1000000</f>
        <v>0</v>
      </c>
      <c r="K8" s="33"/>
      <c r="L8" s="33"/>
      <c r="M8" s="33"/>
      <c r="N8" s="33">
        <f>$C$28*'E Balans VL '!Y13/100/3.6*1000000</f>
        <v>16.599287403888056</v>
      </c>
      <c r="O8" s="33"/>
      <c r="P8" s="33"/>
      <c r="R8" s="32"/>
    </row>
    <row r="9" spans="1:18">
      <c r="A9" s="32" t="s">
        <v>50</v>
      </c>
      <c r="B9" s="37">
        <f t="shared" si="0"/>
        <v>7577.0075360649098</v>
      </c>
      <c r="C9" s="33"/>
      <c r="D9" s="37">
        <f>IF(ISERROR(TER_gezond_gas_kWh/1000),0,TER_gezond_gas_kWh/1000)*0.903</f>
        <v>11291.60434502552</v>
      </c>
      <c r="E9" s="33">
        <f>$C$29*'E Balans VL '!I10/100/3.6*1000000</f>
        <v>0</v>
      </c>
      <c r="F9" s="33">
        <f>$C$29*('E Balans VL '!L10+'E Balans VL '!N10)/100/3.6*1000000</f>
        <v>690.76770952866684</v>
      </c>
      <c r="G9" s="34"/>
      <c r="H9" s="33"/>
      <c r="I9" s="33"/>
      <c r="J9" s="33">
        <f>$C$29*('E Balans VL '!D10+'E Balans VL '!E10)/100/3.6*1000000</f>
        <v>0</v>
      </c>
      <c r="K9" s="33"/>
      <c r="L9" s="33"/>
      <c r="M9" s="33"/>
      <c r="N9" s="33">
        <f>$C$29*'E Balans VL '!Y10/100/3.6*1000000</f>
        <v>55.381134877229563</v>
      </c>
      <c r="O9" s="33"/>
      <c r="P9" s="33"/>
      <c r="R9" s="32"/>
    </row>
    <row r="10" spans="1:18">
      <c r="A10" s="32" t="s">
        <v>49</v>
      </c>
      <c r="B10" s="37">
        <f t="shared" si="0"/>
        <v>3914.4218806427698</v>
      </c>
      <c r="C10" s="33"/>
      <c r="D10" s="37">
        <f>IF(ISERROR(TER_ander_gas_kWh/1000),0,TER_ander_gas_kWh/1000)*0.903</f>
        <v>5521.5402216035791</v>
      </c>
      <c r="E10" s="33">
        <f>$C$30*'E Balans VL '!I14/100/3.6*1000000</f>
        <v>50.748542471842434</v>
      </c>
      <c r="F10" s="33">
        <f>$C$30*('E Balans VL '!L14+'E Balans VL '!N14)/100/3.6*1000000</f>
        <v>3590.0744598167425</v>
      </c>
      <c r="G10" s="34"/>
      <c r="H10" s="33"/>
      <c r="I10" s="33"/>
      <c r="J10" s="33">
        <f>$C$30*('E Balans VL '!D14+'E Balans VL '!E14)/100/3.6*1000000</f>
        <v>3.9591136641863915E-2</v>
      </c>
      <c r="K10" s="33"/>
      <c r="L10" s="33"/>
      <c r="M10" s="33"/>
      <c r="N10" s="33">
        <f>$C$30*'E Balans VL '!Y14/100/3.6*1000000</f>
        <v>1497.0492777310601</v>
      </c>
      <c r="O10" s="33"/>
      <c r="P10" s="33"/>
      <c r="R10" s="32"/>
    </row>
    <row r="11" spans="1:18">
      <c r="A11" s="32" t="s">
        <v>54</v>
      </c>
      <c r="B11" s="37">
        <f t="shared" si="0"/>
        <v>2441.68209310679</v>
      </c>
      <c r="C11" s="33"/>
      <c r="D11" s="37">
        <f>IF(ISERROR(TER_onderwijs_gas_kWh/1000),0,TER_onderwijs_gas_kWh/1000)*0.903</f>
        <v>5224.6471591835943</v>
      </c>
      <c r="E11" s="33">
        <f>$C$31*'E Balans VL '!I11/100/3.6*1000000</f>
        <v>0</v>
      </c>
      <c r="F11" s="33">
        <f>$C$31*('E Balans VL '!L11+'E Balans VL '!N11)/100/3.6*1000000</f>
        <v>95.67161911723889</v>
      </c>
      <c r="G11" s="34"/>
      <c r="H11" s="33"/>
      <c r="I11" s="33"/>
      <c r="J11" s="33">
        <f>$C$31*('E Balans VL '!D11+'E Balans VL '!E11)/100/3.6*1000000</f>
        <v>0</v>
      </c>
      <c r="K11" s="33"/>
      <c r="L11" s="33"/>
      <c r="M11" s="33"/>
      <c r="N11" s="33">
        <f>$C$31*'E Balans VL '!Y11/100/3.6*1000000</f>
        <v>7.6894601844891852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4000.5</v>
      </c>
      <c r="C13" s="243">
        <f ca="1">'lokale energieproductie'!O39+'lokale energieproductie'!O32</f>
        <v>5715</v>
      </c>
      <c r="D13" s="304">
        <f ca="1">('lokale energieproductie'!P32+'lokale energieproductie'!P39)*(-1)</f>
        <v>-11430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74753.247511187335</v>
      </c>
      <c r="C16" s="21">
        <f t="shared" ca="1" si="1"/>
        <v>5715</v>
      </c>
      <c r="D16" s="21">
        <f t="shared" ca="1" si="1"/>
        <v>92643.320639380778</v>
      </c>
      <c r="E16" s="21">
        <f t="shared" si="1"/>
        <v>407.74439115432284</v>
      </c>
      <c r="F16" s="21">
        <f t="shared" ca="1" si="1"/>
        <v>9840.5221362250832</v>
      </c>
      <c r="G16" s="21">
        <f t="shared" si="1"/>
        <v>0</v>
      </c>
      <c r="H16" s="21">
        <f t="shared" si="1"/>
        <v>0</v>
      </c>
      <c r="I16" s="21">
        <f t="shared" si="1"/>
        <v>0</v>
      </c>
      <c r="J16" s="21">
        <f t="shared" si="1"/>
        <v>3.9591136641863915E-2</v>
      </c>
      <c r="K16" s="21">
        <f t="shared" si="1"/>
        <v>0</v>
      </c>
      <c r="L16" s="21">
        <f t="shared" ca="1" si="1"/>
        <v>0</v>
      </c>
      <c r="M16" s="21">
        <f t="shared" si="1"/>
        <v>0</v>
      </c>
      <c r="N16" s="21">
        <f t="shared" ca="1" si="1"/>
        <v>1588.1364486585528</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0.16846514437840604</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12593.316634726896</v>
      </c>
      <c r="C20" s="23">
        <f t="shared" ref="C20:P20" ca="1" si="2">C16*C18</f>
        <v>597.72176470588238</v>
      </c>
      <c r="D20" s="23">
        <f t="shared" ca="1" si="2"/>
        <v>18713.950769154919</v>
      </c>
      <c r="E20" s="23">
        <f t="shared" si="2"/>
        <v>92.557976792031283</v>
      </c>
      <c r="F20" s="23">
        <f t="shared" ca="1" si="2"/>
        <v>2627.4194103720974</v>
      </c>
      <c r="G20" s="23">
        <f t="shared" si="2"/>
        <v>0</v>
      </c>
      <c r="H20" s="23">
        <f t="shared" si="2"/>
        <v>0</v>
      </c>
      <c r="I20" s="23">
        <f t="shared" si="2"/>
        <v>0</v>
      </c>
      <c r="J20" s="23">
        <f t="shared" si="2"/>
        <v>1.4015262371219825E-2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7537.4290332811506</v>
      </c>
      <c r="C26" s="39">
        <f>IF(ISERROR(B26*3.6/1000000/'E Balans VL '!Z12*100),0,B26*3.6/1000000/'E Balans VL '!Z12*100)</f>
        <v>0.21624812965427548</v>
      </c>
      <c r="D26" s="233" t="s">
        <v>841</v>
      </c>
      <c r="F26" s="6"/>
    </row>
    <row r="27" spans="1:18" ht="30">
      <c r="A27" s="228" t="s">
        <v>52</v>
      </c>
      <c r="B27" s="33">
        <f>IF(ISERROR(TER_horeca_ele_kWh/1000),0,TER_horeca_ele_kWh/1000)</f>
        <v>4846.7520027643204</v>
      </c>
      <c r="C27" s="39">
        <f>IF(ISERROR(B27*3.6/1000000/'E Balans VL '!Z9*100),0,B27*3.6/1000000/'E Balans VL '!Z9*100)</f>
        <v>0.35507476764507384</v>
      </c>
      <c r="D27" s="233" t="s">
        <v>841</v>
      </c>
      <c r="F27" s="6"/>
    </row>
    <row r="28" spans="1:18" ht="30">
      <c r="A28" s="168" t="s">
        <v>51</v>
      </c>
      <c r="B28" s="33">
        <f>IF(ISERROR(TER_handel_ele_kWh/1000),0,TER_handel_ele_kWh/1000)</f>
        <v>44435.454965327393</v>
      </c>
      <c r="C28" s="39">
        <f>IF(ISERROR(B28*3.6/1000000/'E Balans VL '!Z13*100),0,B28*3.6/1000000/'E Balans VL '!Z13*100)</f>
        <v>1.3730930375725037</v>
      </c>
      <c r="D28" s="233" t="s">
        <v>841</v>
      </c>
      <c r="F28" s="6"/>
    </row>
    <row r="29" spans="1:18" ht="30">
      <c r="A29" s="228" t="s">
        <v>50</v>
      </c>
      <c r="B29" s="33">
        <f>IF(ISERROR(TER_gezond_ele_kWh/1000),0,TER_gezond_ele_kWh/1000)</f>
        <v>7577.0075360649098</v>
      </c>
      <c r="C29" s="39">
        <f>IF(ISERROR(B29*3.6/1000000/'E Balans VL '!Z10*100),0,B29*3.6/1000000/'E Balans VL '!Z10*100)</f>
        <v>0.74259332921272569</v>
      </c>
      <c r="D29" s="233" t="s">
        <v>841</v>
      </c>
      <c r="F29" s="6"/>
    </row>
    <row r="30" spans="1:18" ht="30">
      <c r="A30" s="228" t="s">
        <v>49</v>
      </c>
      <c r="B30" s="33">
        <f>IF(ISERROR(TER_ander_ele_kWh/1000),0,TER_ander_ele_kWh/1000)</f>
        <v>3914.4218806427698</v>
      </c>
      <c r="C30" s="39">
        <f>IF(ISERROR(B30*3.6/1000000/'E Balans VL '!Z14*100),0,B30*3.6/1000000/'E Balans VL '!Z14*100)</f>
        <v>0.16214799989841877</v>
      </c>
      <c r="D30" s="233" t="s">
        <v>841</v>
      </c>
      <c r="F30" s="6"/>
    </row>
    <row r="31" spans="1:18" ht="30">
      <c r="A31" s="228" t="s">
        <v>54</v>
      </c>
      <c r="B31" s="33">
        <f>IF(ISERROR(TER_onderwijs_ele_kWh/1000),0,TER_onderwijs_ele_kWh/1000)</f>
        <v>2441.68209310679</v>
      </c>
      <c r="C31" s="39">
        <f>IF(ISERROR(B31*3.6/1000000/'E Balans VL '!Z11*100),0,B31*3.6/1000000/'E Balans VL '!Z11*100)</f>
        <v>0.7502546736786706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56712.482906827507</v>
      </c>
      <c r="C5" s="17">
        <f>IF(ISERROR('Eigen informatie GS &amp; warmtenet'!B61),0,'Eigen informatie GS &amp; warmtenet'!B61)</f>
        <v>0</v>
      </c>
      <c r="D5" s="30">
        <f>SUM(D6:D15)</f>
        <v>34312.440240654614</v>
      </c>
      <c r="E5" s="17">
        <f>SUM(E6:E15)</f>
        <v>140.72521337567412</v>
      </c>
      <c r="F5" s="17">
        <f>SUM(F6:F15)</f>
        <v>15066.716615989268</v>
      </c>
      <c r="G5" s="18"/>
      <c r="H5" s="17"/>
      <c r="I5" s="17"/>
      <c r="J5" s="17">
        <f>SUM(J6:J15)</f>
        <v>5.691858483833145</v>
      </c>
      <c r="K5" s="17"/>
      <c r="L5" s="17"/>
      <c r="M5" s="17"/>
      <c r="N5" s="17">
        <f>SUM(N6:N15)</f>
        <v>2058.0381151094944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1791.83543313984</v>
      </c>
      <c r="C8" s="33"/>
      <c r="D8" s="37">
        <f>IF( ISERROR(IND_metaal_Gas_kWH/1000),0,IND_metaal_Gas_kWH/1000)*0.903</f>
        <v>1242.8629784064765</v>
      </c>
      <c r="E8" s="33">
        <f>C30*'E Balans VL '!I18/100/3.6*1000000</f>
        <v>9.7675743961696995</v>
      </c>
      <c r="F8" s="33">
        <f>C30*'E Balans VL '!L18/100/3.6*1000000+C30*'E Balans VL '!N18/100/3.6*1000000</f>
        <v>115.39433875943678</v>
      </c>
      <c r="G8" s="34"/>
      <c r="H8" s="33"/>
      <c r="I8" s="33"/>
      <c r="J8" s="40">
        <f>C30*'E Balans VL '!D18/100/3.6*1000000+C30*'E Balans VL '!E18/100/3.6*1000000</f>
        <v>1.4677317849750835</v>
      </c>
      <c r="K8" s="33"/>
      <c r="L8" s="33"/>
      <c r="M8" s="33"/>
      <c r="N8" s="33">
        <f>C30*'E Balans VL '!Y18/100/3.6*1000000</f>
        <v>38.711420493691243</v>
      </c>
      <c r="O8" s="33"/>
      <c r="P8" s="33"/>
      <c r="R8" s="32"/>
    </row>
    <row r="9" spans="1:18">
      <c r="A9" s="6" t="s">
        <v>32</v>
      </c>
      <c r="B9" s="37">
        <f t="shared" si="0"/>
        <v>22289.349945833499</v>
      </c>
      <c r="C9" s="33"/>
      <c r="D9" s="37">
        <f>IF( ISERROR(IND_andere_gas_kWh/1000),0,IND_andere_gas_kWh/1000)*0.903</f>
        <v>3134.5496593947119</v>
      </c>
      <c r="E9" s="33">
        <f>C31*'E Balans VL '!I19/100/3.6*1000000</f>
        <v>71.953817513831126</v>
      </c>
      <c r="F9" s="33">
        <f>C31*'E Balans VL '!L19/100/3.6*1000000+C31*'E Balans VL '!N19/100/3.6*1000000</f>
        <v>14412.468647742</v>
      </c>
      <c r="G9" s="34"/>
      <c r="H9" s="33"/>
      <c r="I9" s="33"/>
      <c r="J9" s="40">
        <f>C31*'E Balans VL '!D19/100/3.6*1000000+C31*'E Balans VL '!E19/100/3.6*1000000</f>
        <v>0</v>
      </c>
      <c r="K9" s="33"/>
      <c r="L9" s="33"/>
      <c r="M9" s="33"/>
      <c r="N9" s="33">
        <f>C31*'E Balans VL '!Y19/100/3.6*1000000</f>
        <v>900.68688485398229</v>
      </c>
      <c r="O9" s="33"/>
      <c r="P9" s="33"/>
      <c r="R9" s="32"/>
    </row>
    <row r="10" spans="1:18">
      <c r="A10" s="6" t="s">
        <v>40</v>
      </c>
      <c r="B10" s="37">
        <f t="shared" si="0"/>
        <v>26923.1848794978</v>
      </c>
      <c r="C10" s="33"/>
      <c r="D10" s="37">
        <f>IF( ISERROR(IND_voed_gas_kWh/1000),0,IND_voed_gas_kWh/1000)*0.903</f>
        <v>12481.033855437376</v>
      </c>
      <c r="E10" s="33">
        <f>C32*'E Balans VL '!I20/100/3.6*1000000</f>
        <v>56.437593668174735</v>
      </c>
      <c r="F10" s="33">
        <f>C32*'E Balans VL '!L20/100/3.6*1000000+C32*'E Balans VL '!N20/100/3.6*1000000</f>
        <v>524.55668467221687</v>
      </c>
      <c r="G10" s="34"/>
      <c r="H10" s="33"/>
      <c r="I10" s="33"/>
      <c r="J10" s="40">
        <f>C32*'E Balans VL '!D20/100/3.6*1000000+C32*'E Balans VL '!E20/100/3.6*1000000</f>
        <v>0</v>
      </c>
      <c r="K10" s="33"/>
      <c r="L10" s="33"/>
      <c r="M10" s="33"/>
      <c r="N10" s="33">
        <f>C32*'E Balans VL '!Y20/100/3.6*1000000</f>
        <v>1070.9296524985568</v>
      </c>
      <c r="O10" s="33"/>
      <c r="P10" s="33"/>
      <c r="R10" s="32"/>
    </row>
    <row r="11" spans="1:18">
      <c r="A11" s="6" t="s">
        <v>39</v>
      </c>
      <c r="B11" s="37">
        <f t="shared" si="0"/>
        <v>10.609863834144601</v>
      </c>
      <c r="C11" s="33"/>
      <c r="D11" s="37">
        <f>IF( ISERROR(IND_textiel_gas_kWh/1000),0,IND_textiel_gas_kWh/1000)*0.903</f>
        <v>0</v>
      </c>
      <c r="E11" s="33">
        <f>C33*'E Balans VL '!I21/100/3.6*1000000</f>
        <v>9.1167370551369017E-3</v>
      </c>
      <c r="F11" s="33">
        <f>C33*'E Balans VL '!L21/100/3.6*1000000+C33*'E Balans VL '!N21/100/3.6*1000000</f>
        <v>0.22244680707108905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87.055506055920404</v>
      </c>
      <c r="C12" s="33"/>
      <c r="D12" s="37">
        <f>IF( ISERROR(IND_min_gas_kWh/1000),0,IND_min_gas_kWh/1000)*0.903</f>
        <v>0</v>
      </c>
      <c r="E12" s="33">
        <f>C34*'E Balans VL '!I22/100/3.6*1000000</f>
        <v>1.4246684829729357</v>
      </c>
      <c r="F12" s="33">
        <f>C34*'E Balans VL '!L22/100/3.6*1000000+C34*'E Balans VL '!N22/100/3.6*1000000</f>
        <v>13.287658685843525</v>
      </c>
      <c r="G12" s="34"/>
      <c r="H12" s="33"/>
      <c r="I12" s="33"/>
      <c r="J12" s="40">
        <f>C34*'E Balans VL '!D22/100/3.6*1000000+C34*'E Balans VL '!E22/100/3.6*1000000</f>
        <v>3.1154175827304367</v>
      </c>
      <c r="K12" s="33"/>
      <c r="L12" s="33"/>
      <c r="M12" s="33"/>
      <c r="N12" s="33">
        <f>C34*'E Balans VL '!Y22/100/3.6*1000000</f>
        <v>47.708264972820324</v>
      </c>
      <c r="O12" s="33"/>
      <c r="P12" s="33"/>
      <c r="R12" s="32"/>
    </row>
    <row r="13" spans="1:18">
      <c r="A13" s="6" t="s">
        <v>38</v>
      </c>
      <c r="B13" s="37">
        <f t="shared" si="0"/>
        <v>5605.02451707808</v>
      </c>
      <c r="C13" s="33"/>
      <c r="D13" s="37">
        <f>IF( ISERROR(IND_papier_gas_kWh/1000),0,IND_papier_gas_kWh/1000)*0.903</f>
        <v>17401.731957310829</v>
      </c>
      <c r="E13" s="33">
        <f>C35*'E Balans VL '!I23/100/3.6*1000000</f>
        <v>0</v>
      </c>
      <c r="F13" s="33">
        <f>C35*'E Balans VL '!L23/100/3.6*1000000+C35*'E Balans VL '!N23/100/3.6*1000000</f>
        <v>0.75081070482812251</v>
      </c>
      <c r="G13" s="34"/>
      <c r="H13" s="33"/>
      <c r="I13" s="33"/>
      <c r="J13" s="40">
        <f>C35*'E Balans VL '!D23/100/3.6*1000000+C35*'E Balans VL '!E23/100/3.6*1000000</f>
        <v>1.1087091161276252</v>
      </c>
      <c r="K13" s="33"/>
      <c r="L13" s="33"/>
      <c r="M13" s="33"/>
      <c r="N13" s="33">
        <f>C35*'E Balans VL '!Y23/100/3.6*1000000</f>
        <v>0</v>
      </c>
      <c r="O13" s="33"/>
      <c r="P13" s="33"/>
      <c r="R13" s="32"/>
    </row>
    <row r="14" spans="1:18">
      <c r="A14" s="6" t="s">
        <v>33</v>
      </c>
      <c r="B14" s="37">
        <f t="shared" si="0"/>
        <v>5.4227613882192003</v>
      </c>
      <c r="C14" s="33"/>
      <c r="D14" s="37">
        <f>IF( ISERROR(IND_chemie_gas_kWh/1000),0,IND_chemie_gas_kWh/1000)*0.903</f>
        <v>18.875126382988231</v>
      </c>
      <c r="E14" s="33">
        <f>C36*'E Balans VL '!I24/100/3.6*1000000</f>
        <v>1.1324425774704669</v>
      </c>
      <c r="F14" s="33">
        <f>C36*'E Balans VL '!L24/100/3.6*1000000+C36*'E Balans VL '!N24/100/3.6*1000000</f>
        <v>3.6028617868541668E-2</v>
      </c>
      <c r="G14" s="34"/>
      <c r="H14" s="33"/>
      <c r="I14" s="33"/>
      <c r="J14" s="40">
        <f>C36*'E Balans VL '!D24/100/3.6*1000000+C36*'E Balans VL '!E24/100/3.6*1000000</f>
        <v>0</v>
      </c>
      <c r="K14" s="33"/>
      <c r="L14" s="33"/>
      <c r="M14" s="33"/>
      <c r="N14" s="33">
        <f>C36*'E Balans VL '!Y24/100/3.6*1000000</f>
        <v>1.8922904435986307E-3</v>
      </c>
      <c r="O14" s="33"/>
      <c r="P14" s="33"/>
      <c r="R14" s="32"/>
    </row>
    <row r="15" spans="1:18">
      <c r="A15" s="6" t="s">
        <v>265</v>
      </c>
      <c r="B15" s="37">
        <f t="shared" si="0"/>
        <v>0</v>
      </c>
      <c r="C15" s="33"/>
      <c r="D15" s="37">
        <f>IF( ISERROR(IND_rest_gas_kWh/1000),0,IND_rest_gas_kWh/1000)*0.903</f>
        <v>33.386663722232107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56712.482906827507</v>
      </c>
      <c r="C18" s="21">
        <f>C5+C16</f>
        <v>0</v>
      </c>
      <c r="D18" s="21">
        <f>MAX((D5+D16),0)</f>
        <v>34312.440240654614</v>
      </c>
      <c r="E18" s="21">
        <f>MAX((E5+E16),0)</f>
        <v>140.72521337567412</v>
      </c>
      <c r="F18" s="21">
        <f>MAX((F5+F16),0)</f>
        <v>15066.716615989268</v>
      </c>
      <c r="G18" s="21"/>
      <c r="H18" s="21"/>
      <c r="I18" s="21"/>
      <c r="J18" s="21">
        <f>MAX((J5+J16),0)</f>
        <v>5.691858483833145</v>
      </c>
      <c r="K18" s="21"/>
      <c r="L18" s="21">
        <f>MAX((L5+L16),0)</f>
        <v>0</v>
      </c>
      <c r="M18" s="21"/>
      <c r="N18" s="21">
        <f>MAX((N5+N16),0)</f>
        <v>2058.0381151094944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0.16846514437840604</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9554.0766209565809</v>
      </c>
      <c r="C22" s="23">
        <f ca="1">C18*C20</f>
        <v>0</v>
      </c>
      <c r="D22" s="23">
        <f>D18*D20</f>
        <v>6931.1129286122323</v>
      </c>
      <c r="E22" s="23">
        <f>E18*E20</f>
        <v>31.944623436278025</v>
      </c>
      <c r="F22" s="23">
        <f>F18*F20</f>
        <v>4022.8133364691348</v>
      </c>
      <c r="G22" s="23"/>
      <c r="H22" s="23"/>
      <c r="I22" s="23"/>
      <c r="J22" s="23">
        <f>J18*J20</f>
        <v>2.0149179032769333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1791.83543313984</v>
      </c>
      <c r="C30" s="39">
        <f>IF(ISERROR(B30*3.6/1000000/'E Balans VL '!Z18*100),0,B30*3.6/1000000/'E Balans VL '!Z18*100)</f>
        <v>0.1078994164980665</v>
      </c>
      <c r="D30" s="233" t="s">
        <v>841</v>
      </c>
    </row>
    <row r="31" spans="1:18" ht="30">
      <c r="A31" s="6" t="s">
        <v>32</v>
      </c>
      <c r="B31" s="37">
        <f>IF( ISERROR(IND_ander_ele_kWh/1000),0,IND_ander_ele_kWh/1000)</f>
        <v>22289.349945833499</v>
      </c>
      <c r="C31" s="39">
        <f>IF(ISERROR(B31*3.6/1000000/'E Balans VL '!Z19*100),0,B31*3.6/1000000/'E Balans VL '!Z19*100)</f>
        <v>0.90811426105798565</v>
      </c>
      <c r="D31" s="233" t="s">
        <v>841</v>
      </c>
    </row>
    <row r="32" spans="1:18" ht="30">
      <c r="A32" s="168" t="s">
        <v>40</v>
      </c>
      <c r="B32" s="37">
        <f>IF( ISERROR(IND_voed_ele_kWh/1000),0,IND_voed_ele_kWh/1000)</f>
        <v>26923.1848794978</v>
      </c>
      <c r="C32" s="39">
        <f>IF(ISERROR(B32*3.6/1000000/'E Balans VL '!Z20*100),0,B32*3.6/1000000/'E Balans VL '!Z20*100)</f>
        <v>0.7784576218582242</v>
      </c>
      <c r="D32" s="233" t="s">
        <v>841</v>
      </c>
    </row>
    <row r="33" spans="1:5" ht="30">
      <c r="A33" s="168" t="s">
        <v>39</v>
      </c>
      <c r="B33" s="37">
        <f>IF( ISERROR(IND_textiel_ele_kWh/1000),0,IND_textiel_ele_kWh/1000)</f>
        <v>10.609863834144601</v>
      </c>
      <c r="C33" s="39">
        <f>IF(ISERROR(B33*3.6/1000000/'E Balans VL '!Z21*100),0,B33*3.6/1000000/'E Balans VL '!Z21*100)</f>
        <v>1.744830058399407E-3</v>
      </c>
      <c r="D33" s="233" t="s">
        <v>841</v>
      </c>
    </row>
    <row r="34" spans="1:5" ht="30">
      <c r="A34" s="168" t="s">
        <v>36</v>
      </c>
      <c r="B34" s="37">
        <f>IF( ISERROR(IND_min_ele_kWh/1000),0,IND_min_ele_kWh/1000)</f>
        <v>87.055506055920404</v>
      </c>
      <c r="C34" s="39">
        <f>IF(ISERROR(B34*3.6/1000000/'E Balans VL '!Z22*100),0,B34*3.6/1000000/'E Balans VL '!Z22*100)</f>
        <v>3.7171892144470239E-2</v>
      </c>
      <c r="D34" s="233" t="s">
        <v>841</v>
      </c>
    </row>
    <row r="35" spans="1:5" ht="30">
      <c r="A35" s="168" t="s">
        <v>38</v>
      </c>
      <c r="B35" s="37">
        <f>IF( ISERROR(IND_papier_ele_kWh/1000),0,IND_papier_ele_kWh/1000)</f>
        <v>5605.02451707808</v>
      </c>
      <c r="C35" s="39">
        <f>IF(ISERROR(B35*3.6/1000000/'E Balans VL '!Z22*100),0,B35*3.6/1000000/'E Balans VL '!Z22*100)</f>
        <v>2.3932933855108924</v>
      </c>
      <c r="D35" s="233" t="s">
        <v>841</v>
      </c>
    </row>
    <row r="36" spans="1:5" ht="30">
      <c r="A36" s="168" t="s">
        <v>33</v>
      </c>
      <c r="B36" s="37">
        <f>IF( ISERROR(IND_chemie_ele_kWh/1000),0,IND_chemie_ele_kWh/1000)</f>
        <v>5.4227613882192003</v>
      </c>
      <c r="C36" s="39">
        <f>IF(ISERROR(B36*3.6/1000000/'E Balans VL '!Z24*100),0,B36*3.6/1000000/'E Balans VL '!Z24*100)</f>
        <v>1.6454699509553403E-4</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794.52747561914407</v>
      </c>
      <c r="C5" s="17">
        <f>'Eigen informatie GS &amp; warmtenet'!B62</f>
        <v>0</v>
      </c>
      <c r="D5" s="30">
        <f>IF(ISERROR(SUM(LB_lb_gas_kWh,LB_rest_gas_kWh)/1000),0,SUM(LB_lb_gas_kWh,LB_rest_gas_kWh)/1000)*0.903</f>
        <v>7136.930860425935</v>
      </c>
      <c r="E5" s="17">
        <f>B17*'E Balans VL '!I25/3.6*1000000/100</f>
        <v>22.756611488387225</v>
      </c>
      <c r="F5" s="17">
        <f>B17*('E Balans VL '!L25/3.6*1000000+'E Balans VL '!N25/3.6*1000000)/100</f>
        <v>2515.0635644603822</v>
      </c>
      <c r="G5" s="18"/>
      <c r="H5" s="17"/>
      <c r="I5" s="17"/>
      <c r="J5" s="17">
        <f>('E Balans VL '!D25+'E Balans VL '!E25)/3.6*1000000*landbouw!B17/100</f>
        <v>202.02338698670661</v>
      </c>
      <c r="K5" s="17"/>
      <c r="L5" s="17">
        <f>L6*(-1)</f>
        <v>0</v>
      </c>
      <c r="M5" s="17"/>
      <c r="N5" s="17">
        <f>N6*(-1)</f>
        <v>14541.428571428572</v>
      </c>
      <c r="O5" s="17"/>
      <c r="P5" s="17"/>
      <c r="R5" s="32"/>
    </row>
    <row r="6" spans="1:18">
      <c r="A6" s="16" t="s">
        <v>473</v>
      </c>
      <c r="B6" s="17" t="s">
        <v>210</v>
      </c>
      <c r="C6" s="17">
        <f>'lokale energieproductie'!O40+'lokale energieproductie'!O33</f>
        <v>7270.7142857142862</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-14541.428571428572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794.52747561914407</v>
      </c>
      <c r="C8" s="21">
        <f>C5+C6</f>
        <v>7270.7142857142862</v>
      </c>
      <c r="D8" s="21">
        <f>MAX((D5+D6),0)</f>
        <v>7136.930860425935</v>
      </c>
      <c r="E8" s="21">
        <f>MAX((E5+E6),0)</f>
        <v>22.756611488387225</v>
      </c>
      <c r="F8" s="21">
        <f>MAX((F5+F6),0)</f>
        <v>2515.0635644603822</v>
      </c>
      <c r="G8" s="21"/>
      <c r="H8" s="21"/>
      <c r="I8" s="21"/>
      <c r="J8" s="21">
        <f>MAX((J5+J6),0)</f>
        <v>202.02338698670661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0.16846514437840604</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133.8501858927896</v>
      </c>
      <c r="C12" s="23">
        <f ca="1">C8*C10</f>
        <v>760.4311764705883</v>
      </c>
      <c r="D12" s="23">
        <f>D8*D10</f>
        <v>1441.6600338060389</v>
      </c>
      <c r="E12" s="23">
        <f>E8*E10</f>
        <v>5.1657508078639003</v>
      </c>
      <c r="F12" s="23">
        <f>F8*F10</f>
        <v>671.52197171092212</v>
      </c>
      <c r="G12" s="23"/>
      <c r="H12" s="23"/>
      <c r="I12" s="23"/>
      <c r="J12" s="23">
        <f>J8*J10</f>
        <v>71.516278993294137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0.11002403112039794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82.629623545242268</v>
      </c>
      <c r="C26" s="243">
        <f>B26*'GWP N2O_CH4'!B5</f>
        <v>1735.2220944500875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23.21357033404751</v>
      </c>
      <c r="C27" s="243">
        <f>B27*'GWP N2O_CH4'!B5</f>
        <v>487.4849770149977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1.170015881633562</v>
      </c>
      <c r="C28" s="243">
        <f>B28*'GWP N2O_CH4'!B4</f>
        <v>362.70492330640423</v>
      </c>
      <c r="D28" s="50"/>
    </row>
    <row r="29" spans="1:4">
      <c r="A29" s="41" t="s">
        <v>272</v>
      </c>
      <c r="B29" s="243">
        <f>B34*'ha_N2O bodem landbouw'!B4</f>
        <v>10.63174458354948</v>
      </c>
      <c r="C29" s="243">
        <f>B29*'GWP N2O_CH4'!B4</f>
        <v>3295.8408209003387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2.4153420900972777E-3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5.2587269960616264E-3</v>
      </c>
      <c r="C5" s="434" t="s">
        <v>210</v>
      </c>
      <c r="D5" s="419">
        <f>SUM(D6:D11)</f>
        <v>9.1975519236048055E-3</v>
      </c>
      <c r="E5" s="419">
        <f>SUM(E6:E11)</f>
        <v>3.8220337322024084E-3</v>
      </c>
      <c r="F5" s="432" t="s">
        <v>210</v>
      </c>
      <c r="G5" s="419">
        <f>SUM(G6:G11)</f>
        <v>1.5765050607181712</v>
      </c>
      <c r="H5" s="419">
        <f>SUM(H6:H11)</f>
        <v>0.45605664262323592</v>
      </c>
      <c r="I5" s="434" t="s">
        <v>210</v>
      </c>
      <c r="J5" s="434" t="s">
        <v>210</v>
      </c>
      <c r="K5" s="434" t="s">
        <v>210</v>
      </c>
      <c r="L5" s="434" t="s">
        <v>210</v>
      </c>
      <c r="M5" s="419">
        <f>SUM(M6:M11)</f>
        <v>0.12285071034867509</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1.8592149858364655E-3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3.0998436148256163E-3</v>
      </c>
      <c r="E6" s="886">
        <f>vkm_GW_PW*SUMIFS(TableVerdeelsleutelVkm[LPG],TableVerdeelsleutelVkm[Voertuigtype],"Lichte voertuigen")*SUMIFS(TableECFTransport[EnergieConsumptieFactor (PJ per km)],TableECFTransport[Index],CONCATENATE($A6,"_LPG_LPG"))</f>
        <v>1.2289619158798591E-3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0.36933392778626267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0.15202175636037088</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3.1983633698199551E-2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5.2007800312688452E-6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0.20616219854696691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1.5211786155759282E-6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1.1837484790561289E-2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1.4966628265620002E-3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3.4175595511675783E-3</v>
      </c>
      <c r="E8" s="422">
        <f>vkm_NGW_PW*SUMIFS(TableVerdeelsleutelVkm[LPG],TableVerdeelsleutelVkm[Voertuigtype],"Lichte voertuigen")*SUMIFS(TableECFTransport[EnergieConsumptieFactor (PJ per km)],TableECFTransport[Index],CONCATENATE($A8,"_LPG_LPG"))</f>
        <v>1.297323200339374E-3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0.35712723634819399</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0.16603815518098181</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3.2276418816045906E-2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1.9963506644199084E-6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0.10190934263136772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7.0479854837459157E-7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5.8514587682511271E-3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1.8905939824042492E-3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2.6801487576116104E-3</v>
      </c>
      <c r="E10" s="422">
        <f>vkm_SW_PW*SUMIFS(TableVerdeelsleutelVkm[LPG],TableVerdeelsleutelVkm[Voertuigtype],"Lichte voertuigen")*SUMIFS(TableECFTransport[EnergieConsumptieFactor (PJ per km)],TableECFTransport[Index],CONCATENATE($A10,"_LPG_LPG"))</f>
        <v>1.2957486159831753E-3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0.35328195655185085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0.13799298236018578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3.0067421425807577E-2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5.0580705632224274E-6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0.18869039885352912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1.5227445335191335E-6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1.0834292849809621E-2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1460.7574989060074</v>
      </c>
      <c r="C14" s="21"/>
      <c r="D14" s="21">
        <f t="shared" ref="D14:M14" si="0">((D5)*10^9/3600)+D12</f>
        <v>2554.8755343346679</v>
      </c>
      <c r="E14" s="21">
        <f t="shared" si="0"/>
        <v>1061.6760367228912</v>
      </c>
      <c r="F14" s="21"/>
      <c r="G14" s="21">
        <f t="shared" si="0"/>
        <v>437918.0724217142</v>
      </c>
      <c r="H14" s="21">
        <f t="shared" si="0"/>
        <v>126682.40072867666</v>
      </c>
      <c r="I14" s="21"/>
      <c r="J14" s="21"/>
      <c r="K14" s="21"/>
      <c r="L14" s="21"/>
      <c r="M14" s="21">
        <f t="shared" si="0"/>
        <v>34125.197319076411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0.16846514437840604</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246.08672295503985</v>
      </c>
      <c r="C18" s="23"/>
      <c r="D18" s="23">
        <f t="shared" ref="D18:M18" si="1">D14*D16</f>
        <v>516.08485793560294</v>
      </c>
      <c r="E18" s="23">
        <f t="shared" si="1"/>
        <v>241.00046033609632</v>
      </c>
      <c r="F18" s="23"/>
      <c r="G18" s="23">
        <f t="shared" si="1"/>
        <v>116924.1253365977</v>
      </c>
      <c r="H18" s="23">
        <f t="shared" si="1"/>
        <v>31543.917781440487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2.0047911466113976E-4</v>
      </c>
      <c r="C50" s="315">
        <f t="shared" ref="C50:P50" si="2">SUM(C51:C52)</f>
        <v>0</v>
      </c>
      <c r="D50" s="315">
        <f t="shared" si="2"/>
        <v>0</v>
      </c>
      <c r="E50" s="315">
        <f t="shared" si="2"/>
        <v>0</v>
      </c>
      <c r="F50" s="315">
        <f t="shared" si="2"/>
        <v>0</v>
      </c>
      <c r="G50" s="315">
        <f t="shared" si="2"/>
        <v>1.2550598668599346E-2</v>
      </c>
      <c r="H50" s="315">
        <f t="shared" si="2"/>
        <v>0</v>
      </c>
      <c r="I50" s="315">
        <f t="shared" si="2"/>
        <v>0</v>
      </c>
      <c r="J50" s="315">
        <f t="shared" si="2"/>
        <v>0</v>
      </c>
      <c r="K50" s="315">
        <f t="shared" si="2"/>
        <v>0</v>
      </c>
      <c r="L50" s="315">
        <f t="shared" si="2"/>
        <v>0</v>
      </c>
      <c r="M50" s="315">
        <f t="shared" si="2"/>
        <v>7.2062758560319815E-4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2.0047911466113976E-4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1.2550598668599346E-2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7.2062758560319815E-4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55.688642961427711</v>
      </c>
      <c r="C54" s="21">
        <f t="shared" ref="C54:P54" si="3">(C50)*10^9/3600</f>
        <v>0</v>
      </c>
      <c r="D54" s="21">
        <f t="shared" si="3"/>
        <v>0</v>
      </c>
      <c r="E54" s="21">
        <f t="shared" si="3"/>
        <v>0</v>
      </c>
      <c r="F54" s="21">
        <f t="shared" si="3"/>
        <v>0</v>
      </c>
      <c r="G54" s="21">
        <f t="shared" si="3"/>
        <v>3486.2774079442624</v>
      </c>
      <c r="H54" s="21">
        <f t="shared" si="3"/>
        <v>0</v>
      </c>
      <c r="I54" s="21">
        <f t="shared" si="3"/>
        <v>0</v>
      </c>
      <c r="J54" s="21">
        <f t="shared" si="3"/>
        <v>0</v>
      </c>
      <c r="K54" s="21">
        <f t="shared" si="3"/>
        <v>0</v>
      </c>
      <c r="L54" s="21">
        <f t="shared" si="3"/>
        <v>0</v>
      </c>
      <c r="M54" s="21">
        <f t="shared" si="3"/>
        <v>200.17432933422171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0.16846514437840604</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9.3815952767344246</v>
      </c>
      <c r="C58" s="23">
        <f t="shared" ref="C58:P58" ca="1" si="4">C54*C56</f>
        <v>0</v>
      </c>
      <c r="D58" s="23">
        <f t="shared" si="4"/>
        <v>0</v>
      </c>
      <c r="E58" s="23">
        <f t="shared" si="4"/>
        <v>0</v>
      </c>
      <c r="F58" s="23">
        <f t="shared" si="4"/>
        <v>0</v>
      </c>
      <c r="G58" s="23">
        <f t="shared" si="4"/>
        <v>930.83606792111812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33510.622794506264</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8764.5501994063961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9090</v>
      </c>
      <c r="C8" s="545">
        <f>B49</f>
        <v>4706.4705882352937</v>
      </c>
      <c r="D8" s="546"/>
      <c r="E8" s="546">
        <f>E49</f>
        <v>0</v>
      </c>
      <c r="F8" s="547"/>
      <c r="G8" s="548"/>
      <c r="H8" s="546">
        <f>I49</f>
        <v>0</v>
      </c>
      <c r="I8" s="546">
        <f>G49+F49</f>
        <v>0</v>
      </c>
      <c r="J8" s="546">
        <f>H49+D49+C49</f>
        <v>5987.6470588235297</v>
      </c>
      <c r="K8" s="546"/>
      <c r="L8" s="546"/>
      <c r="M8" s="546"/>
      <c r="N8" s="549"/>
      <c r="O8" s="550">
        <f>C8*$C$12+D8*$D$12+E8*$E$12+F8*$F$12+G8*$G$12+H8*$H$12+I8*$I$12+J8*$J$12</f>
        <v>950.70705882352934</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51365.17299391266</v>
      </c>
      <c r="C10" s="560">
        <f t="shared" ref="C10:L10" si="0">SUM(C8:C9)</f>
        <v>4706.4705882352937</v>
      </c>
      <c r="D10" s="560">
        <f t="shared" si="0"/>
        <v>0</v>
      </c>
      <c r="E10" s="560">
        <f t="shared" si="0"/>
        <v>0</v>
      </c>
      <c r="F10" s="560">
        <f t="shared" si="0"/>
        <v>0</v>
      </c>
      <c r="G10" s="560">
        <f t="shared" si="0"/>
        <v>0</v>
      </c>
      <c r="H10" s="560">
        <f t="shared" si="0"/>
        <v>0</v>
      </c>
      <c r="I10" s="560">
        <f t="shared" si="0"/>
        <v>0</v>
      </c>
      <c r="J10" s="560">
        <f t="shared" si="0"/>
        <v>5987.6470588235297</v>
      </c>
      <c r="K10" s="560">
        <f t="shared" si="0"/>
        <v>0</v>
      </c>
      <c r="L10" s="560">
        <f t="shared" si="0"/>
        <v>0</v>
      </c>
      <c r="M10" s="961"/>
      <c r="N10" s="961"/>
      <c r="O10" s="561">
        <f>SUM(O4:O9)</f>
        <v>950.70705882352934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12985.714285714286</v>
      </c>
      <c r="C17" s="576">
        <f>B50</f>
        <v>6723.5294117647063</v>
      </c>
      <c r="D17" s="577"/>
      <c r="E17" s="577">
        <f>E50</f>
        <v>0</v>
      </c>
      <c r="F17" s="578"/>
      <c r="G17" s="579"/>
      <c r="H17" s="576">
        <f>I50</f>
        <v>0</v>
      </c>
      <c r="I17" s="577">
        <f>G50+F50</f>
        <v>0</v>
      </c>
      <c r="J17" s="577">
        <f>H50+D50+C50</f>
        <v>8553.7815126050427</v>
      </c>
      <c r="K17" s="577"/>
      <c r="L17" s="577"/>
      <c r="M17" s="577"/>
      <c r="N17" s="962"/>
      <c r="O17" s="580">
        <f>C17*$C$22+E17*$E$22+H17*$H$22+I17*$I$22+J17*$J$22+D17*$D$22+F17*$F$22+G17*$G$22+K17*$K$22+L17*$L$22</f>
        <v>1358.1529411764707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12985.714285714286</v>
      </c>
      <c r="C20" s="559">
        <f>SUM(C17:C19)</f>
        <v>6723.5294117647063</v>
      </c>
      <c r="D20" s="559">
        <f t="shared" ref="D20:L20" si="1">SUM(D17:D19)</f>
        <v>0</v>
      </c>
      <c r="E20" s="559">
        <f t="shared" si="1"/>
        <v>0</v>
      </c>
      <c r="F20" s="559">
        <f t="shared" si="1"/>
        <v>0</v>
      </c>
      <c r="G20" s="559">
        <f t="shared" si="1"/>
        <v>0</v>
      </c>
      <c r="H20" s="559">
        <f t="shared" si="1"/>
        <v>0</v>
      </c>
      <c r="I20" s="559">
        <f t="shared" si="1"/>
        <v>0</v>
      </c>
      <c r="J20" s="559">
        <f t="shared" si="1"/>
        <v>8553.7815126050427</v>
      </c>
      <c r="K20" s="559">
        <f t="shared" si="1"/>
        <v>0</v>
      </c>
      <c r="L20" s="559">
        <f t="shared" si="1"/>
        <v>0</v>
      </c>
      <c r="M20" s="559"/>
      <c r="N20" s="559"/>
      <c r="O20" s="585">
        <f>SUM(O17:O19)</f>
        <v>1358.1529411764707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23027</v>
      </c>
      <c r="C28" s="787">
        <v>1500</v>
      </c>
      <c r="D28" s="637" t="s">
        <v>874</v>
      </c>
      <c r="E28" s="636" t="s">
        <v>875</v>
      </c>
      <c r="F28" s="636" t="s">
        <v>876</v>
      </c>
      <c r="G28" s="636" t="s">
        <v>877</v>
      </c>
      <c r="H28" s="636" t="s">
        <v>878</v>
      </c>
      <c r="I28" s="636" t="s">
        <v>875</v>
      </c>
      <c r="J28" s="786">
        <v>40101</v>
      </c>
      <c r="K28" s="786">
        <v>40101</v>
      </c>
      <c r="L28" s="636" t="s">
        <v>879</v>
      </c>
      <c r="M28" s="636">
        <v>1131</v>
      </c>
      <c r="N28" s="636">
        <v>5089.5</v>
      </c>
      <c r="O28" s="636">
        <v>7270.7142857142862</v>
      </c>
      <c r="P28" s="636">
        <v>0</v>
      </c>
      <c r="Q28" s="636">
        <v>14541.428571428572</v>
      </c>
      <c r="R28" s="636">
        <v>0</v>
      </c>
      <c r="S28" s="636">
        <v>0</v>
      </c>
      <c r="T28" s="636">
        <v>0</v>
      </c>
      <c r="U28" s="636">
        <v>0</v>
      </c>
      <c r="V28" s="636">
        <v>0</v>
      </c>
      <c r="W28" s="636">
        <v>0</v>
      </c>
      <c r="X28" s="636">
        <v>10</v>
      </c>
      <c r="Y28" s="636" t="s">
        <v>111</v>
      </c>
      <c r="Z28" s="638" t="s">
        <v>111</v>
      </c>
    </row>
    <row r="29" spans="1:26" s="590" customFormat="1" ht="25.5">
      <c r="A29" s="589"/>
      <c r="B29" s="787">
        <v>23027</v>
      </c>
      <c r="C29" s="787">
        <v>1500</v>
      </c>
      <c r="D29" s="637"/>
      <c r="E29" s="636"/>
      <c r="F29" s="636" t="s">
        <v>880</v>
      </c>
      <c r="G29" s="636" t="s">
        <v>877</v>
      </c>
      <c r="H29" s="636" t="s">
        <v>878</v>
      </c>
      <c r="I29" s="636" t="s">
        <v>881</v>
      </c>
      <c r="J29" s="786">
        <v>42234</v>
      </c>
      <c r="K29" s="786">
        <v>42257</v>
      </c>
      <c r="L29" s="636" t="s">
        <v>879</v>
      </c>
      <c r="M29" s="636">
        <v>889</v>
      </c>
      <c r="N29" s="636">
        <v>4000.5</v>
      </c>
      <c r="O29" s="636">
        <v>5715</v>
      </c>
      <c r="P29" s="636">
        <v>11430</v>
      </c>
      <c r="Q29" s="636">
        <v>0</v>
      </c>
      <c r="R29" s="636">
        <v>0</v>
      </c>
      <c r="S29" s="636">
        <v>0</v>
      </c>
      <c r="T29" s="636">
        <v>0</v>
      </c>
      <c r="U29" s="636">
        <v>0</v>
      </c>
      <c r="V29" s="636">
        <v>0</v>
      </c>
      <c r="W29" s="636">
        <v>0</v>
      </c>
      <c r="X29" s="636">
        <v>1100</v>
      </c>
      <c r="Y29" s="636" t="s">
        <v>51</v>
      </c>
      <c r="Z29" s="638" t="s">
        <v>155</v>
      </c>
    </row>
    <row r="30" spans="1:26" s="570" customFormat="1">
      <c r="A30" s="592" t="s">
        <v>275</v>
      </c>
      <c r="B30" s="593"/>
      <c r="C30" s="593"/>
      <c r="D30" s="593"/>
      <c r="E30" s="593"/>
      <c r="F30" s="593"/>
      <c r="G30" s="593"/>
      <c r="H30" s="593"/>
      <c r="I30" s="593"/>
      <c r="J30" s="593"/>
      <c r="K30" s="593"/>
      <c r="L30" s="594"/>
      <c r="M30" s="594">
        <f>SUM(M28:M29)</f>
        <v>2020</v>
      </c>
      <c r="N30" s="594">
        <f>SUM(N28:N29)</f>
        <v>9090</v>
      </c>
      <c r="O30" s="594">
        <f>SUM(O28:O29)</f>
        <v>12985.714285714286</v>
      </c>
      <c r="P30" s="594">
        <f>SUM(P28:P29)</f>
        <v>11430</v>
      </c>
      <c r="Q30" s="594">
        <f>SUM(Q28:Q29)</f>
        <v>14541.428571428572</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889</v>
      </c>
      <c r="N32" s="594">
        <f ca="1">SUMIF($Z$28:AD29,"tertiair",N28:N29)</f>
        <v>4000.5</v>
      </c>
      <c r="O32" s="594">
        <f ca="1">SUMIF($Z$28:AE29,"tertiair",O28:O29)</f>
        <v>5715</v>
      </c>
      <c r="P32" s="594">
        <f ca="1">SUMIF($Z$28:AF29,"tertiair",P28:P29)</f>
        <v>11430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1131</v>
      </c>
      <c r="N33" s="599">
        <f>SUMIF($Z$28:$Z$29,"landbouw",N28:N29)</f>
        <v>5089.5</v>
      </c>
      <c r="O33" s="599">
        <f>SUMIF($Z$28:$Z$29,"landbouw",O28:O29)</f>
        <v>7270.7142857142862</v>
      </c>
      <c r="P33" s="599">
        <f>SUMIF($Z$28:$Z$29,"landbouw",P28:P29)</f>
        <v>0</v>
      </c>
      <c r="Q33" s="599">
        <f>SUMIF($Z$28:$Z$29,"landbouw",Q28:Q29)</f>
        <v>14541.428571428572</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4706.4705882352937</v>
      </c>
      <c r="C49" s="628">
        <f t="shared" si="2"/>
        <v>5987.6470588235297</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6723.5294117647063</v>
      </c>
      <c r="C50" s="631">
        <f t="shared" si="3"/>
        <v>8553.7815126050427</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2021-06-29T14:14:05Z</dcterms:modified>
</cp:coreProperties>
</file>