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F6" i="17" s="1"/>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5" i="13"/>
  <c r="B34"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20" i="16"/>
  <c r="C22" i="16" s="1"/>
  <c r="D43" i="14" s="1"/>
  <c r="C17" i="49"/>
  <c r="C18" i="15"/>
  <c r="C20" i="15" s="1"/>
  <c r="D40" i="14" s="1"/>
  <c r="C10" i="17"/>
  <c r="C12" i="17" s="1"/>
  <c r="D54" i="14" s="1"/>
  <c r="D56"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30" i="48"/>
  <c r="C27" i="48"/>
  <c r="C29" i="48"/>
  <c r="C32" i="48"/>
  <c r="C25" i="48"/>
  <c r="C31" i="48"/>
  <c r="C26" i="48"/>
  <c r="C22" i="48"/>
  <c r="C23" i="48"/>
  <c r="F27" i="14"/>
  <c r="F63" i="14" s="1"/>
  <c r="C78" i="14"/>
  <c r="B78" i="14"/>
  <c r="C28"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<sst xmlns="http://schemas.openxmlformats.org/spreadsheetml/2006/main" count="2472" uniqueCount="898">
  <si>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</si>
  <si>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</si>
  <si>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</si>
  <si>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</si>
  <si>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</si>
  <si>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</si>
  <si>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</si>
  <si>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</si>
  <si>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</si>
  <si>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</si>
  <si>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</si>
  <si>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</si>
  <si>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</si>
  <si>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</si>
  <si>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</si>
  <si>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</si>
  <si>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</si>
  <si>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</si>
  <si>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</si>
  <si>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</si>
  <si>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</si>
  <si>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</si>
  <si>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</si>
  <si>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</si>
  <si>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</si>
  <si>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</si>
  <si>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</si>
  <si>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</si>
  <si>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</si>
  <si>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</si>
  <si>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</si>
  <si>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</si>
  <si>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</si>
  <si>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</si>
  <si>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</si>
  <si>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</si>
  <si>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</si>
  <si>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</si>
  <si>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</si>
  <si>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</si>
  <si>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</si>
  <si>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</si>
  <si>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</si>
  <si>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</si>
  <si>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</si>
  <si>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</si>
  <si>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</si>
  <si>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</si>
  <si>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</si>
  <si>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</si>
  <si>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</si>
  <si>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</si>
  <si>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</si>
  <si>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</si>
  <si>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</si>
  <si>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</si>
  <si>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</si>
  <si>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</si>
  <si>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</si>
  <si>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</si>
  <si>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</si>
  <si>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</si>
  <si>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</si>
  <si>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</si>
  <si>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</si>
  <si>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</si>
  <si>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</si>
  <si>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</si>
  <si>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</si>
  <si>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</si>
  <si>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</si>
  <si>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</si>
  <si>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</si>
  <si>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</si>
  <si>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</si>
  <si>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</si>
  <si>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</si>
  <si>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</si>
  <si>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</si>
  <si>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</si>
  <si>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</si>
  <si>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</si>
  <si>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</si>
  <si>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</si>
  <si>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</si>
  <si>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</si>
  <si>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</si>
  <si>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</si>
  <si>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</si>
  <si>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</si>
  <si>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</si>
  <si>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</si>
  <si>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</si>
  <si>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</si>
  <si>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</si>
  <si>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</si>
  <si>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</si>
  <si>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</si>
  <si>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</si>
  <si>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</si>
  <si>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</si>
  <si>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</si>
  <si>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</si>
  <si>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</si>
  <si>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</si>
  <si>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</si>
  <si>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</si>
  <si>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</si>
  <si>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</si>
  <si>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</si>
  <si>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</si>
  <si>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</si>
  <si>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</si>
  <si>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</si>
  <si>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</si>
  <si>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</si>
  <si>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</si>
  <si>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</si>
  <si>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</si>
  <si>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</si>
  <si>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</si>
  <si>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</si>
  <si>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</si>
  <si>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</si>
  <si>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</si>
  <si>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</si>
  <si>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</si>
  <si>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</si>
  <si>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</si>
  <si>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</si>
  <si>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</si>
  <si>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</si>
  <si>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</si>
  <si>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</si>
  <si>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</si>
  <si>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</si>
  <si>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</si>
  <si>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</si>
  <si>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</si>
  <si>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</si>
  <si>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</si>
  <si>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</si>
  <si>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</si>
  <si>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</si>
  <si>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</si>
  <si>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</si>
  <si>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</si>
  <si>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</si>
  <si>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</si>
  <si>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</si>
  <si>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</si>
  <si>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</si>
  <si>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</si>
  <si>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</si>
  <si>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</si>
  <si>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</si>
  <si>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</si>
  <si>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</si>
  <si>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</si>
  <si>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</si>
  <si>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</si>
  <si>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</si>
  <si>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</si>
  <si>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</si>
  <si>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</si>
  <si>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</si>
  <si>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</si>
  <si>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</si>
  <si>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</si>
  <si>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</si>
  <si>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</si>
  <si>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</si>
  <si>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</si>
  <si>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</si>
  <si>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</si>
  <si>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</si>
  <si>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</si>
  <si>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</si>
  <si>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</si>
  <si>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</si>
  <si>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</si>
  <si>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</si>
  <si>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</si>
  <si>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</si>
  <si>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</si>
  <si>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</si>
  <si>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</si>
  <si>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</si>
  <si>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</si>
  <si>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</si>
  <si>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</si>
  <si>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</si>
  <si>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</si>
  <si>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</si>
  <si>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</si>
  <si>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</si>
  <si>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</si>
  <si>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</si>
  <si>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</si>
  <si>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</si>
  <si>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</si>
  <si>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</si>
  <si>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</si>
  <si>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</si>
  <si>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</si>
  <si>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</si>
  <si>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</si>
  <si>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</si>
  <si>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</si>
  <si>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</si>
  <si>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</si>
  <si>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</si>
  <si>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</si>
  <si>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</si>
  <si>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</si>
  <si>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</si>
  <si>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</si>
  <si>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</si>
  <si>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</si>
  <si>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</si>
  <si>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</si>
  <si>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</si>
  <si>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</si>
  <si>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</si>
  <si>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</si>
  <si>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</si>
  <si>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</si>
  <si>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</si>
  <si>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</si>
  <si>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</si>
  <si>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</si>
  <si>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</si>
  <si>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</si>
  <si>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</si>
  <si>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</si>
  <si>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</si>
  <si>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</si>
  <si>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</si>
  <si>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</si>
  <si>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</si>
  <si>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</si>
  <si>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</si>
  <si>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</si>
  <si>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</si>
  <si>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</si>
  <si>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</si>
  <si>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</si>
  <si>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</si>
  <si>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</si>
  <si>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</si>
  <si>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</si>
  <si>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</si>
  <si>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</si>
  <si>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</si>
  <si>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</si>
  <si>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</si>
  <si>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</si>
  <si>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</si>
  <si>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</si>
  <si>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</si>
  <si>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</si>
  <si>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</si>
  <si>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</si>
  <si>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</si>
  <si>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</si>
  <si>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</si>
  <si>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</si>
  <si>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</si>
  <si>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</si>
  <si>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</si>
  <si>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</si>
  <si>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</si>
  <si>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</si>
  <si>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</si>
  <si>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</si>
  <si>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</si>
  <si>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</si>
  <si>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</si>
  <si>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</si>
  <si>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</si>
  <si>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</si>
  <si>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</si>
  <si>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</si>
  <si>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</si>
  <si>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</si>
  <si>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</si>
  <si>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</si>
  <si>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</si>
  <si>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</si>
  <si>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</si>
  <si>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</si>
  <si>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</si>
  <si>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</si>
  <si>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</si>
  <si>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</si>
  <si>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</si>
  <si>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</si>
  <si>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</si>
  <si>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</si>
  <si>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</si>
  <si>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</si>
  <si>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</si>
  <si>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</si>
  <si>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</si>
  <si>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</si>
  <si>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</si>
  <si>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</si>
  <si>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</si>
  <si>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</si>
  <si>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</si>
  <si>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</si>
  <si>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</si>
  <si>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</si>
  <si>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</si>
  <si>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</si>
  <si>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</si>
  <si>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</si>
  <si>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</si>
  <si>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</si>
  <si>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</si>
  <si>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</si>
  <si>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</si>
  <si>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</si>
  <si>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</si>
  <si>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</si>
  <si>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</si>
  <si>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</si>
  <si>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</si>
  <si>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</si>
  <si>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</si>
  <si>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</si>
  <si>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</si>
  <si>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</si>
  <si>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</si>
  <si>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</si>
  <si>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</si>
  <si>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</si>
  <si>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</si>
  <si>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</si>
  <si>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</si>
  <si>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</si>
  <si>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</si>
  <si>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</si>
  <si>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</si>
  <si>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</si>
  <si>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</si>
  <si>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</si>
  <si>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</si>
  <si>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</si>
  <si>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</si>
  <si>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</si>
  <si>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</si>
  <si>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</si>
  <si>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</si>
  <si>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</si>
  <si>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</si>
  <si>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</si>
  <si>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</si>
  <si>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</si>
  <si>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</si>
  <si>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</si>
  <si>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</si>
  <si>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</si>
  <si>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</si>
  <si>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</si>
  <si>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</si>
  <si>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</si>
  <si>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</si>
  <si>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</si>
  <si>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</si>
  <si>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</si>
  <si>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</si>
  <si>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</si>
  <si>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</si>
  <si>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</si>
  <si>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</si>
  <si>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</si>
  <si>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</si>
  <si>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</si>
  <si>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</si>
  <si>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</si>
  <si>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</si>
  <si>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</si>
  <si>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</si>
  <si>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</si>
  <si>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</si>
  <si>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</si>
  <si>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</si>
  <si>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</si>
  <si>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</si>
  <si>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</si>
  <si>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</si>
  <si>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</si>
  <si>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</si>
  <si>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</si>
  <si>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</si>
  <si>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</si>
  <si>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</si>
  <si>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</si>
  <si>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</si>
  <si>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</si>
  <si>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</si>
  <si>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</si>
  <si>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</si>
  <si>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</si>
  <si>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</si>
  <si>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</si>
  <si>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</si>
  <si>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</si>
  <si>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</si>
  <si>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</si>
  <si>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</si>
  <si>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</si>
  <si>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</si>
  <si>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</si>
  <si>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</si>
  <si>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</si>
  <si>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</si>
  <si>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</si>
  <si>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</si>
  <si>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</si>
  <si>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</si>
  <si>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</si>
  <si>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</si>
  <si>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</si>
  <si>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</si>
  <si>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</si>
  <si>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</si>
  <si>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</si>
  <si>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</si>
  <si>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</si>
  <si>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</si>
  <si>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</si>
  <si>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</si>
  <si>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</si>
  <si>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</si>
  <si>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</si>
  <si>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</si>
  <si>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</si>
  <si>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</si>
  <si>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</si>
  <si>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</si>
  <si>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</si>
  <si>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</si>
  <si>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</si>
  <si>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</si>
  <si>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</si>
  <si>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</si>
  <si>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</si>
  <si>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</si>
  <si>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</si>
  <si>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</si>
  <si>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</si>
  <si>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</si>
  <si>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</si>
  <si>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</si>
  <si>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</si>
  <si>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</si>
  <si>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</si>
  <si>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</si>
  <si>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</si>
  <si>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</si>
  <si>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</si>
  <si>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</si>
  <si>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</si>
  <si>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</si>
  <si>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</si>
  <si>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</si>
  <si>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</si>
  <si>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</si>
  <si>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</si>
  <si>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</si>
  <si>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</si>
  <si>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</si>
  <si>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</si>
  <si>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</si>
  <si>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</si>
  <si>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</si>
  <si>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</si>
  <si>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</si>
  <si>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</si>
  <si>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</si>
  <si>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</si>
  <si>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</si>
  <si>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</si>
  <si>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</si>
  <si>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</si>
  <si>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</si>
  <si>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</si>
  <si>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</si>
  <si>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</si>
  <si>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</si>
  <si>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</si>
  <si>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</si>
  <si>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</si>
  <si>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</si>
  <si>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</si>
  <si>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</si>
  <si>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</si>
  <si>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</si>
  <si>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</si>
  <si>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</si>
  <si>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</si>
  <si>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</si>
  <si>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</si>
  <si>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</si>
  <si>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</si>
  <si>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</si>
  <si>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</si>
  <si>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</si>
  <si>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</si>
  <si>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</si>
  <si>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</si>
  <si>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</si>
  <si>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</si>
  <si>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</si>
  <si>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</si>
  <si>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</si>
  <si>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</si>
  <si>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</si>
  <si>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</si>
  <si>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</si>
  <si>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</si>
  <si>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</si>
  <si>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</si>
  <si>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</si>
  <si>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</si>
  <si>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</si>
  <si>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</si>
  <si>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</si>
  <si>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</si>
  <si>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</si>
  <si>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</si>
  <si>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</si>
  <si>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</si>
  <si>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</si>
  <si>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</si>
  <si>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</si>
  <si>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</si>
  <si>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</si>
  <si>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</si>
  <si>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</si>
  <si>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</si>
  <si>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</si>
  <si>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</si>
  <si>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</si>
  <si>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</si>
  <si>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</si>
  <si>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</si>
  <si>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</si>
  <si>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</si>
  <si>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</si>
  <si>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</si>
  <si>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</si>
  <si>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</si>
  <si>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</si>
  <si>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</si>
  <si>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</si>
  <si>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</si>
  <si>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</si>
  <si>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</si>
  <si>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</si>
  <si>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</si>
  <si>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</si>
  <si>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</si>
  <si>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</si>
  <si>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</si>
  <si>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</si>
  <si>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</si>
  <si>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</si>
  <si>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</si>
  <si>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</si>
  <si>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</si>
  <si>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</si>
  <si>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</si>
  <si>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</si>
  <si>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</si>
  <si>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</si>
  <si>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</si>
  <si>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</si>
  <si>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</si>
  <si>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</si>
  <si>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</si>
  <si>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</si>
  <si>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</si>
  <si>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</si>
  <si>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</si>
  <si>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</si>
  <si>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</si>
  <si>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</si>
  <si>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</si>
  <si>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</si>
  <si>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</si>
  <si>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</si>
  <si>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</si>
  <si>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</si>
  <si>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</si>
  <si>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</si>
  <si>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</si>
  <si>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</si>
  <si>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</si>
  <si>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</si>
  <si>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</si>
  <si>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</si>
  <si>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</si>
  <si>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</si>
  <si>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</si>
  <si>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</si>
  <si>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</si>
  <si>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</si>
  <si>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</si>
  <si>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</si>
  <si>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</si>
  <si>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</si>
  <si>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</si>
  <si>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</si>
  <si>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</si>
  <si>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</si>
  <si>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</si>
  <si>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</si>
  <si>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</si>
  <si>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</si>
  <si>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</si>
  <si>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</si>
  <si>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</si>
  <si>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</si>
  <si>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</si>
  <si>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</si>
  <si>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</si>
  <si>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</si>
  <si>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</si>
  <si>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</si>
  <si>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</si>
  <si>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</si>
  <si>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</si>
  <si>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</si>
  <si>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</si>
  <si>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</si>
  <si>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</si>
  <si>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</si>
  <si>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</si>
  <si>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</si>
  <si>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</si>
  <si>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</si>
  <si>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</si>
  <si>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</si>
  <si>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</si>
  <si>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</si>
  <si>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</si>
  <si>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</si>
  <si>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</si>
  <si>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</si>
  <si>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</si>
  <si>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</si>
  <si>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</si>
  <si>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</si>
  <si>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</si>
  <si>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</si>
  <si>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</si>
  <si>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</si>
  <si>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</si>
  <si>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</si>
  <si>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</si>
  <si>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</si>
  <si>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</si>
  <si>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</si>
  <si>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</si>
  <si>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</si>
  <si>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</si>
  <si>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</si>
  <si>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</si>
  <si>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</si>
  <si>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</si>
  <si>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</si>
  <si>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</si>
  <si>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</si>
  <si>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</si>
  <si>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</si>
  <si>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</si>
  <si>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</si>
  <si>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</si>
  <si>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</si>
  <si>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</si>
  <si>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</si>
  <si>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</si>
  <si>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</si>
  <si>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</si>
  <si>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</si>
  <si>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</si>
  <si>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</si>
  <si>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</si>
  <si>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</si>
  <si>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</si>
  <si>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</si>
  <si>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</si>
  <si>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</si>
  <si>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</si>
  <si>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</si>
  <si>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</si>
  <si>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</si>
  <si>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</si>
  <si>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</si>
  <si>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</si>
  <si>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</si>
  <si>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</si>
  <si>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</si>
  <si>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</si>
  <si>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</si>
  <si>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</si>
  <si>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</si>
  <si>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</si>
  <si>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</si>
  <si>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</si>
  <si>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</si>
  <si>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</si>
  <si>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</si>
  <si>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</si>
  <si>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</si>
  <si>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</si>
  <si>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</si>
  <si>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</si>
  <si>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</si>
  <si>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</si>
  <si>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</si>
  <si>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</si>
  <si>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</si>
  <si>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</si>
  <si>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</si>
  <si>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</si>
  <si>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</si>
  <si>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</si>
  <si>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</si>
  <si>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</si>
  <si>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</si>
  <si>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</si>
  <si>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</si>
  <si>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</si>
  <si>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</si>
  <si>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</si>
  <si>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</si>
  <si>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</si>
  <si>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</si>
  <si>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</si>
  <si>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</si>
  <si>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</si>
  <si>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</si>
  <si>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</si>
  <si>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</si>
  <si>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</si>
  <si>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</si>
  <si>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</si>
  <si>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</si>
  <si>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</si>
  <si>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</si>
  <si>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</si>
  <si>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</si>
  <si>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</si>
  <si>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</si>
  <si>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</si>
  <si>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</si>
  <si>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</si>
  <si>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</si>
  <si>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</si>
  <si>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</si>
  <si>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</si>
  <si>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</si>
  <si>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</si>
  <si>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</si>
  <si>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</si>
  <si>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</si>
  <si>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</si>
  <si>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</si>
  <si>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</si>
  <si>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</si>
  <si>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</si>
  <si>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</si>
  <si>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</si>
  <si>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</si>
  <si>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</si>
  <si>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</si>
  <si>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</si>
  <si>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</si>
  <si>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</si>
  <si>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</si>
  <si>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</si>
  <si>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</si>
  <si>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</si>
  <si>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</si>
  <si>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</si>
  <si>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</si>
  <si>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</si>
  <si>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</si>
  <si>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</si>
  <si>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</si>
  <si>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</si>
  <si>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</si>
  <si>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</si>
  <si>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</si>
  <si>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</si>
  <si>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</si>
  <si>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</si>
  <si>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</si>
  <si>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</si>
  <si>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</si>
  <si>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</si>
  <si>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</si>
  <si>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</si>
  <si>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</si>
  <si>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</si>
  <si>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</si>
  <si>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</si>
  <si>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</si>
  <si>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</si>
  <si>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</si>
  <si>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</si>
  <si>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</si>
  <si>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</si>
  <si>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</si>
  <si>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</si>
  <si>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</si>
  <si>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</si>
  <si>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</si>
  <si>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</si>
  <si>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</si>
  <si>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</si>
  <si>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</si>
  <si>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</si>
  <si>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</si>
  <si>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</si>
  <si>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</si>
  <si>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</si>
  <si>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</si>
  <si>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</si>
  <si>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</si>
  <si>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</si>
  <si>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</si>
  <si>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</si>
  <si>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</si>
  <si>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</si>
  <si>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</si>
  <si>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</si>
  <si>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</si>
  <si>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</si>
  <si>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</si>
  <si>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</si>
  <si>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</si>
  <si>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</si>
  <si>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</si>
  <si>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</si>
  <si>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</si>
  <si>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</si>
  <si>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</si>
  <si>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</si>
  <si>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</si>
  <si>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</si>
  <si>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</si>
  <si>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</si>
  <si>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</si>
  <si>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</si>
  <si>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</si>
  <si>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</si>
  <si>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</si>
  <si>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</si>
  <si>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</si>
  <si>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</si>
  <si>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</si>
  <si>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</si>
  <si>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</si>
  <si>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</si>
  <si>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</si>
  <si>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13049</t>
  </si>
  <si>
    <t>WESTERLO</t>
  </si>
  <si>
    <t>referentietaak LNE (2017); Jaarverslag De Lijn</t>
  </si>
  <si>
    <t>waterkracht</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</si>
  <si>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</si>
  <si>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</si>
  <si>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</si>
  <si>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</si>
  <si>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</si>
  <si>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</si>
  <si>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</si>
  <si>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</si>
  <si>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</si>
  <si>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</si>
  <si>
    <t>Broodboetiek</t>
  </si>
  <si>
    <t>WKK-0831</t>
  </si>
  <si>
    <t>Brandstofcel</t>
  </si>
  <si>
    <t>Mechelsestraat 22</t>
  </si>
  <si>
    <t>IVEKA (via EANDIS)</t>
  </si>
  <si>
    <t>AGB Westerlo</t>
  </si>
  <si>
    <t>Westerlo</t>
  </si>
  <si>
    <t>WKK-0884</t>
  </si>
  <si>
    <t>Interne verbrandingsmotor</t>
  </si>
  <si>
    <t>Kasteelpark 6</t>
  </si>
  <si>
    <t>andere gemeenschaps-, sociale en persoonlijke dienstverlening</t>
  </si>
  <si>
    <t>Sus Campiniae</t>
  </si>
  <si>
    <t>WKK-1085</t>
  </si>
  <si>
    <t>Nijverheidsstraat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</si>
</sst>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205841.94758556812</c:v>
                </c:pt>
                <c:pt idx="1">
                  <c:v>84768.646689585614</c:v>
                </c:pt>
                <c:pt idx="2">
                  <c:v>1870.6079999999999</c:v>
                </c:pt>
                <c:pt idx="3">
                  <c:v>28668.641232139915</c:v>
                </c:pt>
                <c:pt idx="4">
                  <c:v>242965.23349042522</c:v>
                </c:pt>
                <c:pt idx="5">
                  <c:v>206123.21352076015</c:v>
                </c:pt>
                <c:pt idx="6">
                  <c:v>1740.3664819484395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205841.94758556812</c:v>
                </c:pt>
                <c:pt idx="1">
                  <c:v>84768.646689585614</c:v>
                </c:pt>
                <c:pt idx="2">
                  <c:v>1870.6079999999999</c:v>
                </c:pt>
                <c:pt idx="3">
                  <c:v>28668.641232139915</c:v>
                </c:pt>
                <c:pt idx="4">
                  <c:v>242965.23349042522</c:v>
                </c:pt>
                <c:pt idx="5">
                  <c:v>206123.21352076015</c:v>
                </c:pt>
                <c:pt idx="6">
                  <c:v>1740.3664819484395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40661.019294525351</c:v>
                </c:pt>
                <c:pt idx="1">
                  <c:v>16399.515162578675</c:v>
                </c:pt>
                <c:pt idx="2">
                  <c:v>340.6351322222215</c:v>
                </c:pt>
                <c:pt idx="3">
                  <c:v>6939.2149797875118</c:v>
                </c:pt>
                <c:pt idx="4">
                  <c:v>46940.10522996349</c:v>
                </c:pt>
                <c:pt idx="5">
                  <c:v>51109.999096670472</c:v>
                </c:pt>
                <c:pt idx="6">
                  <c:v>437.62245084927298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40661.019294525351</c:v>
                </c:pt>
                <c:pt idx="1">
                  <c:v>16399.515162578675</c:v>
                </c:pt>
                <c:pt idx="2">
                  <c:v>340.6351322222215</c:v>
                </c:pt>
                <c:pt idx="3">
                  <c:v>6939.2149797875118</c:v>
                </c:pt>
                <c:pt idx="4">
                  <c:v>46940.10522996349</c:v>
                </c:pt>
                <c:pt idx="5">
                  <c:v>51109.999096670472</c:v>
                </c:pt>
                <c:pt idx="6">
                  <c:v>437.62245084927298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13049</v>
      </c>
      <c r="B6" s="386"/>
      <c r="C6" s="387"/>
    </row>
    <row r="7" spans="1:7" s="384" customFormat="1" ht="15.75" customHeight="1">
      <c r="A7" s="388" t="str">
        <f>txtMunicipality</f>
        <v>WESTERLO</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37971.739395211</v>
      </c>
      <c r="D10" s="683">
        <f ca="1">tertiair!C16</f>
        <v>498.70270270270282</v>
      </c>
      <c r="E10" s="683">
        <f ca="1">tertiair!D16</f>
        <v>35482.137700325176</v>
      </c>
      <c r="F10" s="683">
        <f>tertiair!E16</f>
        <v>199.14401268280909</v>
      </c>
      <c r="G10" s="683">
        <f ca="1">tertiair!F16</f>
        <v>9342.5277228635096</v>
      </c>
      <c r="H10" s="683">
        <f>tertiair!G16</f>
        <v>0</v>
      </c>
      <c r="I10" s="683">
        <f>tertiair!H16</f>
        <v>0</v>
      </c>
      <c r="J10" s="683">
        <f>tertiair!I16</f>
        <v>0</v>
      </c>
      <c r="K10" s="683">
        <f>tertiair!J16</f>
        <v>7.4780853135834852E-2</v>
      </c>
      <c r="L10" s="683">
        <f>tertiair!K16</f>
        <v>0</v>
      </c>
      <c r="M10" s="683">
        <f ca="1">tertiair!L16</f>
        <v>0</v>
      </c>
      <c r="N10" s="683">
        <f>tertiair!M16</f>
        <v>0</v>
      </c>
      <c r="O10" s="683">
        <f ca="1">tertiair!N16</f>
        <v>2857.7463795856124</v>
      </c>
      <c r="P10" s="683">
        <f>tertiair!O16</f>
        <v>24.486303829205774</v>
      </c>
      <c r="Q10" s="684">
        <f>tertiair!P16</f>
        <v>262.69569153247511</v>
      </c>
      <c r="R10" s="686">
        <f ca="1">SUM(C10:Q10)</f>
        <v>86639.254689585621</v>
      </c>
      <c r="S10" s="67"/>
    </row>
    <row r="11" spans="1:19" s="445" customFormat="1">
      <c r="A11" s="804" t="s">
        <v>220</v>
      </c>
      <c r="B11" s="809"/>
      <c r="C11" s="683">
        <f>huishoudens!B8</f>
        <v>40146.36967456311</v>
      </c>
      <c r="D11" s="683">
        <f>huishoudens!C8</f>
        <v>0</v>
      </c>
      <c r="E11" s="683">
        <f>huishoudens!D8</f>
        <v>96759.47268667625</v>
      </c>
      <c r="F11" s="683">
        <f>huishoudens!E8</f>
        <v>2255.6243855529028</v>
      </c>
      <c r="G11" s="683">
        <f>huishoudens!F8</f>
        <v>49413.073064117569</v>
      </c>
      <c r="H11" s="683">
        <f>huishoudens!G8</f>
        <v>0</v>
      </c>
      <c r="I11" s="683">
        <f>huishoudens!H8</f>
        <v>0</v>
      </c>
      <c r="J11" s="683">
        <f>huishoudens!I8</f>
        <v>0</v>
      </c>
      <c r="K11" s="683">
        <f>huishoudens!J8</f>
        <v>281.61050788591365</v>
      </c>
      <c r="L11" s="683">
        <f>huishoudens!K8</f>
        <v>0</v>
      </c>
      <c r="M11" s="683">
        <f>huishoudens!L8</f>
        <v>0</v>
      </c>
      <c r="N11" s="683">
        <f>huishoudens!M8</f>
        <v>0</v>
      </c>
      <c r="O11" s="683">
        <f>huishoudens!N8</f>
        <v>13681.822661423234</v>
      </c>
      <c r="P11" s="683">
        <f>huishoudens!O8</f>
        <v>501.94142950491909</v>
      </c>
      <c r="Q11" s="684">
        <f>huishoudens!P8</f>
        <v>2802.0331758442167</v>
      </c>
      <c r="R11" s="686">
        <f>SUM(C11:Q11)</f>
        <v>205841.94758556812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146383.19239107674</v>
      </c>
      <c r="D13" s="683">
        <f>industrie!C18</f>
        <v>852.85714285714289</v>
      </c>
      <c r="E13" s="683">
        <f>industrie!D18</f>
        <v>66185.779009557096</v>
      </c>
      <c r="F13" s="683">
        <f>industrie!E18</f>
        <v>10397.2411514821</v>
      </c>
      <c r="G13" s="683">
        <f>industrie!F18</f>
        <v>16225.92912257004</v>
      </c>
      <c r="H13" s="683">
        <f>industrie!G18</f>
        <v>0</v>
      </c>
      <c r="I13" s="683">
        <f>industrie!H18</f>
        <v>0</v>
      </c>
      <c r="J13" s="683">
        <f>industrie!I18</f>
        <v>0</v>
      </c>
      <c r="K13" s="683">
        <f>industrie!J18</f>
        <v>54.525711080853071</v>
      </c>
      <c r="L13" s="683">
        <f>industrie!K18</f>
        <v>0</v>
      </c>
      <c r="M13" s="683">
        <f>industrie!L18</f>
        <v>0</v>
      </c>
      <c r="N13" s="683">
        <f>industrie!M18</f>
        <v>0</v>
      </c>
      <c r="O13" s="683">
        <f>industrie!N18</f>
        <v>2865.7089618012774</v>
      </c>
      <c r="P13" s="683">
        <f>industrie!O18</f>
        <v>0</v>
      </c>
      <c r="Q13" s="684">
        <f>industrie!P18</f>
        <v>0</v>
      </c>
      <c r="R13" s="686">
        <f>SUM(C13:Q13)</f>
        <v>242965.23349042522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224501.30146085084</v>
      </c>
      <c r="D16" s="719">
        <f t="shared" ref="D16:R16" ca="1" si="0">SUM(D9:D15)</f>
        <v>1351.5598455598456</v>
      </c>
      <c r="E16" s="719">
        <f t="shared" ca="1" si="0"/>
        <v>198427.38939655852</v>
      </c>
      <c r="F16" s="719">
        <f t="shared" si="0"/>
        <v>12852.009549717812</v>
      </c>
      <c r="G16" s="719">
        <f t="shared" ca="1" si="0"/>
        <v>74981.529909551115</v>
      </c>
      <c r="H16" s="719">
        <f t="shared" si="0"/>
        <v>0</v>
      </c>
      <c r="I16" s="719">
        <f t="shared" si="0"/>
        <v>0</v>
      </c>
      <c r="J16" s="719">
        <f t="shared" si="0"/>
        <v>0</v>
      </c>
      <c r="K16" s="719">
        <f t="shared" si="0"/>
        <v>336.21099981990255</v>
      </c>
      <c r="L16" s="719">
        <f t="shared" si="0"/>
        <v>0</v>
      </c>
      <c r="M16" s="719">
        <f t="shared" ca="1" si="0"/>
        <v>0</v>
      </c>
      <c r="N16" s="719">
        <f t="shared" si="0"/>
        <v>0</v>
      </c>
      <c r="O16" s="719">
        <f t="shared" ca="1" si="0"/>
        <v>19405.278002810122</v>
      </c>
      <c r="P16" s="719">
        <f t="shared" si="0"/>
        <v>526.42773333412481</v>
      </c>
      <c r="Q16" s="719">
        <f t="shared" si="0"/>
        <v>3064.7288673766916</v>
      </c>
      <c r="R16" s="719">
        <f t="shared" ca="1" si="0"/>
        <v>535446.43576557888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25.899254914923617</v>
      </c>
      <c r="D19" s="683">
        <f>transport!C54</f>
        <v>0</v>
      </c>
      <c r="E19" s="683">
        <f>transport!D54</f>
        <v>0</v>
      </c>
      <c r="F19" s="683">
        <f>transport!E54</f>
        <v>0</v>
      </c>
      <c r="G19" s="683">
        <f>transport!F54</f>
        <v>0</v>
      </c>
      <c r="H19" s="683">
        <f>transport!G54</f>
        <v>1621.3716566055959</v>
      </c>
      <c r="I19" s="683">
        <f>transport!H54</f>
        <v>0</v>
      </c>
      <c r="J19" s="683">
        <f>transport!I54</f>
        <v>0</v>
      </c>
      <c r="K19" s="683">
        <f>transport!J54</f>
        <v>0</v>
      </c>
      <c r="L19" s="683">
        <f>transport!K54</f>
        <v>0</v>
      </c>
      <c r="M19" s="683">
        <f>transport!L54</f>
        <v>0</v>
      </c>
      <c r="N19" s="683">
        <f>transport!M54</f>
        <v>93.095570427919895</v>
      </c>
      <c r="O19" s="683">
        <f>transport!N54</f>
        <v>0</v>
      </c>
      <c r="P19" s="683">
        <f>transport!O54</f>
        <v>0</v>
      </c>
      <c r="Q19" s="684">
        <f>transport!P54</f>
        <v>0</v>
      </c>
      <c r="R19" s="686">
        <f>SUM(C19:Q19)</f>
        <v>1740.3664819484395</v>
      </c>
      <c r="S19" s="67"/>
    </row>
    <row r="20" spans="1:19" s="445" customFormat="1">
      <c r="A20" s="804" t="s">
        <v>302</v>
      </c>
      <c r="B20" s="809"/>
      <c r="C20" s="683">
        <f>transport!B14</f>
        <v>492.59036028474543</v>
      </c>
      <c r="D20" s="683">
        <f>transport!C14</f>
        <v>0</v>
      </c>
      <c r="E20" s="683">
        <f>transport!D14</f>
        <v>798.72241642231882</v>
      </c>
      <c r="F20" s="683">
        <f>transport!E14</f>
        <v>340.59495121072882</v>
      </c>
      <c r="G20" s="683">
        <f>transport!F14</f>
        <v>0</v>
      </c>
      <c r="H20" s="683">
        <f>transport!G14</f>
        <v>153033.87245588063</v>
      </c>
      <c r="I20" s="683">
        <f>transport!H14</f>
        <v>39845.775682335639</v>
      </c>
      <c r="J20" s="683">
        <f>transport!I14</f>
        <v>0</v>
      </c>
      <c r="K20" s="683">
        <f>transport!J14</f>
        <v>0</v>
      </c>
      <c r="L20" s="683">
        <f>transport!K14</f>
        <v>0</v>
      </c>
      <c r="M20" s="683">
        <f>transport!L14</f>
        <v>0</v>
      </c>
      <c r="N20" s="683">
        <f>transport!M14</f>
        <v>11611.657654626082</v>
      </c>
      <c r="O20" s="683">
        <f>transport!N14</f>
        <v>0</v>
      </c>
      <c r="P20" s="683">
        <f>transport!O14</f>
        <v>0</v>
      </c>
      <c r="Q20" s="684">
        <f>transport!P14</f>
        <v>0</v>
      </c>
      <c r="R20" s="686">
        <f>SUM(C20:Q20)</f>
        <v>206123.21352076015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518.48961519966906</v>
      </c>
      <c r="D22" s="807">
        <f t="shared" ref="D22:R22" si="1">SUM(D18:D21)</f>
        <v>0</v>
      </c>
      <c r="E22" s="807">
        <f t="shared" si="1"/>
        <v>798.72241642231882</v>
      </c>
      <c r="F22" s="807">
        <f t="shared" si="1"/>
        <v>340.59495121072882</v>
      </c>
      <c r="G22" s="807">
        <f t="shared" si="1"/>
        <v>0</v>
      </c>
      <c r="H22" s="807">
        <f t="shared" si="1"/>
        <v>154655.24411248622</v>
      </c>
      <c r="I22" s="807">
        <f t="shared" si="1"/>
        <v>39845.775682335639</v>
      </c>
      <c r="J22" s="807">
        <f t="shared" si="1"/>
        <v>0</v>
      </c>
      <c r="K22" s="807">
        <f t="shared" si="1"/>
        <v>0</v>
      </c>
      <c r="L22" s="807">
        <f t="shared" si="1"/>
        <v>0</v>
      </c>
      <c r="M22" s="807">
        <f t="shared" si="1"/>
        <v>0</v>
      </c>
      <c r="N22" s="807">
        <f t="shared" si="1"/>
        <v>11704.753225054003</v>
      </c>
      <c r="O22" s="807">
        <f t="shared" si="1"/>
        <v>0</v>
      </c>
      <c r="P22" s="807">
        <f t="shared" si="1"/>
        <v>0</v>
      </c>
      <c r="Q22" s="807">
        <f t="shared" si="1"/>
        <v>0</v>
      </c>
      <c r="R22" s="807">
        <f t="shared" si="1"/>
        <v>207863.58000270859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3909.5496713144998</v>
      </c>
      <c r="D24" s="683">
        <f>+landbouw!C8</f>
        <v>7527.1756756756758</v>
      </c>
      <c r="E24" s="683">
        <f>+landbouw!D8</f>
        <v>3750.2493227939831</v>
      </c>
      <c r="F24" s="683">
        <f>+landbouw!E8</f>
        <v>111.97611875577583</v>
      </c>
      <c r="G24" s="683">
        <f>+landbouw!F8</f>
        <v>12375.61473139601</v>
      </c>
      <c r="H24" s="683">
        <f>+landbouw!G8</f>
        <v>0</v>
      </c>
      <c r="I24" s="683">
        <f>+landbouw!H8</f>
        <v>0</v>
      </c>
      <c r="J24" s="683">
        <f>+landbouw!I8</f>
        <v>0</v>
      </c>
      <c r="K24" s="683">
        <f>+landbouw!J8</f>
        <v>994.07571220396744</v>
      </c>
      <c r="L24" s="683">
        <f>+landbouw!K8</f>
        <v>0</v>
      </c>
      <c r="M24" s="683">
        <f>+landbouw!L8</f>
        <v>0</v>
      </c>
      <c r="N24" s="683">
        <f>+landbouw!M8</f>
        <v>0</v>
      </c>
      <c r="O24" s="683">
        <f>+landbouw!N8</f>
        <v>0</v>
      </c>
      <c r="P24" s="683">
        <f>+landbouw!O8</f>
        <v>0</v>
      </c>
      <c r="Q24" s="684">
        <f>+landbouw!P8</f>
        <v>0</v>
      </c>
      <c r="R24" s="686">
        <f>SUM(C24:Q24)</f>
        <v>28668.641232139915</v>
      </c>
      <c r="S24" s="67"/>
    </row>
    <row r="25" spans="1:19" s="445" customFormat="1" ht="15" thickBot="1">
      <c r="A25" s="826" t="s">
        <v>696</v>
      </c>
      <c r="B25" s="939"/>
      <c r="C25" s="940">
        <f>IF(Onbekend_ele_kWh="---",0,Onbekend_ele_kWh)/1000+IF(REST_rest_ele_kWh="---",0,REST_rest_ele_kWh)/1000</f>
        <v>1055.5709495922899</v>
      </c>
      <c r="D25" s="940"/>
      <c r="E25" s="940">
        <f>IF(onbekend_gas_kWh="---",0,onbekend_gas_kWh)/1000+IF(REST_rest_gas_kWh="---",0,REST_rest_gas_kWh)/1000</f>
        <v>3565.8075076595496</v>
      </c>
      <c r="F25" s="940"/>
      <c r="G25" s="940"/>
      <c r="H25" s="940"/>
      <c r="I25" s="940"/>
      <c r="J25" s="940"/>
      <c r="K25" s="940"/>
      <c r="L25" s="940"/>
      <c r="M25" s="940"/>
      <c r="N25" s="940"/>
      <c r="O25" s="940"/>
      <c r="P25" s="940"/>
      <c r="Q25" s="941"/>
      <c r="R25" s="686">
        <f>SUM(C25:Q25)</f>
        <v>4621.3784572518398</v>
      </c>
      <c r="S25" s="67"/>
    </row>
    <row r="26" spans="1:19" s="445" customFormat="1" ht="15.75" thickBot="1">
      <c r="A26" s="691" t="s">
        <v>697</v>
      </c>
      <c r="B26" s="812"/>
      <c r="C26" s="807">
        <f>SUM(C24:C25)</f>
        <v>4965.1206209067896</v>
      </c>
      <c r="D26" s="807">
        <f t="shared" ref="D26:R26" si="2">SUM(D24:D25)</f>
        <v>7527.1756756756758</v>
      </c>
      <c r="E26" s="807">
        <f t="shared" si="2"/>
        <v>7316.0568304535327</v>
      </c>
      <c r="F26" s="807">
        <f t="shared" si="2"/>
        <v>111.97611875577583</v>
      </c>
      <c r="G26" s="807">
        <f t="shared" si="2"/>
        <v>12375.61473139601</v>
      </c>
      <c r="H26" s="807">
        <f t="shared" si="2"/>
        <v>0</v>
      </c>
      <c r="I26" s="807">
        <f t="shared" si="2"/>
        <v>0</v>
      </c>
      <c r="J26" s="807">
        <f t="shared" si="2"/>
        <v>0</v>
      </c>
      <c r="K26" s="807">
        <f t="shared" si="2"/>
        <v>994.07571220396744</v>
      </c>
      <c r="L26" s="807">
        <f t="shared" si="2"/>
        <v>0</v>
      </c>
      <c r="M26" s="807">
        <f t="shared" si="2"/>
        <v>0</v>
      </c>
      <c r="N26" s="807">
        <f t="shared" si="2"/>
        <v>0</v>
      </c>
      <c r="O26" s="807">
        <f t="shared" si="2"/>
        <v>0</v>
      </c>
      <c r="P26" s="807">
        <f t="shared" si="2"/>
        <v>0</v>
      </c>
      <c r="Q26" s="807">
        <f t="shared" si="2"/>
        <v>0</v>
      </c>
      <c r="R26" s="807">
        <f t="shared" si="2"/>
        <v>33290.019689391753</v>
      </c>
      <c r="S26" s="67"/>
    </row>
    <row r="27" spans="1:19" s="445" customFormat="1" ht="17.25" thickTop="1" thickBot="1">
      <c r="A27" s="692" t="s">
        <v>115</v>
      </c>
      <c r="B27" s="799"/>
      <c r="C27" s="693">
        <f ca="1">C22+C16+C26</f>
        <v>229984.91169695731</v>
      </c>
      <c r="D27" s="693">
        <f t="shared" ref="D27:R27" ca="1" si="3">D22+D16+D26</f>
        <v>8878.7355212355214</v>
      </c>
      <c r="E27" s="693">
        <f t="shared" ca="1" si="3"/>
        <v>206542.16864343439</v>
      </c>
      <c r="F27" s="693">
        <f t="shared" si="3"/>
        <v>13304.580619684317</v>
      </c>
      <c r="G27" s="693">
        <f t="shared" ca="1" si="3"/>
        <v>87357.144640947125</v>
      </c>
      <c r="H27" s="693">
        <f t="shared" si="3"/>
        <v>154655.24411248622</v>
      </c>
      <c r="I27" s="693">
        <f t="shared" si="3"/>
        <v>39845.775682335639</v>
      </c>
      <c r="J27" s="693">
        <f t="shared" si="3"/>
        <v>0</v>
      </c>
      <c r="K27" s="693">
        <f t="shared" si="3"/>
        <v>1330.28671202387</v>
      </c>
      <c r="L27" s="693">
        <f t="shared" si="3"/>
        <v>0</v>
      </c>
      <c r="M27" s="693">
        <f t="shared" ca="1" si="3"/>
        <v>0</v>
      </c>
      <c r="N27" s="693">
        <f t="shared" si="3"/>
        <v>11704.753225054003</v>
      </c>
      <c r="O27" s="693">
        <f t="shared" ca="1" si="3"/>
        <v>19405.278002810122</v>
      </c>
      <c r="P27" s="693">
        <f t="shared" si="3"/>
        <v>526.42773333412481</v>
      </c>
      <c r="Q27" s="693">
        <f t="shared" si="3"/>
        <v>3064.7288673766916</v>
      </c>
      <c r="R27" s="693">
        <f t="shared" ca="1" si="3"/>
        <v>776600.03545767919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6914.601279153856</v>
      </c>
      <c r="D40" s="683">
        <f ca="1">tertiair!C20</f>
        <v>118.47013487579027</v>
      </c>
      <c r="E40" s="683">
        <f ca="1">tertiair!D20</f>
        <v>7167.3918154656858</v>
      </c>
      <c r="F40" s="683">
        <f>tertiair!E20</f>
        <v>45.205690878997665</v>
      </c>
      <c r="G40" s="683">
        <f ca="1">tertiair!F20</f>
        <v>2494.454902004557</v>
      </c>
      <c r="H40" s="683">
        <f>tertiair!G20</f>
        <v>0</v>
      </c>
      <c r="I40" s="683">
        <f>tertiair!H20</f>
        <v>0</v>
      </c>
      <c r="J40" s="683">
        <f>tertiair!I20</f>
        <v>0</v>
      </c>
      <c r="K40" s="683">
        <f>tertiair!J20</f>
        <v>2.6472422010085535E-2</v>
      </c>
      <c r="L40" s="683">
        <f>tertiair!K20</f>
        <v>0</v>
      </c>
      <c r="M40" s="683">
        <f ca="1">tertiair!L20</f>
        <v>0</v>
      </c>
      <c r="N40" s="683">
        <f>tertiair!M20</f>
        <v>0</v>
      </c>
      <c r="O40" s="683">
        <f ca="1">tertiair!N20</f>
        <v>0</v>
      </c>
      <c r="P40" s="683">
        <f>tertiair!O20</f>
        <v>0</v>
      </c>
      <c r="Q40" s="766">
        <f>tertiair!P20</f>
        <v>0</v>
      </c>
      <c r="R40" s="845">
        <f t="shared" ca="1" si="4"/>
        <v>16740.150294800897</v>
      </c>
    </row>
    <row r="41" spans="1:18">
      <c r="A41" s="817" t="s">
        <v>220</v>
      </c>
      <c r="B41" s="824"/>
      <c r="C41" s="683">
        <f ca="1">huishoudens!B12</f>
        <v>7310.5984483852253</v>
      </c>
      <c r="D41" s="683">
        <f ca="1">huishoudens!C12</f>
        <v>0</v>
      </c>
      <c r="E41" s="683">
        <f>huishoudens!D12</f>
        <v>19545.413482708605</v>
      </c>
      <c r="F41" s="683">
        <f>huishoudens!E12</f>
        <v>512.02673552050896</v>
      </c>
      <c r="G41" s="683">
        <f>huishoudens!F12</f>
        <v>13193.290508119391</v>
      </c>
      <c r="H41" s="683">
        <f>huishoudens!G12</f>
        <v>0</v>
      </c>
      <c r="I41" s="683">
        <f>huishoudens!H12</f>
        <v>0</v>
      </c>
      <c r="J41" s="683">
        <f>huishoudens!I12</f>
        <v>0</v>
      </c>
      <c r="K41" s="683">
        <f>huishoudens!J12</f>
        <v>99.690119791613427</v>
      </c>
      <c r="L41" s="683">
        <f>huishoudens!K12</f>
        <v>0</v>
      </c>
      <c r="M41" s="683">
        <f>huishoudens!L12</f>
        <v>0</v>
      </c>
      <c r="N41" s="683">
        <f>huishoudens!M12</f>
        <v>0</v>
      </c>
      <c r="O41" s="683">
        <f>huishoudens!N12</f>
        <v>0</v>
      </c>
      <c r="P41" s="683">
        <f>huishoudens!O12</f>
        <v>0</v>
      </c>
      <c r="Q41" s="766">
        <f>huishoudens!P12</f>
        <v>0</v>
      </c>
      <c r="R41" s="845">
        <f t="shared" ca="1" si="4"/>
        <v>40661.019294525351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26656.177079989669</v>
      </c>
      <c r="D43" s="683">
        <f ca="1">industrie!C22</f>
        <v>202.60187120802473</v>
      </c>
      <c r="E43" s="683">
        <f>industrie!D22</f>
        <v>13369.527359930535</v>
      </c>
      <c r="F43" s="683">
        <f>industrie!E22</f>
        <v>2360.1737413864366</v>
      </c>
      <c r="G43" s="683">
        <f>industrie!F22</f>
        <v>4332.3230757262008</v>
      </c>
      <c r="H43" s="683">
        <f>industrie!G22</f>
        <v>0</v>
      </c>
      <c r="I43" s="683">
        <f>industrie!H22</f>
        <v>0</v>
      </c>
      <c r="J43" s="683">
        <f>industrie!I22</f>
        <v>0</v>
      </c>
      <c r="K43" s="683">
        <f>industrie!J22</f>
        <v>19.302101722621988</v>
      </c>
      <c r="L43" s="683">
        <f>industrie!K22</f>
        <v>0</v>
      </c>
      <c r="M43" s="683">
        <f>industrie!L22</f>
        <v>0</v>
      </c>
      <c r="N43" s="683">
        <f>industrie!M22</f>
        <v>0</v>
      </c>
      <c r="O43" s="683">
        <f>industrie!N22</f>
        <v>0</v>
      </c>
      <c r="P43" s="683">
        <f>industrie!O22</f>
        <v>0</v>
      </c>
      <c r="Q43" s="766">
        <f>industrie!P22</f>
        <v>0</v>
      </c>
      <c r="R43" s="844">
        <f t="shared" ca="1" si="4"/>
        <v>46940.10522996349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40881.376807528752</v>
      </c>
      <c r="D46" s="719">
        <f t="shared" ref="D46:Q46" ca="1" si="5">SUM(D39:D45)</f>
        <v>321.07200608381498</v>
      </c>
      <c r="E46" s="719">
        <f t="shared" ca="1" si="5"/>
        <v>40082.332658104824</v>
      </c>
      <c r="F46" s="719">
        <f t="shared" si="5"/>
        <v>2917.4061677859431</v>
      </c>
      <c r="G46" s="719">
        <f t="shared" ca="1" si="5"/>
        <v>20020.068485850148</v>
      </c>
      <c r="H46" s="719">
        <f t="shared" si="5"/>
        <v>0</v>
      </c>
      <c r="I46" s="719">
        <f t="shared" si="5"/>
        <v>0</v>
      </c>
      <c r="J46" s="719">
        <f t="shared" si="5"/>
        <v>0</v>
      </c>
      <c r="K46" s="719">
        <f t="shared" si="5"/>
        <v>119.0186939362455</v>
      </c>
      <c r="L46" s="719">
        <f t="shared" si="5"/>
        <v>0</v>
      </c>
      <c r="M46" s="719">
        <f t="shared" ca="1" si="5"/>
        <v>0</v>
      </c>
      <c r="N46" s="719">
        <f t="shared" si="5"/>
        <v>0</v>
      </c>
      <c r="O46" s="719">
        <f t="shared" ca="1" si="5"/>
        <v>0</v>
      </c>
      <c r="P46" s="719">
        <f t="shared" si="5"/>
        <v>0</v>
      </c>
      <c r="Q46" s="719">
        <f t="shared" si="5"/>
        <v>0</v>
      </c>
      <c r="R46" s="719">
        <f ca="1">SUM(R39:R45)</f>
        <v>104341.27481928974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4.7162185355788209</v>
      </c>
      <c r="D49" s="683">
        <f ca="1">transport!C58</f>
        <v>0</v>
      </c>
      <c r="E49" s="683">
        <f>transport!D58</f>
        <v>0</v>
      </c>
      <c r="F49" s="683">
        <f>transport!E58</f>
        <v>0</v>
      </c>
      <c r="G49" s="683">
        <f>transport!F58</f>
        <v>0</v>
      </c>
      <c r="H49" s="683">
        <f>transport!G58</f>
        <v>432.90623231369415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437.62245084927298</v>
      </c>
    </row>
    <row r="50" spans="1:18">
      <c r="A50" s="820" t="s">
        <v>302</v>
      </c>
      <c r="B50" s="830"/>
      <c r="C50" s="689">
        <f ca="1">transport!B18</f>
        <v>89.700024006625654</v>
      </c>
      <c r="D50" s="689">
        <f>transport!C18</f>
        <v>0</v>
      </c>
      <c r="E50" s="689">
        <f>transport!D18</f>
        <v>161.34192811730841</v>
      </c>
      <c r="F50" s="689">
        <f>transport!E18</f>
        <v>77.315053924835439</v>
      </c>
      <c r="G50" s="689">
        <f>transport!F18</f>
        <v>0</v>
      </c>
      <c r="H50" s="689">
        <f>transport!G18</f>
        <v>40860.043945720128</v>
      </c>
      <c r="I50" s="689">
        <f>transport!H18</f>
        <v>9921.5981449015744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51109.999096670472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94.416242542204472</v>
      </c>
      <c r="D52" s="719">
        <f t="shared" ref="D52:Q52" ca="1" si="6">SUM(D48:D51)</f>
        <v>0</v>
      </c>
      <c r="E52" s="719">
        <f t="shared" si="6"/>
        <v>161.34192811730841</v>
      </c>
      <c r="F52" s="719">
        <f t="shared" si="6"/>
        <v>77.315053924835439</v>
      </c>
      <c r="G52" s="719">
        <f t="shared" si="6"/>
        <v>0</v>
      </c>
      <c r="H52" s="719">
        <f t="shared" si="6"/>
        <v>41292.950178033825</v>
      </c>
      <c r="I52" s="719">
        <f t="shared" si="6"/>
        <v>9921.5981449015744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51547.621547519746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711.92359340789585</v>
      </c>
      <c r="D54" s="689">
        <f ca="1">+landbouw!C12</f>
        <v>1788.1305088147301</v>
      </c>
      <c r="E54" s="689">
        <f>+landbouw!D12</f>
        <v>757.55036320438467</v>
      </c>
      <c r="F54" s="689">
        <f>+landbouw!E12</f>
        <v>25.418578957561113</v>
      </c>
      <c r="G54" s="689">
        <f>+landbouw!F12</f>
        <v>3304.2891332827348</v>
      </c>
      <c r="H54" s="689">
        <f>+landbouw!G12</f>
        <v>0</v>
      </c>
      <c r="I54" s="689">
        <f>+landbouw!H12</f>
        <v>0</v>
      </c>
      <c r="J54" s="689">
        <f>+landbouw!I12</f>
        <v>0</v>
      </c>
      <c r="K54" s="689">
        <f>+landbouw!J12</f>
        <v>351.90280212020446</v>
      </c>
      <c r="L54" s="689">
        <f>+landbouw!K12</f>
        <v>0</v>
      </c>
      <c r="M54" s="689">
        <f>+landbouw!L12</f>
        <v>0</v>
      </c>
      <c r="N54" s="689">
        <f>+landbouw!M12</f>
        <v>0</v>
      </c>
      <c r="O54" s="689">
        <f>+landbouw!N12</f>
        <v>0</v>
      </c>
      <c r="P54" s="689">
        <f>+landbouw!O12</f>
        <v>0</v>
      </c>
      <c r="Q54" s="690">
        <f>+landbouw!P12</f>
        <v>0</v>
      </c>
      <c r="R54" s="718">
        <f ca="1">SUM(C54:Q54)</f>
        <v>6939.2149797875118</v>
      </c>
    </row>
    <row r="55" spans="1:18" ht="15" thickBot="1">
      <c r="A55" s="820" t="s">
        <v>696</v>
      </c>
      <c r="B55" s="830"/>
      <c r="C55" s="689">
        <f ca="1">C25*'EF ele_warmte'!B12</f>
        <v>192.21801146167749</v>
      </c>
      <c r="D55" s="689"/>
      <c r="E55" s="689">
        <f>E25*EF_CO2_aardgas</f>
        <v>720.29311654722903</v>
      </c>
      <c r="F55" s="689"/>
      <c r="G55" s="689"/>
      <c r="H55" s="689"/>
      <c r="I55" s="689"/>
      <c r="J55" s="689"/>
      <c r="K55" s="689"/>
      <c r="L55" s="689"/>
      <c r="M55" s="689"/>
      <c r="N55" s="689"/>
      <c r="O55" s="689"/>
      <c r="P55" s="689"/>
      <c r="Q55" s="690"/>
      <c r="R55" s="718">
        <f ca="1">SUM(C55:Q55)</f>
        <v>912.51112800890655</v>
      </c>
    </row>
    <row r="56" spans="1:18" ht="15.75" thickBot="1">
      <c r="A56" s="818" t="s">
        <v>697</v>
      </c>
      <c r="B56" s="831"/>
      <c r="C56" s="719">
        <f ca="1">SUM(C54:C55)</f>
        <v>904.14160486957337</v>
      </c>
      <c r="D56" s="719">
        <f t="shared" ref="D56:Q56" ca="1" si="7">SUM(D54:D55)</f>
        <v>1788.1305088147301</v>
      </c>
      <c r="E56" s="719">
        <f t="shared" si="7"/>
        <v>1477.8434797516138</v>
      </c>
      <c r="F56" s="719">
        <f t="shared" si="7"/>
        <v>25.418578957561113</v>
      </c>
      <c r="G56" s="719">
        <f t="shared" si="7"/>
        <v>3304.2891332827348</v>
      </c>
      <c r="H56" s="719">
        <f t="shared" si="7"/>
        <v>0</v>
      </c>
      <c r="I56" s="719">
        <f t="shared" si="7"/>
        <v>0</v>
      </c>
      <c r="J56" s="719">
        <f t="shared" si="7"/>
        <v>0</v>
      </c>
      <c r="K56" s="719">
        <f t="shared" si="7"/>
        <v>351.90280212020446</v>
      </c>
      <c r="L56" s="719">
        <f t="shared" si="7"/>
        <v>0</v>
      </c>
      <c r="M56" s="719">
        <f t="shared" si="7"/>
        <v>0</v>
      </c>
      <c r="N56" s="719">
        <f t="shared" si="7"/>
        <v>0</v>
      </c>
      <c r="O56" s="719">
        <f t="shared" si="7"/>
        <v>0</v>
      </c>
      <c r="P56" s="719">
        <f t="shared" si="7"/>
        <v>0</v>
      </c>
      <c r="Q56" s="720">
        <f t="shared" si="7"/>
        <v>0</v>
      </c>
      <c r="R56" s="721">
        <f ca="1">SUM(R54:R55)</f>
        <v>7851.7261077964185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41879.934654940531</v>
      </c>
      <c r="D61" s="727">
        <f t="shared" ref="D61:Q61" ca="1" si="8">D46+D52+D56</f>
        <v>2109.2025148985449</v>
      </c>
      <c r="E61" s="727">
        <f t="shared" ca="1" si="8"/>
        <v>41721.518065973753</v>
      </c>
      <c r="F61" s="727">
        <f t="shared" si="8"/>
        <v>3020.1398006683398</v>
      </c>
      <c r="G61" s="727">
        <f t="shared" ca="1" si="8"/>
        <v>23324.357619132883</v>
      </c>
      <c r="H61" s="727">
        <f t="shared" si="8"/>
        <v>41292.950178033825</v>
      </c>
      <c r="I61" s="727">
        <f t="shared" si="8"/>
        <v>9921.5981449015744</v>
      </c>
      <c r="J61" s="727">
        <f t="shared" si="8"/>
        <v>0</v>
      </c>
      <c r="K61" s="727">
        <f t="shared" si="8"/>
        <v>470.92149605644994</v>
      </c>
      <c r="L61" s="727">
        <f t="shared" si="8"/>
        <v>0</v>
      </c>
      <c r="M61" s="727">
        <f t="shared" ca="1" si="8"/>
        <v>0</v>
      </c>
      <c r="N61" s="727">
        <f t="shared" si="8"/>
        <v>0</v>
      </c>
      <c r="O61" s="727">
        <f t="shared" ca="1" si="8"/>
        <v>0</v>
      </c>
      <c r="P61" s="727">
        <f t="shared" si="8"/>
        <v>0</v>
      </c>
      <c r="Q61" s="727">
        <f t="shared" si="8"/>
        <v>0</v>
      </c>
      <c r="R61" s="727">
        <f ca="1">R46+R52+R56</f>
        <v>163740.62247460592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0.18209861832207577</v>
      </c>
      <c r="D63" s="773">
        <f t="shared" ca="1" si="9"/>
        <v>0.23755663290723167</v>
      </c>
      <c r="E63" s="965">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23625.299929336514</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17323.253480643045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6215</v>
      </c>
      <c r="D76" s="948">
        <f>'lokale energieproductie'!C8</f>
        <v>7308.9825421705173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1476.4144735184445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40948.553409979562</v>
      </c>
      <c r="C78" s="745">
        <f>SUM(C72:C77)</f>
        <v>6215</v>
      </c>
      <c r="D78" s="746">
        <f t="shared" ref="D78:H78" si="10">SUM(D76:D77)</f>
        <v>7308.9825421705173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1476.4144735184445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8878.7355212355214</v>
      </c>
      <c r="D87" s="769">
        <f>'lokale energieproductie'!C17</f>
        <v>10441.596608408638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2109.2025148985449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8878.7355212355214</v>
      </c>
      <c r="D90" s="745">
        <f t="shared" ref="D90:H90" si="12">SUM(D87:D89)</f>
        <v>10441.596608408638</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2109.2025148985449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40146.36967456311</v>
      </c>
      <c r="C4" s="449">
        <f>huishoudens!C8</f>
        <v>0</v>
      </c>
      <c r="D4" s="449">
        <f>huishoudens!D8</f>
        <v>96759.47268667625</v>
      </c>
      <c r="E4" s="449">
        <f>huishoudens!E8</f>
        <v>2255.6243855529028</v>
      </c>
      <c r="F4" s="449">
        <f>huishoudens!F8</f>
        <v>49413.073064117569</v>
      </c>
      <c r="G4" s="449">
        <f>huishoudens!G8</f>
        <v>0</v>
      </c>
      <c r="H4" s="449">
        <f>huishoudens!H8</f>
        <v>0</v>
      </c>
      <c r="I4" s="449">
        <f>huishoudens!I8</f>
        <v>0</v>
      </c>
      <c r="J4" s="449">
        <f>huishoudens!J8</f>
        <v>281.61050788591365</v>
      </c>
      <c r="K4" s="449">
        <f>huishoudens!K8</f>
        <v>0</v>
      </c>
      <c r="L4" s="449">
        <f>huishoudens!L8</f>
        <v>0</v>
      </c>
      <c r="M4" s="449">
        <f>huishoudens!M8</f>
        <v>0</v>
      </c>
      <c r="N4" s="449">
        <f>huishoudens!N8</f>
        <v>13681.822661423234</v>
      </c>
      <c r="O4" s="449">
        <f>huishoudens!O8</f>
        <v>501.94142950491909</v>
      </c>
      <c r="P4" s="450">
        <f>huishoudens!P8</f>
        <v>2802.0331758442167</v>
      </c>
      <c r="Q4" s="451">
        <f>SUM(B4:P4)</f>
        <v>205841.94758556812</v>
      </c>
    </row>
    <row r="5" spans="1:17">
      <c r="A5" s="448" t="s">
        <v>155</v>
      </c>
      <c r="B5" s="449">
        <f ca="1">tertiair!B16</f>
        <v>36101.131395210999</v>
      </c>
      <c r="C5" s="449">
        <f ca="1">tertiair!C16</f>
        <v>498.70270270270282</v>
      </c>
      <c r="D5" s="449">
        <f ca="1">tertiair!D16</f>
        <v>35482.137700325176</v>
      </c>
      <c r="E5" s="449">
        <f>tertiair!E16</f>
        <v>199.14401268280909</v>
      </c>
      <c r="F5" s="449">
        <f ca="1">tertiair!F16</f>
        <v>9342.5277228635096</v>
      </c>
      <c r="G5" s="449">
        <f>tertiair!G16</f>
        <v>0</v>
      </c>
      <c r="H5" s="449">
        <f>tertiair!H16</f>
        <v>0</v>
      </c>
      <c r="I5" s="449">
        <f>tertiair!I16</f>
        <v>0</v>
      </c>
      <c r="J5" s="449">
        <f>tertiair!J16</f>
        <v>7.4780853135834852E-2</v>
      </c>
      <c r="K5" s="449">
        <f>tertiair!K16</f>
        <v>0</v>
      </c>
      <c r="L5" s="449">
        <f ca="1">tertiair!L16</f>
        <v>0</v>
      </c>
      <c r="M5" s="449">
        <f>tertiair!M16</f>
        <v>0</v>
      </c>
      <c r="N5" s="449">
        <f ca="1">tertiair!N16</f>
        <v>2857.7463795856124</v>
      </c>
      <c r="O5" s="449">
        <f>tertiair!O16</f>
        <v>24.486303829205774</v>
      </c>
      <c r="P5" s="450">
        <f>tertiair!P16</f>
        <v>262.69569153247511</v>
      </c>
      <c r="Q5" s="448">
        <f t="shared" ref="Q5:Q14" ca="1" si="0">SUM(B5:P5)</f>
        <v>84768.646689585614</v>
      </c>
    </row>
    <row r="6" spans="1:17">
      <c r="A6" s="448" t="s">
        <v>193</v>
      </c>
      <c r="B6" s="449">
        <f>'openbare verlichting'!B8</f>
        <v>1870.6079999999999</v>
      </c>
      <c r="C6" s="449"/>
      <c r="D6" s="449"/>
      <c r="E6" s="449"/>
      <c r="F6" s="449"/>
      <c r="G6" s="449"/>
      <c r="H6" s="449"/>
      <c r="I6" s="449"/>
      <c r="J6" s="449"/>
      <c r="K6" s="449"/>
      <c r="L6" s="449"/>
      <c r="M6" s="449"/>
      <c r="N6" s="449"/>
      <c r="O6" s="449"/>
      <c r="P6" s="450"/>
      <c r="Q6" s="448">
        <f t="shared" si="0"/>
        <v>1870.6079999999999</v>
      </c>
    </row>
    <row r="7" spans="1:17">
      <c r="A7" s="448" t="s">
        <v>111</v>
      </c>
      <c r="B7" s="449">
        <f>landbouw!B8</f>
        <v>3909.5496713144998</v>
      </c>
      <c r="C7" s="449">
        <f>landbouw!C8</f>
        <v>7527.1756756756758</v>
      </c>
      <c r="D7" s="449">
        <f>landbouw!D8</f>
        <v>3750.2493227939831</v>
      </c>
      <c r="E7" s="449">
        <f>landbouw!E8</f>
        <v>111.97611875577583</v>
      </c>
      <c r="F7" s="449">
        <f>landbouw!F8</f>
        <v>12375.61473139601</v>
      </c>
      <c r="G7" s="449">
        <f>landbouw!G8</f>
        <v>0</v>
      </c>
      <c r="H7" s="449">
        <f>landbouw!H8</f>
        <v>0</v>
      </c>
      <c r="I7" s="449">
        <f>landbouw!I8</f>
        <v>0</v>
      </c>
      <c r="J7" s="449">
        <f>landbouw!J8</f>
        <v>994.07571220396744</v>
      </c>
      <c r="K7" s="449">
        <f>landbouw!K8</f>
        <v>0</v>
      </c>
      <c r="L7" s="449">
        <f>landbouw!L8</f>
        <v>0</v>
      </c>
      <c r="M7" s="449">
        <f>landbouw!M8</f>
        <v>0</v>
      </c>
      <c r="N7" s="449">
        <f>landbouw!N8</f>
        <v>0</v>
      </c>
      <c r="O7" s="449">
        <f>landbouw!O8</f>
        <v>0</v>
      </c>
      <c r="P7" s="450">
        <f>landbouw!P8</f>
        <v>0</v>
      </c>
      <c r="Q7" s="448">
        <f t="shared" si="0"/>
        <v>28668.641232139915</v>
      </c>
    </row>
    <row r="8" spans="1:17">
      <c r="A8" s="448" t="s">
        <v>617</v>
      </c>
      <c r="B8" s="449">
        <f>industrie!B18</f>
        <v>146383.19239107674</v>
      </c>
      <c r="C8" s="449">
        <f>industrie!C18</f>
        <v>852.85714285714289</v>
      </c>
      <c r="D8" s="449">
        <f>industrie!D18</f>
        <v>66185.779009557096</v>
      </c>
      <c r="E8" s="449">
        <f>industrie!E18</f>
        <v>10397.2411514821</v>
      </c>
      <c r="F8" s="449">
        <f>industrie!F18</f>
        <v>16225.92912257004</v>
      </c>
      <c r="G8" s="449">
        <f>industrie!G18</f>
        <v>0</v>
      </c>
      <c r="H8" s="449">
        <f>industrie!H18</f>
        <v>0</v>
      </c>
      <c r="I8" s="449">
        <f>industrie!I18</f>
        <v>0</v>
      </c>
      <c r="J8" s="449">
        <f>industrie!J18</f>
        <v>54.525711080853071</v>
      </c>
      <c r="K8" s="449">
        <f>industrie!K18</f>
        <v>0</v>
      </c>
      <c r="L8" s="449">
        <f>industrie!L18</f>
        <v>0</v>
      </c>
      <c r="M8" s="449">
        <f>industrie!M18</f>
        <v>0</v>
      </c>
      <c r="N8" s="449">
        <f>industrie!N18</f>
        <v>2865.7089618012774</v>
      </c>
      <c r="O8" s="449">
        <f>industrie!O18</f>
        <v>0</v>
      </c>
      <c r="P8" s="450">
        <f>industrie!P18</f>
        <v>0</v>
      </c>
      <c r="Q8" s="448">
        <f t="shared" si="0"/>
        <v>242965.23349042522</v>
      </c>
    </row>
    <row r="9" spans="1:17" s="454" customFormat="1">
      <c r="A9" s="452" t="s">
        <v>543</v>
      </c>
      <c r="B9" s="453">
        <f>transport!B14</f>
        <v>492.59036028474543</v>
      </c>
      <c r="C9" s="453">
        <f>transport!C14</f>
        <v>0</v>
      </c>
      <c r="D9" s="453">
        <f>transport!D14</f>
        <v>798.72241642231882</v>
      </c>
      <c r="E9" s="453">
        <f>transport!E14</f>
        <v>340.59495121072882</v>
      </c>
      <c r="F9" s="453">
        <f>transport!F14</f>
        <v>0</v>
      </c>
      <c r="G9" s="453">
        <f>transport!G14</f>
        <v>153033.87245588063</v>
      </c>
      <c r="H9" s="453">
        <f>transport!H14</f>
        <v>39845.775682335639</v>
      </c>
      <c r="I9" s="453">
        <f>transport!I14</f>
        <v>0</v>
      </c>
      <c r="J9" s="453">
        <f>transport!J14</f>
        <v>0</v>
      </c>
      <c r="K9" s="453">
        <f>transport!K14</f>
        <v>0</v>
      </c>
      <c r="L9" s="453">
        <f>transport!L14</f>
        <v>0</v>
      </c>
      <c r="M9" s="453">
        <f>transport!M14</f>
        <v>11611.657654626082</v>
      </c>
      <c r="N9" s="453">
        <f>transport!N14</f>
        <v>0</v>
      </c>
      <c r="O9" s="453">
        <f>transport!O14</f>
        <v>0</v>
      </c>
      <c r="P9" s="453">
        <f>transport!P14</f>
        <v>0</v>
      </c>
      <c r="Q9" s="452">
        <f>SUM(B9:P9)</f>
        <v>206123.21352076015</v>
      </c>
    </row>
    <row r="10" spans="1:17">
      <c r="A10" s="448" t="s">
        <v>533</v>
      </c>
      <c r="B10" s="449">
        <f>transport!B54</f>
        <v>25.899254914923617</v>
      </c>
      <c r="C10" s="449">
        <f>transport!C54</f>
        <v>0</v>
      </c>
      <c r="D10" s="449">
        <f>transport!D54</f>
        <v>0</v>
      </c>
      <c r="E10" s="449">
        <f>transport!E54</f>
        <v>0</v>
      </c>
      <c r="F10" s="449">
        <f>transport!F54</f>
        <v>0</v>
      </c>
      <c r="G10" s="449">
        <f>transport!G54</f>
        <v>1621.3716566055959</v>
      </c>
      <c r="H10" s="449">
        <f>transport!H54</f>
        <v>0</v>
      </c>
      <c r="I10" s="449">
        <f>transport!I54</f>
        <v>0</v>
      </c>
      <c r="J10" s="449">
        <f>transport!J54</f>
        <v>0</v>
      </c>
      <c r="K10" s="449">
        <f>transport!K54</f>
        <v>0</v>
      </c>
      <c r="L10" s="449">
        <f>transport!L54</f>
        <v>0</v>
      </c>
      <c r="M10" s="449">
        <f>transport!M54</f>
        <v>93.095570427919895</v>
      </c>
      <c r="N10" s="449">
        <f>transport!N54</f>
        <v>0</v>
      </c>
      <c r="O10" s="449">
        <f>transport!O54</f>
        <v>0</v>
      </c>
      <c r="P10" s="450">
        <f>transport!P54</f>
        <v>0</v>
      </c>
      <c r="Q10" s="448">
        <f t="shared" si="0"/>
        <v>1740.3664819484395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1055.5709495922899</v>
      </c>
      <c r="C14" s="456"/>
      <c r="D14" s="456">
        <f>'SEAP template'!E25</f>
        <v>3565.8075076595496</v>
      </c>
      <c r="E14" s="456"/>
      <c r="F14" s="456"/>
      <c r="G14" s="456"/>
      <c r="H14" s="456"/>
      <c r="I14" s="456"/>
      <c r="J14" s="456"/>
      <c r="K14" s="456"/>
      <c r="L14" s="456"/>
      <c r="M14" s="456"/>
      <c r="N14" s="456"/>
      <c r="O14" s="456"/>
      <c r="P14" s="457"/>
      <c r="Q14" s="448">
        <f t="shared" si="0"/>
        <v>4621.3784572518398</v>
      </c>
    </row>
    <row r="15" spans="1:17" s="460" customFormat="1">
      <c r="A15" s="458" t="s">
        <v>537</v>
      </c>
      <c r="B15" s="459">
        <f ca="1">SUM(B4:B14)</f>
        <v>229984.91169695731</v>
      </c>
      <c r="C15" s="459">
        <f t="shared" ref="C15:Q15" ca="1" si="1">SUM(C4:C14)</f>
        <v>8878.7355212355214</v>
      </c>
      <c r="D15" s="459">
        <f t="shared" ca="1" si="1"/>
        <v>206542.16864343436</v>
      </c>
      <c r="E15" s="459">
        <f t="shared" si="1"/>
        <v>13304.580619684317</v>
      </c>
      <c r="F15" s="459">
        <f t="shared" ca="1" si="1"/>
        <v>87357.144640947125</v>
      </c>
      <c r="G15" s="459">
        <f t="shared" si="1"/>
        <v>154655.24411248622</v>
      </c>
      <c r="H15" s="459">
        <f t="shared" si="1"/>
        <v>39845.775682335639</v>
      </c>
      <c r="I15" s="459">
        <f t="shared" si="1"/>
        <v>0</v>
      </c>
      <c r="J15" s="459">
        <f t="shared" si="1"/>
        <v>1330.28671202387</v>
      </c>
      <c r="K15" s="459">
        <f t="shared" si="1"/>
        <v>0</v>
      </c>
      <c r="L15" s="459">
        <f t="shared" ca="1" si="1"/>
        <v>0</v>
      </c>
      <c r="M15" s="459">
        <f t="shared" si="1"/>
        <v>11704.753225054003</v>
      </c>
      <c r="N15" s="459">
        <f t="shared" ca="1" si="1"/>
        <v>19405.278002810122</v>
      </c>
      <c r="O15" s="459">
        <f t="shared" si="1"/>
        <v>526.42773333412481</v>
      </c>
      <c r="P15" s="459">
        <f t="shared" si="1"/>
        <v>3064.7288673766916</v>
      </c>
      <c r="Q15" s="459">
        <f t="shared" ca="1" si="1"/>
        <v>776600.03545767919</v>
      </c>
    </row>
    <row r="17" spans="1:17">
      <c r="A17" s="461" t="s">
        <v>538</v>
      </c>
      <c r="B17" s="778">
        <f ca="1">huishoudens!B10</f>
        <v>0.18209861832207577</v>
      </c>
      <c r="C17" s="778">
        <f ca="1">huishoudens!C10</f>
        <v>0.23755663290723167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7310.5984483852253</v>
      </c>
      <c r="C22" s="449">
        <f t="shared" ref="C22:C32" ca="1" si="3">C4*$C$17</f>
        <v>0</v>
      </c>
      <c r="D22" s="449">
        <f t="shared" ref="D22:D32" si="4">D4*$D$17</f>
        <v>19545.413482708605</v>
      </c>
      <c r="E22" s="449">
        <f t="shared" ref="E22:E32" si="5">E4*$E$17</f>
        <v>512.02673552050896</v>
      </c>
      <c r="F22" s="449">
        <f t="shared" ref="F22:F32" si="6">F4*$F$17</f>
        <v>13193.290508119391</v>
      </c>
      <c r="G22" s="449">
        <f t="shared" ref="G22:G32" si="7">G4*$G$17</f>
        <v>0</v>
      </c>
      <c r="H22" s="449">
        <f t="shared" ref="H22:H32" si="8">H4*$H$17</f>
        <v>0</v>
      </c>
      <c r="I22" s="449">
        <f t="shared" ref="I22:I32" si="9">I4*$I$17</f>
        <v>0</v>
      </c>
      <c r="J22" s="449">
        <f t="shared" ref="J22:J32" si="10">J4*$J$17</f>
        <v>99.690119791613427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40661.019294525351</v>
      </c>
    </row>
    <row r="23" spans="1:17">
      <c r="A23" s="448" t="s">
        <v>155</v>
      </c>
      <c r="B23" s="449">
        <f t="shared" ca="1" si="2"/>
        <v>6573.9661469316343</v>
      </c>
      <c r="C23" s="449">
        <f t="shared" ca="1" si="3"/>
        <v>118.47013487579027</v>
      </c>
      <c r="D23" s="449">
        <f t="shared" ca="1" si="4"/>
        <v>7167.3918154656858</v>
      </c>
      <c r="E23" s="449">
        <f t="shared" si="5"/>
        <v>45.205690878997665</v>
      </c>
      <c r="F23" s="449">
        <f t="shared" ca="1" si="6"/>
        <v>2494.454902004557</v>
      </c>
      <c r="G23" s="449">
        <f t="shared" si="7"/>
        <v>0</v>
      </c>
      <c r="H23" s="449">
        <f t="shared" si="8"/>
        <v>0</v>
      </c>
      <c r="I23" s="449">
        <f t="shared" si="9"/>
        <v>0</v>
      </c>
      <c r="J23" s="449">
        <f t="shared" si="10"/>
        <v>2.6472422010085535E-2</v>
      </c>
      <c r="K23" s="449">
        <f t="shared" si="11"/>
        <v>0</v>
      </c>
      <c r="L23" s="449">
        <f t="shared" ca="1" si="12"/>
        <v>0</v>
      </c>
      <c r="M23" s="449">
        <f t="shared" si="13"/>
        <v>0</v>
      </c>
      <c r="N23" s="449">
        <f t="shared" ca="1" si="14"/>
        <v>0</v>
      </c>
      <c r="O23" s="449">
        <f t="shared" si="15"/>
        <v>0</v>
      </c>
      <c r="P23" s="450">
        <f t="shared" si="16"/>
        <v>0</v>
      </c>
      <c r="Q23" s="448">
        <f t="shared" ref="Q23:Q31" ca="1" si="17">SUM(B23:P23)</f>
        <v>16399.515162578675</v>
      </c>
    </row>
    <row r="24" spans="1:17">
      <c r="A24" s="448" t="s">
        <v>193</v>
      </c>
      <c r="B24" s="449">
        <f t="shared" ca="1" si="2"/>
        <v>340.6351322222215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340.6351322222215</v>
      </c>
    </row>
    <row r="25" spans="1:17">
      <c r="A25" s="448" t="s">
        <v>111</v>
      </c>
      <c r="B25" s="449">
        <f t="shared" ca="1" si="2"/>
        <v>711.92359340789585</v>
      </c>
      <c r="C25" s="449">
        <f t="shared" ca="1" si="3"/>
        <v>1788.1305088147301</v>
      </c>
      <c r="D25" s="449">
        <f t="shared" si="4"/>
        <v>757.55036320438467</v>
      </c>
      <c r="E25" s="449">
        <f t="shared" si="5"/>
        <v>25.418578957561113</v>
      </c>
      <c r="F25" s="449">
        <f t="shared" si="6"/>
        <v>3304.2891332827348</v>
      </c>
      <c r="G25" s="449">
        <f t="shared" si="7"/>
        <v>0</v>
      </c>
      <c r="H25" s="449">
        <f t="shared" si="8"/>
        <v>0</v>
      </c>
      <c r="I25" s="449">
        <f t="shared" si="9"/>
        <v>0</v>
      </c>
      <c r="J25" s="449">
        <f t="shared" si="10"/>
        <v>351.90280212020446</v>
      </c>
      <c r="K25" s="449">
        <f t="shared" si="11"/>
        <v>0</v>
      </c>
      <c r="L25" s="449">
        <f t="shared" si="12"/>
        <v>0</v>
      </c>
      <c r="M25" s="449">
        <f t="shared" si="13"/>
        <v>0</v>
      </c>
      <c r="N25" s="449">
        <f t="shared" si="14"/>
        <v>0</v>
      </c>
      <c r="O25" s="449">
        <f t="shared" si="15"/>
        <v>0</v>
      </c>
      <c r="P25" s="450">
        <f t="shared" si="16"/>
        <v>0</v>
      </c>
      <c r="Q25" s="448">
        <f t="shared" ca="1" si="17"/>
        <v>6939.2149797875118</v>
      </c>
    </row>
    <row r="26" spans="1:17">
      <c r="A26" s="448" t="s">
        <v>617</v>
      </c>
      <c r="B26" s="449">
        <f t="shared" ca="1" si="2"/>
        <v>26656.177079989669</v>
      </c>
      <c r="C26" s="449">
        <f t="shared" ca="1" si="3"/>
        <v>202.60187120802473</v>
      </c>
      <c r="D26" s="449">
        <f t="shared" si="4"/>
        <v>13369.527359930535</v>
      </c>
      <c r="E26" s="449">
        <f t="shared" si="5"/>
        <v>2360.1737413864366</v>
      </c>
      <c r="F26" s="449">
        <f t="shared" si="6"/>
        <v>4332.3230757262008</v>
      </c>
      <c r="G26" s="449">
        <f t="shared" si="7"/>
        <v>0</v>
      </c>
      <c r="H26" s="449">
        <f t="shared" si="8"/>
        <v>0</v>
      </c>
      <c r="I26" s="449">
        <f t="shared" si="9"/>
        <v>0</v>
      </c>
      <c r="J26" s="449">
        <f t="shared" si="10"/>
        <v>19.302101722621988</v>
      </c>
      <c r="K26" s="449">
        <f t="shared" si="11"/>
        <v>0</v>
      </c>
      <c r="L26" s="449">
        <f t="shared" si="12"/>
        <v>0</v>
      </c>
      <c r="M26" s="449">
        <f t="shared" si="13"/>
        <v>0</v>
      </c>
      <c r="N26" s="449">
        <f t="shared" si="14"/>
        <v>0</v>
      </c>
      <c r="O26" s="449">
        <f t="shared" si="15"/>
        <v>0</v>
      </c>
      <c r="P26" s="450">
        <f t="shared" si="16"/>
        <v>0</v>
      </c>
      <c r="Q26" s="448">
        <f t="shared" ca="1" si="17"/>
        <v>46940.10522996349</v>
      </c>
    </row>
    <row r="27" spans="1:17" s="454" customFormat="1">
      <c r="A27" s="452" t="s">
        <v>543</v>
      </c>
      <c r="B27" s="772">
        <f t="shared" ca="1" si="2"/>
        <v>89.700024006625654</v>
      </c>
      <c r="C27" s="453">
        <f t="shared" ca="1" si="3"/>
        <v>0</v>
      </c>
      <c r="D27" s="453">
        <f t="shared" si="4"/>
        <v>161.34192811730841</v>
      </c>
      <c r="E27" s="453">
        <f t="shared" si="5"/>
        <v>77.315053924835439</v>
      </c>
      <c r="F27" s="453">
        <f t="shared" si="6"/>
        <v>0</v>
      </c>
      <c r="G27" s="453">
        <f t="shared" si="7"/>
        <v>40860.043945720128</v>
      </c>
      <c r="H27" s="453">
        <f t="shared" si="8"/>
        <v>9921.5981449015744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51109.999096670472</v>
      </c>
    </row>
    <row r="28" spans="1:17" ht="16.5" customHeight="1">
      <c r="A28" s="448" t="s">
        <v>533</v>
      </c>
      <c r="B28" s="449">
        <f t="shared" ca="1" si="2"/>
        <v>4.7162185355788209</v>
      </c>
      <c r="C28" s="449">
        <f t="shared" ca="1" si="3"/>
        <v>0</v>
      </c>
      <c r="D28" s="449">
        <f t="shared" si="4"/>
        <v>0</v>
      </c>
      <c r="E28" s="449">
        <f t="shared" si="5"/>
        <v>0</v>
      </c>
      <c r="F28" s="449">
        <f t="shared" si="6"/>
        <v>0</v>
      </c>
      <c r="G28" s="449">
        <f t="shared" si="7"/>
        <v>432.90623231369415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437.62245084927298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192.21801146167749</v>
      </c>
      <c r="C32" s="449">
        <f t="shared" ca="1" si="3"/>
        <v>0</v>
      </c>
      <c r="D32" s="449">
        <f t="shared" si="4"/>
        <v>720.29311654722903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912.51112800890655</v>
      </c>
    </row>
    <row r="33" spans="1:17" s="460" customFormat="1">
      <c r="A33" s="458" t="s">
        <v>537</v>
      </c>
      <c r="B33" s="459">
        <f ca="1">SUM(B22:B32)</f>
        <v>41879.934654940531</v>
      </c>
      <c r="C33" s="459">
        <f t="shared" ref="C33:Q33" ca="1" si="19">SUM(C22:C32)</f>
        <v>2109.2025148985454</v>
      </c>
      <c r="D33" s="459">
        <f t="shared" ca="1" si="19"/>
        <v>41721.518065973745</v>
      </c>
      <c r="E33" s="459">
        <f t="shared" si="19"/>
        <v>3020.1398006683398</v>
      </c>
      <c r="F33" s="459">
        <f t="shared" ca="1" si="19"/>
        <v>23324.357619132883</v>
      </c>
      <c r="G33" s="459">
        <f t="shared" si="19"/>
        <v>41292.950178033825</v>
      </c>
      <c r="H33" s="459">
        <f t="shared" si="19"/>
        <v>9921.5981449015744</v>
      </c>
      <c r="I33" s="459">
        <f t="shared" si="19"/>
        <v>0</v>
      </c>
      <c r="J33" s="459">
        <f t="shared" si="19"/>
        <v>470.92149605645</v>
      </c>
      <c r="K33" s="459">
        <f t="shared" si="19"/>
        <v>0</v>
      </c>
      <c r="L33" s="459">
        <f t="shared" ca="1" si="19"/>
        <v>0</v>
      </c>
      <c r="M33" s="459">
        <f t="shared" si="19"/>
        <v>0</v>
      </c>
      <c r="N33" s="459">
        <f t="shared" ca="1" si="19"/>
        <v>0</v>
      </c>
      <c r="O33" s="459">
        <f t="shared" si="19"/>
        <v>0</v>
      </c>
      <c r="P33" s="459">
        <f t="shared" si="19"/>
        <v>0</v>
      </c>
      <c r="Q33" s="459">
        <f t="shared" ca="1" si="19"/>
        <v>163740.62247460592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23625.299929336514</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17323.253480643045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6215</v>
      </c>
      <c r="D8" s="1016">
        <f>'SEAP template'!D76</f>
        <v>7308.9825421705173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1476.4144735184445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40948.553409979562</v>
      </c>
      <c r="C10" s="1018">
        <f>SUM(C4:C9)</f>
        <v>6215</v>
      </c>
      <c r="D10" s="1018">
        <f t="shared" ref="D10:H10" si="0">SUM(D8:D9)</f>
        <v>7308.9825421705173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1476.4144735184445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0.18209861832207577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8878.7355212355214</v>
      </c>
      <c r="D17" s="1017">
        <f>'SEAP template'!D87</f>
        <v>10441.596608408638</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2109.2025148985449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8878.7355212355214</v>
      </c>
      <c r="D20" s="1018">
        <f t="shared" ref="D20:H20" si="2">SUM(D17:D19)</f>
        <v>10441.596608408638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2109.2025148985449</v>
      </c>
    </row>
    <row r="21" spans="1:16">
      <c r="B21" s="883"/>
    </row>
    <row r="22" spans="1:16">
      <c r="A22" s="461" t="s">
        <v>755</v>
      </c>
      <c r="B22" s="778" t="s">
        <v>753</v>
      </c>
      <c r="C22" s="778">
        <f ca="1">'EF ele_warmte'!B22</f>
        <v>0.23755663290723167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0.18209861832207577</v>
      </c>
      <c r="C17" s="498">
        <f ca="1">'EF ele_warmte'!B22</f>
        <v>0.23755663290723167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14.691782297523464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0.18209861832207577</v>
      </c>
      <c r="C17" s="498">
        <f ca="1">'EF ele_warmte'!B22</f>
        <v>0.23755663290723167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0.18209861832207577</v>
      </c>
      <c r="C29" s="499">
        <f ca="1">'EF ele_warmte'!B22</f>
        <v>0.23755663290723167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10478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2254.3200000000002</v>
      </c>
      <c r="C14" s="326"/>
      <c r="D14" s="326"/>
      <c r="E14" s="326"/>
      <c r="F14" s="326"/>
    </row>
    <row r="15" spans="1:6">
      <c r="A15" s="1312" t="s">
        <v>183</v>
      </c>
      <c r="B15" s="1313">
        <v>4141</v>
      </c>
      <c r="C15" s="326"/>
      <c r="D15" s="326"/>
      <c r="E15" s="326"/>
      <c r="F15" s="326"/>
    </row>
    <row r="16" spans="1:6">
      <c r="A16" s="1312" t="s">
        <v>6</v>
      </c>
      <c r="B16" s="1313">
        <v>1907</v>
      </c>
      <c r="C16" s="326"/>
      <c r="D16" s="326"/>
      <c r="E16" s="326"/>
      <c r="F16" s="326"/>
    </row>
    <row r="17" spans="1:6">
      <c r="A17" s="1312" t="s">
        <v>7</v>
      </c>
      <c r="B17" s="1313">
        <v>143</v>
      </c>
      <c r="C17" s="326"/>
      <c r="D17" s="326"/>
      <c r="E17" s="326"/>
      <c r="F17" s="326"/>
    </row>
    <row r="18" spans="1:6">
      <c r="A18" s="1312" t="s">
        <v>8</v>
      </c>
      <c r="B18" s="1313">
        <v>1049</v>
      </c>
      <c r="C18" s="326"/>
      <c r="D18" s="326"/>
      <c r="E18" s="326"/>
      <c r="F18" s="326"/>
    </row>
    <row r="19" spans="1:6">
      <c r="A19" s="1312" t="s">
        <v>9</v>
      </c>
      <c r="B19" s="1313">
        <v>986</v>
      </c>
      <c r="C19" s="326"/>
      <c r="D19" s="326"/>
      <c r="E19" s="326"/>
      <c r="F19" s="326"/>
    </row>
    <row r="20" spans="1:6">
      <c r="A20" s="1312" t="s">
        <v>10</v>
      </c>
      <c r="B20" s="1313">
        <v>884</v>
      </c>
      <c r="C20" s="326"/>
      <c r="D20" s="326"/>
      <c r="E20" s="326"/>
      <c r="F20" s="326"/>
    </row>
    <row r="21" spans="1:6">
      <c r="A21" s="1312" t="s">
        <v>11</v>
      </c>
      <c r="B21" s="1313">
        <v>1483</v>
      </c>
      <c r="C21" s="326"/>
      <c r="D21" s="326"/>
      <c r="E21" s="326"/>
      <c r="F21" s="326"/>
    </row>
    <row r="22" spans="1:6">
      <c r="A22" s="1312" t="s">
        <v>12</v>
      </c>
      <c r="B22" s="1313">
        <v>2077</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253</v>
      </c>
      <c r="C25" s="326"/>
      <c r="D25" s="326"/>
      <c r="E25" s="326"/>
      <c r="F25" s="326"/>
    </row>
    <row r="26" spans="1:6">
      <c r="A26" s="1312" t="s">
        <v>16</v>
      </c>
      <c r="B26" s="1313">
        <v>129</v>
      </c>
      <c r="C26" s="326"/>
      <c r="D26" s="326"/>
      <c r="E26" s="326"/>
      <c r="F26" s="326"/>
    </row>
    <row r="27" spans="1:6">
      <c r="A27" s="1312" t="s">
        <v>17</v>
      </c>
      <c r="B27" s="1313">
        <v>4</v>
      </c>
      <c r="C27" s="326"/>
      <c r="D27" s="326"/>
      <c r="E27" s="326"/>
      <c r="F27" s="326"/>
    </row>
    <row r="28" spans="1:6" s="43" customFormat="1">
      <c r="A28" s="1314" t="s">
        <v>18</v>
      </c>
      <c r="B28" s="1315">
        <v>12333</v>
      </c>
      <c r="C28" s="332"/>
      <c r="D28" s="332"/>
      <c r="E28" s="332"/>
      <c r="F28" s="332"/>
    </row>
    <row r="29" spans="1:6">
      <c r="A29" s="1314" t="s">
        <v>684</v>
      </c>
      <c r="B29" s="1315">
        <v>261</v>
      </c>
      <c r="C29" s="332"/>
      <c r="D29" s="332"/>
      <c r="E29" s="332"/>
      <c r="F29" s="332"/>
    </row>
    <row r="30" spans="1:6">
      <c r="A30" s="1307" t="s">
        <v>685</v>
      </c>
      <c r="B30" s="1316">
        <v>76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256087.931750524</v>
      </c>
      <c r="E36" s="1313">
        <v>5</v>
      </c>
      <c r="F36" s="1313">
        <v>36596.690405118803</v>
      </c>
    </row>
    <row r="37" spans="1:6">
      <c r="A37" s="1312" t="s">
        <v>24</v>
      </c>
      <c r="B37" s="1312" t="s">
        <v>27</v>
      </c>
      <c r="C37" s="1313">
        <v>0</v>
      </c>
      <c r="D37" s="1313">
        <v>0</v>
      </c>
      <c r="E37" s="1313">
        <v>0</v>
      </c>
      <c r="F37" s="1313">
        <v>0</v>
      </c>
    </row>
    <row r="38" spans="1:6">
      <c r="A38" s="1312" t="s">
        <v>24</v>
      </c>
      <c r="B38" s="1312" t="s">
        <v>28</v>
      </c>
      <c r="C38" s="1313">
        <v>1</v>
      </c>
      <c r="D38" s="1313">
        <v>3648.4050754612999</v>
      </c>
      <c r="E38" s="1313">
        <v>2</v>
      </c>
      <c r="F38" s="1313">
        <v>6041.9745817055991</v>
      </c>
    </row>
    <row r="39" spans="1:6">
      <c r="A39" s="1312" t="s">
        <v>29</v>
      </c>
      <c r="B39" s="1312" t="s">
        <v>30</v>
      </c>
      <c r="C39" s="1313">
        <v>7008</v>
      </c>
      <c r="D39" s="1313">
        <v>107137565.572506</v>
      </c>
      <c r="E39" s="1313">
        <v>10411</v>
      </c>
      <c r="F39" s="1313">
        <v>30301811.321948599</v>
      </c>
    </row>
    <row r="40" spans="1:6">
      <c r="A40" s="1312" t="s">
        <v>29</v>
      </c>
      <c r="B40" s="1312" t="s">
        <v>28</v>
      </c>
      <c r="C40" s="1313">
        <v>1</v>
      </c>
      <c r="D40" s="1313">
        <v>15781.8103026932</v>
      </c>
      <c r="E40" s="1313">
        <v>1</v>
      </c>
      <c r="F40" s="1313">
        <v>1205.7641224626</v>
      </c>
    </row>
    <row r="41" spans="1:6">
      <c r="A41" s="1312" t="s">
        <v>31</v>
      </c>
      <c r="B41" s="1312" t="s">
        <v>32</v>
      </c>
      <c r="C41" s="1313">
        <v>102</v>
      </c>
      <c r="D41" s="1313">
        <v>19610790.2477942</v>
      </c>
      <c r="E41" s="1313">
        <v>201</v>
      </c>
      <c r="F41" s="1313">
        <v>17873003.680346601</v>
      </c>
    </row>
    <row r="42" spans="1:6">
      <c r="A42" s="1312" t="s">
        <v>31</v>
      </c>
      <c r="B42" s="1312" t="s">
        <v>33</v>
      </c>
      <c r="C42" s="1313">
        <v>7</v>
      </c>
      <c r="D42" s="1313">
        <v>29780738.605774399</v>
      </c>
      <c r="E42" s="1313">
        <v>8</v>
      </c>
      <c r="F42" s="1313">
        <v>47431561.967852801</v>
      </c>
    </row>
    <row r="43" spans="1:6">
      <c r="A43" s="1312" t="s">
        <v>31</v>
      </c>
      <c r="B43" s="1312" t="s">
        <v>34</v>
      </c>
      <c r="C43" s="1313">
        <v>0</v>
      </c>
      <c r="D43" s="1313">
        <v>0</v>
      </c>
      <c r="E43" s="1313">
        <v>0</v>
      </c>
      <c r="F43" s="1313">
        <v>0</v>
      </c>
    </row>
    <row r="44" spans="1:6">
      <c r="A44" s="1312" t="s">
        <v>31</v>
      </c>
      <c r="B44" s="1312" t="s">
        <v>35</v>
      </c>
      <c r="C44" s="1313">
        <v>17</v>
      </c>
      <c r="D44" s="1313">
        <v>828514.11768195697</v>
      </c>
      <c r="E44" s="1313">
        <v>33</v>
      </c>
      <c r="F44" s="1313">
        <v>58399462.586798497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8</v>
      </c>
      <c r="D47" s="1313">
        <v>113722.23092876701</v>
      </c>
      <c r="E47" s="1313">
        <v>8</v>
      </c>
      <c r="F47" s="1313">
        <v>48988.458791343197</v>
      </c>
    </row>
    <row r="48" spans="1:6">
      <c r="A48" s="1312" t="s">
        <v>31</v>
      </c>
      <c r="B48" s="1312" t="s">
        <v>28</v>
      </c>
      <c r="C48" s="1313">
        <v>3</v>
      </c>
      <c r="D48" s="1313">
        <v>2987809.816082248</v>
      </c>
      <c r="E48" s="1313">
        <v>3</v>
      </c>
      <c r="F48" s="1313">
        <v>1230263.4893375381</v>
      </c>
    </row>
    <row r="49" spans="1:6">
      <c r="A49" s="1312" t="s">
        <v>31</v>
      </c>
      <c r="B49" s="1312" t="s">
        <v>39</v>
      </c>
      <c r="C49" s="1313">
        <v>4</v>
      </c>
      <c r="D49" s="1313">
        <v>103447.233139991</v>
      </c>
      <c r="E49" s="1313">
        <v>4</v>
      </c>
      <c r="F49" s="1313">
        <v>27717.437175041501</v>
      </c>
    </row>
    <row r="50" spans="1:6">
      <c r="A50" s="1312" t="s">
        <v>31</v>
      </c>
      <c r="B50" s="1312" t="s">
        <v>40</v>
      </c>
      <c r="C50" s="1313">
        <v>18</v>
      </c>
      <c r="D50" s="1313">
        <v>21759355.705709599</v>
      </c>
      <c r="E50" s="1313">
        <v>26</v>
      </c>
      <c r="F50" s="1313">
        <v>20775194.770774901</v>
      </c>
    </row>
    <row r="51" spans="1:6">
      <c r="A51" s="1312" t="s">
        <v>41</v>
      </c>
      <c r="B51" s="1312" t="s">
        <v>42</v>
      </c>
      <c r="C51" s="1313">
        <v>23</v>
      </c>
      <c r="D51" s="1313">
        <v>20823059.020782899</v>
      </c>
      <c r="E51" s="1313">
        <v>83</v>
      </c>
      <c r="F51" s="1313">
        <v>3909549.6713144998</v>
      </c>
    </row>
    <row r="52" spans="1:6">
      <c r="A52" s="1312" t="s">
        <v>41</v>
      </c>
      <c r="B52" s="1312" t="s">
        <v>28</v>
      </c>
      <c r="C52" s="1313">
        <v>0</v>
      </c>
      <c r="D52" s="1313">
        <v>0</v>
      </c>
      <c r="E52" s="1313">
        <v>0</v>
      </c>
      <c r="F52" s="1313">
        <v>0</v>
      </c>
    </row>
    <row r="53" spans="1:6">
      <c r="A53" s="1312" t="s">
        <v>43</v>
      </c>
      <c r="B53" s="1312" t="s">
        <v>44</v>
      </c>
      <c r="C53" s="1313">
        <v>92</v>
      </c>
      <c r="D53" s="1313">
        <v>3565807.5076595498</v>
      </c>
      <c r="E53" s="1313">
        <v>273</v>
      </c>
      <c r="F53" s="1313">
        <v>1055570.94959229</v>
      </c>
    </row>
    <row r="54" spans="1:6">
      <c r="A54" s="1312" t="s">
        <v>45</v>
      </c>
      <c r="B54" s="1312" t="s">
        <v>46</v>
      </c>
      <c r="C54" s="1313">
        <v>0</v>
      </c>
      <c r="D54" s="1313">
        <v>0</v>
      </c>
      <c r="E54" s="1313">
        <v>1</v>
      </c>
      <c r="F54" s="1313">
        <v>1870608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133</v>
      </c>
      <c r="D57" s="1313">
        <v>10652533.012190901</v>
      </c>
      <c r="E57" s="1313">
        <v>234</v>
      </c>
      <c r="F57" s="1313">
        <v>7393670.2150278101</v>
      </c>
    </row>
    <row r="58" spans="1:6">
      <c r="A58" s="1312" t="s">
        <v>48</v>
      </c>
      <c r="B58" s="1312" t="s">
        <v>50</v>
      </c>
      <c r="C58" s="1313">
        <v>51</v>
      </c>
      <c r="D58" s="1313">
        <v>2808002.8084515999</v>
      </c>
      <c r="E58" s="1313">
        <v>72</v>
      </c>
      <c r="F58" s="1313">
        <v>1011479.05382947</v>
      </c>
    </row>
    <row r="59" spans="1:6">
      <c r="A59" s="1312" t="s">
        <v>48</v>
      </c>
      <c r="B59" s="1312" t="s">
        <v>51</v>
      </c>
      <c r="C59" s="1313">
        <v>132</v>
      </c>
      <c r="D59" s="1313">
        <v>6247182.23128838</v>
      </c>
      <c r="E59" s="1313">
        <v>252</v>
      </c>
      <c r="F59" s="1313">
        <v>12608351.251265399</v>
      </c>
    </row>
    <row r="60" spans="1:6">
      <c r="A60" s="1312" t="s">
        <v>48</v>
      </c>
      <c r="B60" s="1312" t="s">
        <v>52</v>
      </c>
      <c r="C60" s="1313">
        <v>87</v>
      </c>
      <c r="D60" s="1313">
        <v>4840609.0857448401</v>
      </c>
      <c r="E60" s="1313">
        <v>110</v>
      </c>
      <c r="F60" s="1313">
        <v>3274099.2369279498</v>
      </c>
    </row>
    <row r="61" spans="1:6">
      <c r="A61" s="1312" t="s">
        <v>48</v>
      </c>
      <c r="B61" s="1312" t="s">
        <v>53</v>
      </c>
      <c r="C61" s="1313">
        <v>212</v>
      </c>
      <c r="D61" s="1313">
        <v>11842262.6829514</v>
      </c>
      <c r="E61" s="1313">
        <v>423</v>
      </c>
      <c r="F61" s="1313">
        <v>10502502.451887</v>
      </c>
    </row>
    <row r="62" spans="1:6">
      <c r="A62" s="1312" t="s">
        <v>48</v>
      </c>
      <c r="B62" s="1312" t="s">
        <v>54</v>
      </c>
      <c r="C62" s="1313">
        <v>19</v>
      </c>
      <c r="D62" s="1313">
        <v>4001469.52845047</v>
      </c>
      <c r="E62" s="1313">
        <v>21</v>
      </c>
      <c r="F62" s="1313">
        <v>962029.18627337494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45506.1227358412</v>
      </c>
      <c r="E65" s="1313">
        <v>0</v>
      </c>
      <c r="F65" s="1313">
        <v>0</v>
      </c>
    </row>
    <row r="66" spans="1:6">
      <c r="A66" s="1312" t="s">
        <v>55</v>
      </c>
      <c r="B66" s="1312" t="s">
        <v>57</v>
      </c>
      <c r="C66" s="1313">
        <v>0</v>
      </c>
      <c r="D66" s="1313">
        <v>0</v>
      </c>
      <c r="E66" s="1313">
        <v>13</v>
      </c>
      <c r="F66" s="1313">
        <v>377430.625623987</v>
      </c>
    </row>
    <row r="67" spans="1:6">
      <c r="A67" s="1314" t="s">
        <v>55</v>
      </c>
      <c r="B67" s="1314" t="s">
        <v>58</v>
      </c>
      <c r="C67" s="1313">
        <v>0</v>
      </c>
      <c r="D67" s="1313">
        <v>0</v>
      </c>
      <c r="E67" s="1313">
        <v>0</v>
      </c>
      <c r="F67" s="1313">
        <v>0</v>
      </c>
    </row>
    <row r="68" spans="1:6">
      <c r="A68" s="1307" t="s">
        <v>55</v>
      </c>
      <c r="B68" s="1307" t="s">
        <v>59</v>
      </c>
      <c r="C68" s="1316">
        <v>0</v>
      </c>
      <c r="D68" s="1316">
        <v>0</v>
      </c>
      <c r="E68" s="1316">
        <v>17</v>
      </c>
      <c r="F68" s="1316">
        <v>356415.62996366801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117083935</v>
      </c>
      <c r="E73" s="447"/>
      <c r="F73" s="326"/>
    </row>
    <row r="74" spans="1:6">
      <c r="A74" s="1312" t="s">
        <v>63</v>
      </c>
      <c r="B74" s="1312" t="s">
        <v>638</v>
      </c>
      <c r="C74" s="1326" t="s">
        <v>640</v>
      </c>
      <c r="D74" s="1327">
        <v>7121185.2427071957</v>
      </c>
      <c r="E74" s="447"/>
      <c r="F74" s="326"/>
    </row>
    <row r="75" spans="1:6">
      <c r="A75" s="1312" t="s">
        <v>64</v>
      </c>
      <c r="B75" s="1312" t="s">
        <v>637</v>
      </c>
      <c r="C75" s="1326" t="s">
        <v>641</v>
      </c>
      <c r="D75" s="1327">
        <v>21642311</v>
      </c>
      <c r="E75" s="447"/>
      <c r="F75" s="326"/>
    </row>
    <row r="76" spans="1:6">
      <c r="A76" s="1312" t="s">
        <v>64</v>
      </c>
      <c r="B76" s="1312" t="s">
        <v>638</v>
      </c>
      <c r="C76" s="1326" t="s">
        <v>642</v>
      </c>
      <c r="D76" s="1327">
        <v>329937.24270719546</v>
      </c>
      <c r="E76" s="447"/>
      <c r="F76" s="326"/>
    </row>
    <row r="77" spans="1:6">
      <c r="A77" s="1312" t="s">
        <v>65</v>
      </c>
      <c r="B77" s="1312" t="s">
        <v>637</v>
      </c>
      <c r="C77" s="1326" t="s">
        <v>643</v>
      </c>
      <c r="D77" s="1327">
        <v>91436361</v>
      </c>
      <c r="E77" s="447"/>
      <c r="F77" s="326"/>
    </row>
    <row r="78" spans="1:6">
      <c r="A78" s="1307" t="s">
        <v>65</v>
      </c>
      <c r="B78" s="1307" t="s">
        <v>638</v>
      </c>
      <c r="C78" s="1307" t="s">
        <v>644</v>
      </c>
      <c r="D78" s="1328">
        <v>14133488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483077.51458560902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23625.299929336514</v>
      </c>
      <c r="C90" s="326"/>
      <c r="D90" s="326"/>
      <c r="E90" s="326"/>
      <c r="F90" s="326"/>
    </row>
    <row r="91" spans="1:6">
      <c r="A91" s="1312" t="s">
        <v>67</v>
      </c>
      <c r="B91" s="1313">
        <v>9843.3525884920455</v>
      </c>
      <c r="C91" s="326"/>
      <c r="D91" s="326"/>
      <c r="E91" s="326"/>
      <c r="F91" s="326"/>
    </row>
    <row r="92" spans="1:6">
      <c r="A92" s="1307" t="s">
        <v>68</v>
      </c>
      <c r="B92" s="1308">
        <v>7479.9008921509994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3611</v>
      </c>
      <c r="C97" s="326"/>
      <c r="D97" s="326"/>
      <c r="E97" s="326"/>
      <c r="F97" s="326"/>
    </row>
    <row r="98" spans="1:6">
      <c r="A98" s="1312" t="s">
        <v>71</v>
      </c>
      <c r="B98" s="1313">
        <v>8</v>
      </c>
      <c r="C98" s="326"/>
      <c r="D98" s="326"/>
      <c r="E98" s="326"/>
      <c r="F98" s="326"/>
    </row>
    <row r="99" spans="1:6">
      <c r="A99" s="1312" t="s">
        <v>72</v>
      </c>
      <c r="B99" s="1313">
        <v>95</v>
      </c>
      <c r="C99" s="326"/>
      <c r="D99" s="326"/>
      <c r="E99" s="326"/>
      <c r="F99" s="326"/>
    </row>
    <row r="100" spans="1:6">
      <c r="A100" s="1312" t="s">
        <v>73</v>
      </c>
      <c r="B100" s="1313">
        <v>255</v>
      </c>
      <c r="C100" s="326"/>
      <c r="D100" s="326"/>
      <c r="E100" s="326"/>
      <c r="F100" s="326"/>
    </row>
    <row r="101" spans="1:6">
      <c r="A101" s="1312" t="s">
        <v>74</v>
      </c>
      <c r="B101" s="1313">
        <v>106</v>
      </c>
      <c r="C101" s="326"/>
      <c r="D101" s="326"/>
      <c r="E101" s="326"/>
      <c r="F101" s="326"/>
    </row>
    <row r="102" spans="1:6">
      <c r="A102" s="1312" t="s">
        <v>75</v>
      </c>
      <c r="B102" s="1313">
        <v>81</v>
      </c>
      <c r="C102" s="326"/>
      <c r="D102" s="326"/>
      <c r="E102" s="326"/>
      <c r="F102" s="326"/>
    </row>
    <row r="103" spans="1:6">
      <c r="A103" s="1312" t="s">
        <v>76</v>
      </c>
      <c r="B103" s="1313">
        <v>196</v>
      </c>
      <c r="C103" s="326"/>
      <c r="D103" s="326"/>
      <c r="E103" s="326"/>
      <c r="F103" s="326"/>
    </row>
    <row r="104" spans="1:6">
      <c r="A104" s="1312" t="s">
        <v>77</v>
      </c>
      <c r="B104" s="1313">
        <v>3988</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3</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0</v>
      </c>
      <c r="C122" s="1313">
        <v>0</v>
      </c>
      <c r="D122" s="326"/>
      <c r="E122" s="326"/>
      <c r="F122" s="326"/>
    </row>
    <row r="123" spans="1:6">
      <c r="A123" s="1312" t="s">
        <v>87</v>
      </c>
      <c r="B123" s="1313">
        <v>181</v>
      </c>
      <c r="C123" s="1313">
        <v>40</v>
      </c>
      <c r="D123" s="326"/>
      <c r="E123" s="326"/>
      <c r="F123" s="326"/>
    </row>
    <row r="124" spans="1:6" s="43" customFormat="1">
      <c r="A124" s="1314" t="s">
        <v>88</v>
      </c>
      <c r="B124" s="1335">
        <v>7</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211</v>
      </c>
      <c r="C129" s="326"/>
      <c r="D129" s="326"/>
      <c r="E129" s="326"/>
      <c r="F129" s="326"/>
    </row>
    <row r="130" spans="1:6">
      <c r="A130" s="1312" t="s">
        <v>290</v>
      </c>
      <c r="B130" s="1313">
        <v>5</v>
      </c>
      <c r="C130" s="326"/>
      <c r="D130" s="326"/>
      <c r="E130" s="326"/>
      <c r="F130" s="326"/>
    </row>
    <row r="131" spans="1:6">
      <c r="A131" s="1312" t="s">
        <v>291</v>
      </c>
      <c r="B131" s="1313">
        <v>1</v>
      </c>
      <c r="C131" s="326"/>
      <c r="D131" s="326"/>
      <c r="E131" s="326"/>
      <c r="F131" s="326"/>
    </row>
    <row r="132" spans="1:6">
      <c r="A132" s="1307" t="s">
        <v>292</v>
      </c>
      <c r="B132" s="1308">
        <v>78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229984.91169695731</v>
      </c>
      <c r="C3" s="43" t="s">
        <v>169</v>
      </c>
      <c r="D3" s="43"/>
      <c r="E3" s="154"/>
      <c r="F3" s="43"/>
      <c r="G3" s="43"/>
      <c r="H3" s="43"/>
      <c r="I3" s="43"/>
      <c r="J3" s="43"/>
      <c r="K3" s="96"/>
    </row>
    <row r="4" spans="1:11">
      <c r="A4" s="354" t="s">
        <v>170</v>
      </c>
      <c r="B4" s="49">
        <f>IF(ISERROR('SEAP template'!B78+'SEAP template'!C78),0,'SEAP template'!B78+'SEAP template'!C78)</f>
        <v>47163.553409979562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1476.4144735184445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0.18209861832207577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2109.2025148985449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8878.7355212355214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0.23755663290723167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1870.6079999999999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1870.6079999999999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0.18209861832207577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340.6351322222215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30303.017086071064</v>
      </c>
      <c r="C5" s="17">
        <f>IF(ISERROR('Eigen informatie GS &amp; warmtenet'!B59),0,'Eigen informatie GS &amp; warmtenet'!B59)</f>
        <v>0</v>
      </c>
      <c r="D5" s="30">
        <f>(SUM(HH_hh_gas_kWh,HH_rest_gas_kWh)/1000)*0.903</f>
        <v>96759.47268667625</v>
      </c>
      <c r="E5" s="17">
        <f>B32*B41</f>
        <v>2255.6243855529028</v>
      </c>
      <c r="F5" s="17">
        <f>B36*B45</f>
        <v>49413.073064117569</v>
      </c>
      <c r="G5" s="18"/>
      <c r="H5" s="17"/>
      <c r="I5" s="17"/>
      <c r="J5" s="17">
        <f>B35*B44+C35*C44</f>
        <v>281.61050788591365</v>
      </c>
      <c r="K5" s="17"/>
      <c r="L5" s="17"/>
      <c r="M5" s="17"/>
      <c r="N5" s="17">
        <f>B34*B43+C34*C43</f>
        <v>13681.822661423234</v>
      </c>
      <c r="O5" s="17">
        <f>B52*B53*B54</f>
        <v>501.94142950491909</v>
      </c>
      <c r="P5" s="17">
        <f>B60*B61*B62/1000-B60*B61*B62/1000/B63</f>
        <v>2802.0331758442167</v>
      </c>
    </row>
    <row r="6" spans="1:16">
      <c r="A6" s="16" t="s">
        <v>603</v>
      </c>
      <c r="B6" s="780">
        <f>kWh_PV_kleiner_dan_10kW</f>
        <v>9843.3525884920455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40146.36967456311</v>
      </c>
      <c r="C8" s="21">
        <f>C5</f>
        <v>0</v>
      </c>
      <c r="D8" s="21">
        <f>D5</f>
        <v>96759.47268667625</v>
      </c>
      <c r="E8" s="21">
        <f>E5</f>
        <v>2255.6243855529028</v>
      </c>
      <c r="F8" s="21">
        <f>F5</f>
        <v>49413.073064117569</v>
      </c>
      <c r="G8" s="21"/>
      <c r="H8" s="21"/>
      <c r="I8" s="21"/>
      <c r="J8" s="21">
        <f>J5</f>
        <v>281.61050788591365</v>
      </c>
      <c r="K8" s="21"/>
      <c r="L8" s="21">
        <f>L5</f>
        <v>0</v>
      </c>
      <c r="M8" s="21">
        <f>M5</f>
        <v>0</v>
      </c>
      <c r="N8" s="21">
        <f>N5</f>
        <v>13681.822661423234</v>
      </c>
      <c r="O8" s="21">
        <f>O5</f>
        <v>501.94142950491909</v>
      </c>
      <c r="P8" s="21">
        <f>P5</f>
        <v>2802.0331758442167</v>
      </c>
    </row>
    <row r="9" spans="1:16">
      <c r="B9" s="19"/>
      <c r="C9" s="19"/>
      <c r="D9" s="254"/>
      <c r="E9" s="19"/>
      <c r="F9" s="19"/>
      <c r="G9" s="19"/>
      <c r="H9" s="19"/>
      <c r="I9" s="19"/>
      <c r="J9" s="19"/>
      <c r="K9" s="19"/>
      <c r="L9" s="19"/>
      <c r="M9" s="19"/>
      <c r="N9" s="19"/>
      <c r="O9" s="19"/>
      <c r="P9" s="19"/>
    </row>
    <row r="10" spans="1:16">
      <c r="A10" s="24" t="s">
        <v>213</v>
      </c>
      <c r="B10" s="25">
        <f ca="1">'EF ele_warmte'!B12</f>
        <v>0.18209861832207577</v>
      </c>
      <c r="C10" s="25">
        <f ca="1">'EF ele_warmte'!B22</f>
        <v>0.23755663290723167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7310.5984483852253</v>
      </c>
      <c r="C12" s="23">
        <f ca="1">C10*C8</f>
        <v>0</v>
      </c>
      <c r="D12" s="23">
        <f>D8*D10</f>
        <v>19545.413482708605</v>
      </c>
      <c r="E12" s="23">
        <f>E10*E8</f>
        <v>512.02673552050896</v>
      </c>
      <c r="F12" s="23">
        <f>F10*F8</f>
        <v>13193.290508119391</v>
      </c>
      <c r="G12" s="23"/>
      <c r="H12" s="23"/>
      <c r="I12" s="23"/>
      <c r="J12" s="23">
        <f>J10*J8</f>
        <v>99.690119791613427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10478</v>
      </c>
      <c r="C26" s="36"/>
      <c r="D26" s="225"/>
    </row>
    <row r="27" spans="1:5" s="15" customFormat="1">
      <c r="A27" s="227" t="s">
        <v>866</v>
      </c>
      <c r="B27" s="37">
        <f>SUM(HH_hh_gas_aantal,HH_rest_gas_aantal)</f>
        <v>7009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6658.55</v>
      </c>
      <c r="C31" s="34" t="s">
        <v>110</v>
      </c>
      <c r="D31" s="171"/>
    </row>
    <row r="32" spans="1:5">
      <c r="A32" s="168" t="s">
        <v>72</v>
      </c>
      <c r="B32" s="33">
        <f>IF((B21*($B$26-($B$27-0.05*$B$27)-$B$60))&lt;0,0,(B21*($B$26-($B$27-0.05*$B$27)-$B$60)))</f>
        <v>56.411724798962247</v>
      </c>
      <c r="C32" s="34" t="s">
        <v>110</v>
      </c>
      <c r="D32" s="171"/>
    </row>
    <row r="33" spans="1:6">
      <c r="A33" s="168" t="s">
        <v>73</v>
      </c>
      <c r="B33" s="33">
        <f>IF((B22*($B$26-($B$27-0.05*$B$27)-$B$60))&lt;0,0,B22*($B$26-($B$27-0.05*$B$27)-$B$60))</f>
        <v>916.01468608790537</v>
      </c>
      <c r="C33" s="34" t="s">
        <v>110</v>
      </c>
      <c r="D33" s="171"/>
    </row>
    <row r="34" spans="1:6">
      <c r="A34" s="168" t="s">
        <v>74</v>
      </c>
      <c r="B34" s="33">
        <f>IF((B24*($B$26-($B$27-0.05*$B$27)-$B$60))&lt;0,0,B24*($B$26-($B$27-0.05*$B$27)-$B$60))</f>
        <v>175.61227385669935</v>
      </c>
      <c r="C34" s="33">
        <f>B26*C24</f>
        <v>2147.0044372929697</v>
      </c>
      <c r="D34" s="230"/>
    </row>
    <row r="35" spans="1:6">
      <c r="A35" s="168" t="s">
        <v>76</v>
      </c>
      <c r="B35" s="33">
        <f>IF((B19*($B$26-($B$27-0.05*$B$27)-$B$60))&lt;0,0,B19*($B$26-($B$27-0.05*$B$27)-$B$60))</f>
        <v>24.522042280875812</v>
      </c>
      <c r="C35" s="33">
        <f>B35/2</f>
        <v>12.261021140437906</v>
      </c>
      <c r="D35" s="230"/>
    </row>
    <row r="36" spans="1:6">
      <c r="A36" s="168" t="s">
        <v>77</v>
      </c>
      <c r="B36" s="33">
        <f>IF((B18*($B$26-($B$27-0.05*$B$27)-$B$60))&lt;0,0,B18*($B$26-($B$27-0.05*$B$27)-$B$60))</f>
        <v>2380.8892729755562</v>
      </c>
      <c r="C36" s="34" t="s">
        <v>110</v>
      </c>
      <c r="D36" s="171"/>
    </row>
    <row r="37" spans="1:6">
      <c r="A37" s="168" t="s">
        <v>78</v>
      </c>
      <c r="B37" s="33">
        <f>B60</f>
        <v>266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35752.131395210999</v>
      </c>
      <c r="C5" s="17">
        <f>IF(ISERROR('Eigen informatie GS &amp; warmtenet'!B60),0,'Eigen informatie GS &amp; warmtenet'!B60)</f>
        <v>0</v>
      </c>
      <c r="D5" s="30">
        <f>SUM(D6:D12)</f>
        <v>36474.02959221707</v>
      </c>
      <c r="E5" s="17">
        <f>SUM(E6:E12)</f>
        <v>199.14401268280909</v>
      </c>
      <c r="F5" s="17">
        <f>SUM(F6:F12)</f>
        <v>9342.5277228635096</v>
      </c>
      <c r="G5" s="18"/>
      <c r="H5" s="17"/>
      <c r="I5" s="17"/>
      <c r="J5" s="17">
        <f>SUM(J6:J12)</f>
        <v>7.4780853135834852E-2</v>
      </c>
      <c r="K5" s="17"/>
      <c r="L5" s="17"/>
      <c r="M5" s="17"/>
      <c r="N5" s="17">
        <f>SUM(N6:N12)</f>
        <v>2857.7463795856124</v>
      </c>
      <c r="O5" s="17">
        <f>B38*B39*B40</f>
        <v>24.486303829205774</v>
      </c>
      <c r="P5" s="17">
        <f>B46*B47*B48/1000-B46*B47*B48/1000/B49</f>
        <v>262.69569153247511</v>
      </c>
      <c r="R5" s="32"/>
    </row>
    <row r="6" spans="1:18">
      <c r="A6" s="32" t="s">
        <v>53</v>
      </c>
      <c r="B6" s="37">
        <f>B26</f>
        <v>10502.502451887</v>
      </c>
      <c r="C6" s="33"/>
      <c r="D6" s="37">
        <f>IF(ISERROR(TER_kantoor_gas_kWh/1000),0,TER_kantoor_gas_kWh/1000)*0.903</f>
        <v>10693.563202705114</v>
      </c>
      <c r="E6" s="33">
        <f>$C$26*'E Balans VL '!I12/100/3.6*1000000</f>
        <v>2.5024367764096929</v>
      </c>
      <c r="F6" s="33">
        <f>$C$26*('E Balans VL '!L12+'E Balans VL '!N12)/100/3.6*1000000</f>
        <v>912.24522202474793</v>
      </c>
      <c r="G6" s="34"/>
      <c r="H6" s="33"/>
      <c r="I6" s="33"/>
      <c r="J6" s="33">
        <f>$C$26*('E Balans VL '!D12+'E Balans VL '!E12)/100/3.6*1000000</f>
        <v>0</v>
      </c>
      <c r="K6" s="33"/>
      <c r="L6" s="33"/>
      <c r="M6" s="33"/>
      <c r="N6" s="33">
        <f>$C$26*'E Balans VL '!Y12/100/3.6*1000000</f>
        <v>14.038063829130531</v>
      </c>
      <c r="O6" s="33"/>
      <c r="P6" s="33"/>
      <c r="R6" s="32"/>
    </row>
    <row r="7" spans="1:18">
      <c r="A7" s="32" t="s">
        <v>52</v>
      </c>
      <c r="B7" s="37">
        <f t="shared" ref="B7:B12" si="0">B27</f>
        <v>3274.0992369279497</v>
      </c>
      <c r="C7" s="33"/>
      <c r="D7" s="37">
        <f>IF(ISERROR(TER_horeca_gas_kWh/1000),0,TER_horeca_gas_kWh/1000)*0.903</f>
        <v>4371.0700044275909</v>
      </c>
      <c r="E7" s="33">
        <f>$C$27*'E Balans VL '!I9/100/3.6*1000000</f>
        <v>0</v>
      </c>
      <c r="F7" s="33">
        <f>$C$27*('E Balans VL '!L9+'E Balans VL '!N9)/100/3.6*1000000</f>
        <v>266.77983507750008</v>
      </c>
      <c r="G7" s="34"/>
      <c r="H7" s="33"/>
      <c r="I7" s="33"/>
      <c r="J7" s="33">
        <f>$C$27*('E Balans VL '!D9+'E Balans VL '!E9)/100/3.6*1000000</f>
        <v>0</v>
      </c>
      <c r="K7" s="33"/>
      <c r="L7" s="33"/>
      <c r="M7" s="33"/>
      <c r="N7" s="33">
        <f>$C$27*'E Balans VL '!Y9/100/3.6*1000000</f>
        <v>0.90686453357508345</v>
      </c>
      <c r="O7" s="33"/>
      <c r="P7" s="33"/>
      <c r="R7" s="32"/>
    </row>
    <row r="8" spans="1:18">
      <c r="A8" s="6" t="s">
        <v>51</v>
      </c>
      <c r="B8" s="37">
        <f t="shared" si="0"/>
        <v>12608.3512512654</v>
      </c>
      <c r="C8" s="33"/>
      <c r="D8" s="37">
        <f>IF(ISERROR(TER_handel_gas_kWh/1000),0,TER_handel_gas_kWh/1000)*0.903</f>
        <v>5641.2055548534072</v>
      </c>
      <c r="E8" s="33">
        <f>$C$28*'E Balans VL '!I13/100/3.6*1000000</f>
        <v>100.78630062663774</v>
      </c>
      <c r="F8" s="33">
        <f>$C$28*('E Balans VL '!L13+'E Balans VL '!N13)/100/3.6*1000000</f>
        <v>1252.5613187288848</v>
      </c>
      <c r="G8" s="34"/>
      <c r="H8" s="33"/>
      <c r="I8" s="33"/>
      <c r="J8" s="33">
        <f>$C$28*('E Balans VL '!D13+'E Balans VL '!E13)/100/3.6*1000000</f>
        <v>0</v>
      </c>
      <c r="K8" s="33"/>
      <c r="L8" s="33"/>
      <c r="M8" s="33"/>
      <c r="N8" s="33">
        <f>$C$28*'E Balans VL '!Y13/100/3.6*1000000</f>
        <v>4.7099696913699409</v>
      </c>
      <c r="O8" s="33"/>
      <c r="P8" s="33"/>
      <c r="R8" s="32"/>
    </row>
    <row r="9" spans="1:18">
      <c r="A9" s="32" t="s">
        <v>50</v>
      </c>
      <c r="B9" s="37">
        <f t="shared" si="0"/>
        <v>1011.47905382947</v>
      </c>
      <c r="C9" s="33"/>
      <c r="D9" s="37">
        <f>IF(ISERROR(TER_gezond_gas_kWh/1000),0,TER_gezond_gas_kWh/1000)*0.903</f>
        <v>2535.6265360317948</v>
      </c>
      <c r="E9" s="33">
        <f>$C$29*'E Balans VL '!I10/100/3.6*1000000</f>
        <v>0</v>
      </c>
      <c r="F9" s="33">
        <f>$C$29*('E Balans VL '!L10+'E Balans VL '!N10)/100/3.6*1000000</f>
        <v>92.2127985123889</v>
      </c>
      <c r="G9" s="34"/>
      <c r="H9" s="33"/>
      <c r="I9" s="33"/>
      <c r="J9" s="33">
        <f>$C$29*('E Balans VL '!D10+'E Balans VL '!E10)/100/3.6*1000000</f>
        <v>0</v>
      </c>
      <c r="K9" s="33"/>
      <c r="L9" s="33"/>
      <c r="M9" s="33"/>
      <c r="N9" s="33">
        <f>$C$29*'E Balans VL '!Y10/100/3.6*1000000</f>
        <v>7.3930054363803022</v>
      </c>
      <c r="O9" s="33"/>
      <c r="P9" s="33"/>
      <c r="R9" s="32"/>
    </row>
    <row r="10" spans="1:18">
      <c r="A10" s="32" t="s">
        <v>49</v>
      </c>
      <c r="B10" s="37">
        <f t="shared" si="0"/>
        <v>7393.6702150278097</v>
      </c>
      <c r="C10" s="33"/>
      <c r="D10" s="37">
        <f>IF(ISERROR(TER_ander_gas_kWh/1000),0,TER_ander_gas_kWh/1000)*0.903</f>
        <v>9619.2373100083842</v>
      </c>
      <c r="E10" s="33">
        <f>$C$30*'E Balans VL '!I14/100/3.6*1000000</f>
        <v>95.855275279761671</v>
      </c>
      <c r="F10" s="33">
        <f>$C$30*('E Balans VL '!L14+'E Balans VL '!N14)/100/3.6*1000000</f>
        <v>6781.033678189141</v>
      </c>
      <c r="G10" s="34"/>
      <c r="H10" s="33"/>
      <c r="I10" s="33"/>
      <c r="J10" s="33">
        <f>$C$30*('E Balans VL '!D14+'E Balans VL '!E14)/100/3.6*1000000</f>
        <v>7.4780853135834852E-2</v>
      </c>
      <c r="K10" s="33"/>
      <c r="L10" s="33"/>
      <c r="M10" s="33"/>
      <c r="N10" s="33">
        <f>$C$30*'E Balans VL '!Y14/100/3.6*1000000</f>
        <v>2827.6688084963112</v>
      </c>
      <c r="O10" s="33"/>
      <c r="P10" s="33"/>
      <c r="R10" s="32"/>
    </row>
    <row r="11" spans="1:18">
      <c r="A11" s="32" t="s">
        <v>54</v>
      </c>
      <c r="B11" s="37">
        <f t="shared" si="0"/>
        <v>962.02918627337499</v>
      </c>
      <c r="C11" s="33"/>
      <c r="D11" s="37">
        <f>IF(ISERROR(TER_onderwijs_gas_kWh/1000),0,TER_onderwijs_gas_kWh/1000)*0.903</f>
        <v>3613.3269841907745</v>
      </c>
      <c r="E11" s="33">
        <f>$C$31*'E Balans VL '!I11/100/3.6*1000000</f>
        <v>0</v>
      </c>
      <c r="F11" s="33">
        <f>$C$31*('E Balans VL '!L11+'E Balans VL '!N11)/100/3.6*1000000</f>
        <v>37.694870330847849</v>
      </c>
      <c r="G11" s="34"/>
      <c r="H11" s="33"/>
      <c r="I11" s="33"/>
      <c r="J11" s="33">
        <f>$C$31*('E Balans VL '!D11+'E Balans VL '!E11)/100/3.6*1000000</f>
        <v>0</v>
      </c>
      <c r="K11" s="33"/>
      <c r="L11" s="33"/>
      <c r="M11" s="33"/>
      <c r="N11" s="33">
        <f>$C$31*'E Balans VL '!Y11/100/3.6*1000000</f>
        <v>3.0296675988449855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349.00000000000006</v>
      </c>
      <c r="C13" s="243">
        <f ca="1">'lokale energieproductie'!O42+'lokale energieproductie'!O35</f>
        <v>498.70270270270282</v>
      </c>
      <c r="D13" s="304">
        <f ca="1">('lokale energieproductie'!P35+'lokale energieproductie'!P42)*(-1)</f>
        <v>-991.8918918918921</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36101.131395210999</v>
      </c>
      <c r="C16" s="21">
        <f t="shared" ca="1" si="1"/>
        <v>498.70270270270282</v>
      </c>
      <c r="D16" s="21">
        <f t="shared" ca="1" si="1"/>
        <v>35482.137700325176</v>
      </c>
      <c r="E16" s="21">
        <f t="shared" si="1"/>
        <v>199.14401268280909</v>
      </c>
      <c r="F16" s="21">
        <f t="shared" ca="1" si="1"/>
        <v>9342.5277228635096</v>
      </c>
      <c r="G16" s="21">
        <f t="shared" si="1"/>
        <v>0</v>
      </c>
      <c r="H16" s="21">
        <f t="shared" si="1"/>
        <v>0</v>
      </c>
      <c r="I16" s="21">
        <f t="shared" si="1"/>
        <v>0</v>
      </c>
      <c r="J16" s="21">
        <f t="shared" si="1"/>
        <v>7.4780853135834852E-2</v>
      </c>
      <c r="K16" s="21">
        <f t="shared" si="1"/>
        <v>0</v>
      </c>
      <c r="L16" s="21">
        <f t="shared" ca="1" si="1"/>
        <v>0</v>
      </c>
      <c r="M16" s="21">
        <f t="shared" si="1"/>
        <v>0</v>
      </c>
      <c r="N16" s="21">
        <f t="shared" ca="1" si="1"/>
        <v>2857.7463795856124</v>
      </c>
      <c r="O16" s="21">
        <f>O5</f>
        <v>24.486303829205774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0.18209861832207577</v>
      </c>
      <c r="C18" s="25">
        <f ca="1">'EF ele_warmte'!B22</f>
        <v>0.23755663290723167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6573.9661469316343</v>
      </c>
      <c r="C20" s="23">
        <f t="shared" ref="C20:P20" ca="1" si="2">C16*C18</f>
        <v>118.47013487579027</v>
      </c>
      <c r="D20" s="23">
        <f t="shared" ca="1" si="2"/>
        <v>7167.3918154656858</v>
      </c>
      <c r="E20" s="23">
        <f t="shared" si="2"/>
        <v>45.205690878997665</v>
      </c>
      <c r="F20" s="23">
        <f t="shared" ca="1" si="2"/>
        <v>2494.454902004557</v>
      </c>
      <c r="G20" s="23">
        <f t="shared" si="2"/>
        <v>0</v>
      </c>
      <c r="H20" s="23">
        <f t="shared" si="2"/>
        <v>0</v>
      </c>
      <c r="I20" s="23">
        <f t="shared" si="2"/>
        <v>0</v>
      </c>
      <c r="J20" s="23">
        <f t="shared" si="2"/>
        <v>2.6472422010085535E-2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10502.502451887</v>
      </c>
      <c r="C26" s="39">
        <f>IF(ISERROR(B26*3.6/1000000/'E Balans VL '!Z12*100),0,B26*3.6/1000000/'E Balans VL '!Z12*100)</f>
        <v>0.30131580700552796</v>
      </c>
      <c r="D26" s="233" t="s">
        <v>841</v>
      </c>
      <c r="F26" s="6"/>
    </row>
    <row r="27" spans="1:18" ht="30">
      <c r="A27" s="228" t="s">
        <v>52</v>
      </c>
      <c r="B27" s="33">
        <f>IF(ISERROR(TER_horeca_ele_kWh/1000),0,TER_horeca_ele_kWh/1000)</f>
        <v>3274.0992369279497</v>
      </c>
      <c r="C27" s="39">
        <f>IF(ISERROR(B27*3.6/1000000/'E Balans VL '!Z9*100),0,B27*3.6/1000000/'E Balans VL '!Z9*100)</f>
        <v>0.23986166924489855</v>
      </c>
      <c r="D27" s="233" t="s">
        <v>841</v>
      </c>
      <c r="F27" s="6"/>
    </row>
    <row r="28" spans="1:18" ht="30">
      <c r="A28" s="168" t="s">
        <v>51</v>
      </c>
      <c r="B28" s="33">
        <f>IF(ISERROR(TER_handel_ele_kWh/1000),0,TER_handel_ele_kWh/1000)</f>
        <v>12608.3512512654</v>
      </c>
      <c r="C28" s="39">
        <f>IF(ISERROR(B28*3.6/1000000/'E Balans VL '!Z13*100),0,B28*3.6/1000000/'E Balans VL '!Z13*100)</f>
        <v>0.38960868819481731</v>
      </c>
      <c r="D28" s="233" t="s">
        <v>841</v>
      </c>
      <c r="F28" s="6"/>
    </row>
    <row r="29" spans="1:18" ht="30">
      <c r="A29" s="228" t="s">
        <v>50</v>
      </c>
      <c r="B29" s="33">
        <f>IF(ISERROR(TER_gezond_ele_kWh/1000),0,TER_gezond_ele_kWh/1000)</f>
        <v>1011.47905382947</v>
      </c>
      <c r="C29" s="39">
        <f>IF(ISERROR(B29*3.6/1000000/'E Balans VL '!Z10*100),0,B29*3.6/1000000/'E Balans VL '!Z10*100)</f>
        <v>9.9131166814472219E-2</v>
      </c>
      <c r="D29" s="233" t="s">
        <v>841</v>
      </c>
      <c r="F29" s="6"/>
    </row>
    <row r="30" spans="1:18" ht="30">
      <c r="A30" s="228" t="s">
        <v>49</v>
      </c>
      <c r="B30" s="33">
        <f>IF(ISERROR(TER_ander_ele_kWh/1000),0,TER_ander_ele_kWh/1000)</f>
        <v>7393.6702150278097</v>
      </c>
      <c r="C30" s="39">
        <f>IF(ISERROR(B30*3.6/1000000/'E Balans VL '!Z14*100),0,B30*3.6/1000000/'E Balans VL '!Z14*100)</f>
        <v>0.30626970567577405</v>
      </c>
      <c r="D30" s="233" t="s">
        <v>841</v>
      </c>
      <c r="F30" s="6"/>
    </row>
    <row r="31" spans="1:18" ht="30">
      <c r="A31" s="228" t="s">
        <v>54</v>
      </c>
      <c r="B31" s="33">
        <f>IF(ISERROR(TER_onderwijs_ele_kWh/1000),0,TER_onderwijs_ele_kWh/1000)</f>
        <v>962.02918627337499</v>
      </c>
      <c r="C31" s="39">
        <f>IF(ISERROR(B31*3.6/1000000/'E Balans VL '!Z11*100),0,B31*3.6/1000000/'E Balans VL '!Z11*100)</f>
        <v>0.29560232073394682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145786.19239107674</v>
      </c>
      <c r="C5" s="17">
        <f>IF(ISERROR('Eigen informatie GS &amp; warmtenet'!B61),0,'Eigen informatie GS &amp; warmtenet'!B61)</f>
        <v>0</v>
      </c>
      <c r="D5" s="30">
        <f>SUM(D6:D15)</f>
        <v>67891.493295271386</v>
      </c>
      <c r="E5" s="17">
        <f>SUM(E6:E15)</f>
        <v>10397.2411514821</v>
      </c>
      <c r="F5" s="17">
        <f>SUM(F6:F15)</f>
        <v>16225.92912257004</v>
      </c>
      <c r="G5" s="18"/>
      <c r="H5" s="17"/>
      <c r="I5" s="17"/>
      <c r="J5" s="17">
        <f>SUM(J6:J15)</f>
        <v>54.525711080853071</v>
      </c>
      <c r="K5" s="17"/>
      <c r="L5" s="17"/>
      <c r="M5" s="17"/>
      <c r="N5" s="17">
        <f>SUM(N6:N15)</f>
        <v>2865.7089618012774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58399.462586798494</v>
      </c>
      <c r="C8" s="33"/>
      <c r="D8" s="37">
        <f>IF( ISERROR(IND_metaal_Gas_kWH/1000),0,IND_metaal_Gas_kWH/1000)*0.903</f>
        <v>748.14824826680717</v>
      </c>
      <c r="E8" s="33">
        <f>C30*'E Balans VL '!I18/100/3.6*1000000</f>
        <v>318.34457839319106</v>
      </c>
      <c r="F8" s="33">
        <f>C30*'E Balans VL '!L18/100/3.6*1000000+C30*'E Balans VL '!N18/100/3.6*1000000</f>
        <v>3760.9298512985429</v>
      </c>
      <c r="G8" s="34"/>
      <c r="H8" s="33"/>
      <c r="I8" s="33"/>
      <c r="J8" s="40">
        <f>C30*'E Balans VL '!D18/100/3.6*1000000+C30*'E Balans VL '!E18/100/3.6*1000000</f>
        <v>47.836283332063076</v>
      </c>
      <c r="K8" s="33"/>
      <c r="L8" s="33"/>
      <c r="M8" s="33"/>
      <c r="N8" s="33">
        <f>C30*'E Balans VL '!Y18/100/3.6*1000000</f>
        <v>1261.68179900409</v>
      </c>
      <c r="O8" s="33"/>
      <c r="P8" s="33"/>
      <c r="R8" s="32"/>
    </row>
    <row r="9" spans="1:18">
      <c r="A9" s="6" t="s">
        <v>32</v>
      </c>
      <c r="B9" s="37">
        <f t="shared" si="0"/>
        <v>17873.003680346599</v>
      </c>
      <c r="C9" s="33"/>
      <c r="D9" s="37">
        <f>IF( ISERROR(IND_andere_gas_kWh/1000),0,IND_andere_gas_kWh/1000)*0.903</f>
        <v>17708.543593758164</v>
      </c>
      <c r="E9" s="33">
        <f>C31*'E Balans VL '!I19/100/3.6*1000000</f>
        <v>57.697099662616502</v>
      </c>
      <c r="F9" s="33">
        <f>C31*'E Balans VL '!L19/100/3.6*1000000+C31*'E Balans VL '!N19/100/3.6*1000000</f>
        <v>11556.824483888739</v>
      </c>
      <c r="G9" s="34"/>
      <c r="H9" s="33"/>
      <c r="I9" s="33"/>
      <c r="J9" s="40">
        <f>C31*'E Balans VL '!D19/100/3.6*1000000+C31*'E Balans VL '!E19/100/3.6*1000000</f>
        <v>0</v>
      </c>
      <c r="K9" s="33"/>
      <c r="L9" s="33"/>
      <c r="M9" s="33"/>
      <c r="N9" s="33">
        <f>C31*'E Balans VL '!Y19/100/3.6*1000000</f>
        <v>722.2274335929792</v>
      </c>
      <c r="O9" s="33"/>
      <c r="P9" s="33"/>
      <c r="R9" s="32"/>
    </row>
    <row r="10" spans="1:18">
      <c r="A10" s="6" t="s">
        <v>40</v>
      </c>
      <c r="B10" s="37">
        <f t="shared" si="0"/>
        <v>20775.194770774902</v>
      </c>
      <c r="C10" s="33"/>
      <c r="D10" s="37">
        <f>IF( ISERROR(IND_voed_gas_kWh/1000),0,IND_voed_gas_kWh/1000)*0.903</f>
        <v>19648.698202255771</v>
      </c>
      <c r="E10" s="33">
        <f>C32*'E Balans VL '!I20/100/3.6*1000000</f>
        <v>43.549899690472778</v>
      </c>
      <c r="F10" s="33">
        <f>C32*'E Balans VL '!L20/100/3.6*1000000+C32*'E Balans VL '!N20/100/3.6*1000000</f>
        <v>404.77259065572099</v>
      </c>
      <c r="G10" s="34"/>
      <c r="H10" s="33"/>
      <c r="I10" s="33"/>
      <c r="J10" s="40">
        <f>C32*'E Balans VL '!D20/100/3.6*1000000+C32*'E Balans VL '!E20/100/3.6*1000000</f>
        <v>0</v>
      </c>
      <c r="K10" s="33"/>
      <c r="L10" s="33"/>
      <c r="M10" s="33"/>
      <c r="N10" s="33">
        <f>C32*'E Balans VL '!Y20/100/3.6*1000000</f>
        <v>826.37965070018163</v>
      </c>
      <c r="O10" s="33"/>
      <c r="P10" s="33"/>
      <c r="R10" s="32"/>
    </row>
    <row r="11" spans="1:18">
      <c r="A11" s="6" t="s">
        <v>39</v>
      </c>
      <c r="B11" s="37">
        <f t="shared" si="0"/>
        <v>27.7174371750415</v>
      </c>
      <c r="C11" s="33"/>
      <c r="D11" s="37">
        <f>IF( ISERROR(IND_textiel_gas_kWh/1000),0,IND_textiel_gas_kWh/1000)*0.903</f>
        <v>93.412851525411881</v>
      </c>
      <c r="E11" s="33">
        <f>C33*'E Balans VL '!I21/100/3.6*1000000</f>
        <v>2.3816760565193686E-2</v>
      </c>
      <c r="F11" s="33">
        <f>C33*'E Balans VL '!L21/100/3.6*1000000+C33*'E Balans VL '!N21/100/3.6*1000000</f>
        <v>0.58112483780792834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48.988458791343199</v>
      </c>
      <c r="C13" s="33"/>
      <c r="D13" s="37">
        <f>IF( ISERROR(IND_papier_gas_kWh/1000),0,IND_papier_gas_kWh/1000)*0.903</f>
        <v>102.69117452867661</v>
      </c>
      <c r="E13" s="33">
        <f>C35*'E Balans VL '!I23/100/3.6*1000000</f>
        <v>0</v>
      </c>
      <c r="F13" s="33">
        <f>C35*'E Balans VL '!L23/100/3.6*1000000+C35*'E Balans VL '!N23/100/3.6*1000000</f>
        <v>6.5621584993076753E-3</v>
      </c>
      <c r="G13" s="34"/>
      <c r="H13" s="33"/>
      <c r="I13" s="33"/>
      <c r="J13" s="40">
        <f>C35*'E Balans VL '!D23/100/3.6*1000000+C35*'E Balans VL '!E23/100/3.6*1000000</f>
        <v>9.6902253828710771E-3</v>
      </c>
      <c r="K13" s="33"/>
      <c r="L13" s="33"/>
      <c r="M13" s="33"/>
      <c r="N13" s="33">
        <f>C35*'E Balans VL '!Y23/100/3.6*1000000</f>
        <v>0</v>
      </c>
      <c r="O13" s="33"/>
      <c r="P13" s="33"/>
      <c r="R13" s="32"/>
    </row>
    <row r="14" spans="1:18">
      <c r="A14" s="6" t="s">
        <v>33</v>
      </c>
      <c r="B14" s="37">
        <f t="shared" si="0"/>
        <v>47431.561967852802</v>
      </c>
      <c r="C14" s="33"/>
      <c r="D14" s="37">
        <f>IF( ISERROR(IND_chemie_gas_kWh/1000),0,IND_chemie_gas_kWh/1000)*0.903</f>
        <v>26892.006961014285</v>
      </c>
      <c r="E14" s="33">
        <f>C36*'E Balans VL '!I24/100/3.6*1000000</f>
        <v>9905.1970837250119</v>
      </c>
      <c r="F14" s="33">
        <f>C36*'E Balans VL '!L24/100/3.6*1000000+C36*'E Balans VL '!N24/100/3.6*1000000</f>
        <v>315.13347143769727</v>
      </c>
      <c r="G14" s="34"/>
      <c r="H14" s="33"/>
      <c r="I14" s="33"/>
      <c r="J14" s="40">
        <f>C36*'E Balans VL '!D24/100/3.6*1000000+C36*'E Balans VL '!E24/100/3.6*1000000</f>
        <v>0</v>
      </c>
      <c r="K14" s="33"/>
      <c r="L14" s="33"/>
      <c r="M14" s="33"/>
      <c r="N14" s="33">
        <f>C36*'E Balans VL '!Y24/100/3.6*1000000</f>
        <v>16.551399741045742</v>
      </c>
      <c r="O14" s="33"/>
      <c r="P14" s="33"/>
      <c r="R14" s="32"/>
    </row>
    <row r="15" spans="1:18">
      <c r="A15" s="6" t="s">
        <v>265</v>
      </c>
      <c r="B15" s="37">
        <f t="shared" si="0"/>
        <v>1230.2634893375382</v>
      </c>
      <c r="C15" s="33"/>
      <c r="D15" s="37">
        <f>IF( ISERROR(IND_rest_gas_kWh/1000),0,IND_rest_gas_kWh/1000)*0.903</f>
        <v>2697.99226392227</v>
      </c>
      <c r="E15" s="33">
        <f>C37*'E Balans VL '!I15/100/3.6*1000000</f>
        <v>72.428673250241744</v>
      </c>
      <c r="F15" s="33">
        <f>C37*'E Balans VL '!L15/100/3.6*1000000+C37*'E Balans VL '!N15/100/3.6*1000000</f>
        <v>187.68103829303297</v>
      </c>
      <c r="G15" s="34"/>
      <c r="H15" s="33"/>
      <c r="I15" s="33"/>
      <c r="J15" s="40">
        <f>C37*'E Balans VL '!D15/100/3.6*1000000+C37*'E Balans VL '!E15/100/3.6*1000000</f>
        <v>6.6797375234071303</v>
      </c>
      <c r="K15" s="33"/>
      <c r="L15" s="33"/>
      <c r="M15" s="33"/>
      <c r="N15" s="33">
        <f>C37*'E Balans VL '!Y15/100/3.6*1000000</f>
        <v>38.868678762980622</v>
      </c>
      <c r="O15" s="33"/>
      <c r="P15" s="33"/>
      <c r="R15" s="32"/>
    </row>
    <row r="16" spans="1:18">
      <c r="A16" s="16" t="s">
        <v>473</v>
      </c>
      <c r="B16" s="243">
        <f>'lokale energieproductie'!N41+'lokale energieproductie'!N34</f>
        <v>597</v>
      </c>
      <c r="C16" s="243">
        <f>'lokale energieproductie'!O41+'lokale energieproductie'!O34</f>
        <v>852.85714285714289</v>
      </c>
      <c r="D16" s="304">
        <f>('lokale energieproductie'!P34+'lokale energieproductie'!P41)*(-1)</f>
        <v>-1705.7142857142858</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146383.19239107674</v>
      </c>
      <c r="C18" s="21">
        <f>C5+C16</f>
        <v>852.85714285714289</v>
      </c>
      <c r="D18" s="21">
        <f>MAX((D5+D16),0)</f>
        <v>66185.779009557096</v>
      </c>
      <c r="E18" s="21">
        <f>MAX((E5+E16),0)</f>
        <v>10397.2411514821</v>
      </c>
      <c r="F18" s="21">
        <f>MAX((F5+F16),0)</f>
        <v>16225.92912257004</v>
      </c>
      <c r="G18" s="21"/>
      <c r="H18" s="21"/>
      <c r="I18" s="21"/>
      <c r="J18" s="21">
        <f>MAX((J5+J16),0)</f>
        <v>54.525711080853071</v>
      </c>
      <c r="K18" s="21"/>
      <c r="L18" s="21">
        <f>MAX((L5+L16),0)</f>
        <v>0</v>
      </c>
      <c r="M18" s="21"/>
      <c r="N18" s="21">
        <f>MAX((N5+N16),0)</f>
        <v>2865.7089618012774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0.18209861832207577</v>
      </c>
      <c r="C20" s="25">
        <f ca="1">'EF ele_warmte'!B22</f>
        <v>0.23755663290723167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26656.177079989669</v>
      </c>
      <c r="C22" s="23">
        <f ca="1">C18*C20</f>
        <v>202.60187120802473</v>
      </c>
      <c r="D22" s="23">
        <f>D18*D20</f>
        <v>13369.527359930535</v>
      </c>
      <c r="E22" s="23">
        <f>E18*E20</f>
        <v>2360.1737413864366</v>
      </c>
      <c r="F22" s="23">
        <f>F18*F20</f>
        <v>4332.3230757262008</v>
      </c>
      <c r="G22" s="23"/>
      <c r="H22" s="23"/>
      <c r="I22" s="23"/>
      <c r="J22" s="23">
        <f>J18*J20</f>
        <v>19.302101722621988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58399.462586798494</v>
      </c>
      <c r="C30" s="39">
        <f>IF(ISERROR(B30*3.6/1000000/'E Balans VL '!Z18*100),0,B30*3.6/1000000/'E Balans VL '!Z18*100)</f>
        <v>3.5166555032760387</v>
      </c>
      <c r="D30" s="233" t="s">
        <v>841</v>
      </c>
    </row>
    <row r="31" spans="1:18" ht="30">
      <c r="A31" s="6" t="s">
        <v>32</v>
      </c>
      <c r="B31" s="37">
        <f>IF( ISERROR(IND_ander_ele_kWh/1000),0,IND_ander_ele_kWh/1000)</f>
        <v>17873.003680346599</v>
      </c>
      <c r="C31" s="39">
        <f>IF(ISERROR(B31*3.6/1000000/'E Balans VL '!Z19*100),0,B31*3.6/1000000/'E Balans VL '!Z19*100)</f>
        <v>0.72818317131310439</v>
      </c>
      <c r="D31" s="233" t="s">
        <v>841</v>
      </c>
    </row>
    <row r="32" spans="1:18" ht="30">
      <c r="A32" s="168" t="s">
        <v>40</v>
      </c>
      <c r="B32" s="37">
        <f>IF( ISERROR(IND_voed_ele_kWh/1000),0,IND_voed_ele_kWh/1000)</f>
        <v>20775.194770774902</v>
      </c>
      <c r="C32" s="39">
        <f>IF(ISERROR(B32*3.6/1000000/'E Balans VL '!Z20*100),0,B32*3.6/1000000/'E Balans VL '!Z20*100)</f>
        <v>0.60069448645410461</v>
      </c>
      <c r="D32" s="233" t="s">
        <v>841</v>
      </c>
    </row>
    <row r="33" spans="1:5" ht="30">
      <c r="A33" s="168" t="s">
        <v>39</v>
      </c>
      <c r="B33" s="37">
        <f>IF( ISERROR(IND_textiel_ele_kWh/1000),0,IND_textiel_ele_kWh/1000)</f>
        <v>27.7174371750415</v>
      </c>
      <c r="C33" s="39">
        <f>IF(ISERROR(B33*3.6/1000000/'E Balans VL '!Z21*100),0,B33*3.6/1000000/'E Balans VL '!Z21*100)</f>
        <v>4.5582316871184093E-3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48.988458791343199</v>
      </c>
      <c r="C35" s="39">
        <f>IF(ISERROR(B35*3.6/1000000/'E Balans VL '!Z22*100),0,B35*3.6/1000000/'E Balans VL '!Z22*100)</f>
        <v>2.0917616690963953E-2</v>
      </c>
      <c r="D35" s="233" t="s">
        <v>841</v>
      </c>
    </row>
    <row r="36" spans="1:5" ht="30">
      <c r="A36" s="168" t="s">
        <v>33</v>
      </c>
      <c r="B36" s="37">
        <f>IF( ISERROR(IND_chemie_ele_kWh/1000),0,IND_chemie_ele_kWh/1000)</f>
        <v>47431.561967852802</v>
      </c>
      <c r="C36" s="39">
        <f>IF(ISERROR(B36*3.6/1000000/'E Balans VL '!Z24*100),0,B36*3.6/1000000/'E Balans VL '!Z24*100)</f>
        <v>1.4392521513952901</v>
      </c>
      <c r="D36" s="233" t="s">
        <v>841</v>
      </c>
    </row>
    <row r="37" spans="1:5" ht="30">
      <c r="A37" s="168" t="s">
        <v>265</v>
      </c>
      <c r="B37" s="37">
        <f>IF( ISERROR(IND_rest_ele_kWh/1000),0,IND_rest_ele_kWh/1000)</f>
        <v>1230.2634893375382</v>
      </c>
      <c r="C37" s="39">
        <f>IF(ISERROR(B37*3.6/1000000/'E Balans VL '!Z15*100),0,B37*3.6/1000000/'E Balans VL '!Z15*100)</f>
        <v>1.0101395075566294E-2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3909.5496713144998</v>
      </c>
      <c r="C5" s="17">
        <f>'Eigen informatie GS &amp; warmtenet'!B62</f>
        <v>0</v>
      </c>
      <c r="D5" s="30">
        <f>IF(ISERROR(SUM(LB_lb_gas_kWh,LB_rest_gas_kWh)/1000),0,SUM(LB_lb_gas_kWh,LB_rest_gas_kWh)/1000)*0.903</f>
        <v>18803.222295766958</v>
      </c>
      <c r="E5" s="17">
        <f>B17*'E Balans VL '!I25/3.6*1000000/100</f>
        <v>111.97611875577583</v>
      </c>
      <c r="F5" s="17">
        <f>B17*('E Balans VL '!L25/3.6*1000000+'E Balans VL '!N25/3.6*1000000)/100</f>
        <v>12375.61473139601</v>
      </c>
      <c r="G5" s="18"/>
      <c r="H5" s="17"/>
      <c r="I5" s="17"/>
      <c r="J5" s="17">
        <f>('E Balans VL '!D25+'E Balans VL '!E25)/3.6*1000000*landbouw!B17/100</f>
        <v>994.07571220396744</v>
      </c>
      <c r="K5" s="17"/>
      <c r="L5" s="17">
        <f>L6*(-1)</f>
        <v>0</v>
      </c>
      <c r="M5" s="17"/>
      <c r="N5" s="17">
        <f>N6*(-1)</f>
        <v>0</v>
      </c>
      <c r="O5" s="17"/>
      <c r="P5" s="17"/>
      <c r="R5" s="32"/>
    </row>
    <row r="6" spans="1:18">
      <c r="A6" s="16" t="s">
        <v>473</v>
      </c>
      <c r="B6" s="17" t="s">
        <v>210</v>
      </c>
      <c r="C6" s="17">
        <f>'lokale energieproductie'!O43+'lokale energieproductie'!O36</f>
        <v>7527.1756756756758</v>
      </c>
      <c r="D6" s="304">
        <f>('lokale energieproductie'!P36+'lokale energieproductie'!P43)*(-1)</f>
        <v>-15052.972972972975</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3909.5496713144998</v>
      </c>
      <c r="C8" s="21">
        <f>C5+C6</f>
        <v>7527.1756756756758</v>
      </c>
      <c r="D8" s="21">
        <f>MAX((D5+D6),0)</f>
        <v>3750.2493227939831</v>
      </c>
      <c r="E8" s="21">
        <f>MAX((E5+E6),0)</f>
        <v>111.97611875577583</v>
      </c>
      <c r="F8" s="21">
        <f>MAX((F5+F6),0)</f>
        <v>12375.61473139601</v>
      </c>
      <c r="G8" s="21"/>
      <c r="H8" s="21"/>
      <c r="I8" s="21"/>
      <c r="J8" s="21">
        <f>MAX((J5+J6),0)</f>
        <v>994.07571220396744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0.18209861832207577</v>
      </c>
      <c r="C10" s="31">
        <f ca="1">'EF ele_warmte'!B22</f>
        <v>0.23755663290723167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711.92359340789585</v>
      </c>
      <c r="C12" s="23">
        <f ca="1">C8*C10</f>
        <v>1788.1305088147301</v>
      </c>
      <c r="D12" s="23">
        <f>D8*D10</f>
        <v>757.55036320438467</v>
      </c>
      <c r="E12" s="23">
        <f>E8*E10</f>
        <v>25.418578957561113</v>
      </c>
      <c r="F12" s="23">
        <f>F8*F10</f>
        <v>3304.2891332827348</v>
      </c>
      <c r="G12" s="23"/>
      <c r="H12" s="23"/>
      <c r="I12" s="23"/>
      <c r="J12" s="23">
        <f>J8*J10</f>
        <v>351.90280212020446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0.54138393938894747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412.92646248639704</v>
      </c>
      <c r="C26" s="243">
        <f>B26*'GWP N2O_CH4'!B5</f>
        <v>8671.4557122143378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107.09689279107138</v>
      </c>
      <c r="C27" s="243">
        <f>B27*'GWP N2O_CH4'!B5</f>
        <v>2249.0347486124992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8.2721970869445123</v>
      </c>
      <c r="C28" s="243">
        <f>B28*'GWP N2O_CH4'!B4</f>
        <v>2564.381096952799</v>
      </c>
      <c r="D28" s="50"/>
    </row>
    <row r="29" spans="1:4">
      <c r="A29" s="41" t="s">
        <v>272</v>
      </c>
      <c r="B29" s="243">
        <f>B34*'ha_N2O bodem landbouw'!B4</f>
        <v>14.702004312074683</v>
      </c>
      <c r="C29" s="243">
        <f>B29*'GWP N2O_CH4'!B4</f>
        <v>4557.6213367431519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3.3400322538495631E-3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1.7733252970250836E-3</v>
      </c>
      <c r="C5" s="434" t="s">
        <v>210</v>
      </c>
      <c r="D5" s="419">
        <f>SUM(D6:D11)</f>
        <v>2.8754006991203477E-3</v>
      </c>
      <c r="E5" s="419">
        <f>SUM(E6:E11)</f>
        <v>1.2261418243586237E-3</v>
      </c>
      <c r="F5" s="432" t="s">
        <v>210</v>
      </c>
      <c r="G5" s="419">
        <f>SUM(G6:G11)</f>
        <v>0.5509219408411703</v>
      </c>
      <c r="H5" s="419">
        <f>SUM(H6:H11)</f>
        <v>0.14344479245640829</v>
      </c>
      <c r="I5" s="434" t="s">
        <v>210</v>
      </c>
      <c r="J5" s="434" t="s">
        <v>210</v>
      </c>
      <c r="K5" s="434" t="s">
        <v>210</v>
      </c>
      <c r="L5" s="434" t="s">
        <v>210</v>
      </c>
      <c r="M5" s="419">
        <f>SUM(M6:M11)</f>
        <v>4.1801967556653892E-2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8.2101660262669566E-4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1.3688697072184849E-3</v>
      </c>
      <c r="E6" s="886">
        <f>vkm_GW_PW*SUMIFS(TableVerdeelsleutelVkm[LPG],TableVerdeelsleutelVkm[Voertuigtype],"Lichte voertuigen")*SUMIFS(TableECFTransport[EnergieConsumptieFactor (PJ per km)],TableECFTransport[Index],CONCATENATE($A6,"_LPG_LPG"))</f>
        <v>5.427011639965488E-4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0.16309533267312123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6.7131766300916274E-2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1.412375356190369E-2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1.732572137386056E-6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6.868025158479589E-2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5.0676084539021475E-7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3.9435038977901175E-3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1.8936880212693094E-4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4.3241480106023485E-4</v>
      </c>
      <c r="E8" s="422">
        <f>vkm_NGW_PW*SUMIFS(TableVerdeelsleutelVkm[LPG],TableVerdeelsleutelVkm[Voertuigtype],"Lichte voertuigen")*SUMIFS(TableECFTransport[EnergieConsumptieFactor (PJ per km)],TableECFTransport[Index],CONCATENATE($A8,"_LPG_LPG"))</f>
        <v>1.6414688469552002E-4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4.5186367800361268E-2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2.1008370085742537E-2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4.0838501896796782E-3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8.0273164412607291E-8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4.0977697766367074E-3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2.8339915807266408E-8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2.3528687626324569E-4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7.5768839361655847E-4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1.0741161908416283E-3</v>
      </c>
      <c r="E10" s="422">
        <f>vkm_SW_PW*SUMIFS(TableVerdeelsleutelVkm[LPG],TableVerdeelsleutelVkm[Voertuigtype],"Lichte voertuigen")*SUMIFS(TableECFTransport[EnergieConsumptieFactor (PJ per km)],TableECFTransport[Index],CONCATENATE($A10,"_LPG_LPG"))</f>
        <v>5.1929377566655496E-4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0.14158388350156698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5.5303085753972865E-2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1.2050041654814186E-2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3.4386533530998371E-6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0.12827833550468815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1.0352150154196563E-6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7.365531376202974E-3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492.59036028474543</v>
      </c>
      <c r="C14" s="21"/>
      <c r="D14" s="21">
        <f t="shared" ref="D14:M14" si="0">((D5)*10^9/3600)+D12</f>
        <v>798.72241642231882</v>
      </c>
      <c r="E14" s="21">
        <f t="shared" si="0"/>
        <v>340.59495121072882</v>
      </c>
      <c r="F14" s="21"/>
      <c r="G14" s="21">
        <f t="shared" si="0"/>
        <v>153033.87245588063</v>
      </c>
      <c r="H14" s="21">
        <f t="shared" si="0"/>
        <v>39845.775682335639</v>
      </c>
      <c r="I14" s="21"/>
      <c r="J14" s="21"/>
      <c r="K14" s="21"/>
      <c r="L14" s="21"/>
      <c r="M14" s="21">
        <f t="shared" si="0"/>
        <v>11611.657654626082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0.18209861832207577</v>
      </c>
      <c r="C16" s="56">
        <f ca="1">'EF ele_warmte'!B22</f>
        <v>0.23755663290723167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89.700024006625654</v>
      </c>
      <c r="C18" s="23"/>
      <c r="D18" s="23">
        <f t="shared" ref="D18:M18" si="1">D14*D16</f>
        <v>161.34192811730841</v>
      </c>
      <c r="E18" s="23">
        <f t="shared" si="1"/>
        <v>77.315053924835439</v>
      </c>
      <c r="F18" s="23"/>
      <c r="G18" s="23">
        <f t="shared" si="1"/>
        <v>40860.043945720128</v>
      </c>
      <c r="H18" s="23">
        <f t="shared" si="1"/>
        <v>9921.5981449015744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9.3237317693725021E-5</v>
      </c>
      <c r="C50" s="315">
        <f t="shared" ref="C50:P50" si="2">SUM(C51:C52)</f>
        <v>0</v>
      </c>
      <c r="D50" s="315">
        <f t="shared" si="2"/>
        <v>0</v>
      </c>
      <c r="E50" s="315">
        <f t="shared" si="2"/>
        <v>0</v>
      </c>
      <c r="F50" s="315">
        <f t="shared" si="2"/>
        <v>0</v>
      </c>
      <c r="G50" s="315">
        <f t="shared" si="2"/>
        <v>5.8369379637801455E-3</v>
      </c>
      <c r="H50" s="315">
        <f t="shared" si="2"/>
        <v>0</v>
      </c>
      <c r="I50" s="315">
        <f t="shared" si="2"/>
        <v>0</v>
      </c>
      <c r="J50" s="315">
        <f t="shared" si="2"/>
        <v>0</v>
      </c>
      <c r="K50" s="315">
        <f t="shared" si="2"/>
        <v>0</v>
      </c>
      <c r="L50" s="315">
        <f t="shared" si="2"/>
        <v>0</v>
      </c>
      <c r="M50" s="315">
        <f t="shared" si="2"/>
        <v>3.3514405354051165E-4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9.3237317693725021E-5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5.8369379637801455E-3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3.3514405354051165E-4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25.899254914923617</v>
      </c>
      <c r="C54" s="21">
        <f t="shared" ref="C54:P54" si="3">(C50)*10^9/3600</f>
        <v>0</v>
      </c>
      <c r="D54" s="21">
        <f t="shared" si="3"/>
        <v>0</v>
      </c>
      <c r="E54" s="21">
        <f t="shared" si="3"/>
        <v>0</v>
      </c>
      <c r="F54" s="21">
        <f t="shared" si="3"/>
        <v>0</v>
      </c>
      <c r="G54" s="21">
        <f t="shared" si="3"/>
        <v>1621.3716566055959</v>
      </c>
      <c r="H54" s="21">
        <f t="shared" si="3"/>
        <v>0</v>
      </c>
      <c r="I54" s="21">
        <f t="shared" si="3"/>
        <v>0</v>
      </c>
      <c r="J54" s="21">
        <f t="shared" si="3"/>
        <v>0</v>
      </c>
      <c r="K54" s="21">
        <f t="shared" si="3"/>
        <v>0</v>
      </c>
      <c r="L54" s="21">
        <f t="shared" si="3"/>
        <v>0</v>
      </c>
      <c r="M54" s="21">
        <f t="shared" si="3"/>
        <v>93.095570427919895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0.18209861832207577</v>
      </c>
      <c r="C56" s="56">
        <f ca="1">'EF ele_warmte'!B22</f>
        <v>0.23755663290723167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4.7162185355788209</v>
      </c>
      <c r="C58" s="23">
        <f t="shared" ref="C58:P58" ca="1" si="4">C54*C56</f>
        <v>0</v>
      </c>
      <c r="D58" s="23">
        <f t="shared" si="4"/>
        <v>0</v>
      </c>
      <c r="E58" s="23">
        <f t="shared" si="4"/>
        <v>0</v>
      </c>
      <c r="F58" s="23">
        <f t="shared" si="4"/>
        <v>0</v>
      </c>
      <c r="G58" s="23">
        <f t="shared" si="4"/>
        <v>432.90623231369415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23625.299929336514</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17323.253480643045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6215</v>
      </c>
      <c r="C8" s="545">
        <f>B52</f>
        <v>7308.9825421705173</v>
      </c>
      <c r="D8" s="546"/>
      <c r="E8" s="546">
        <f>E52</f>
        <v>0</v>
      </c>
      <c r="F8" s="547"/>
      <c r="G8" s="548"/>
      <c r="H8" s="546">
        <f>I52</f>
        <v>0</v>
      </c>
      <c r="I8" s="546">
        <f>G52+F52</f>
        <v>0</v>
      </c>
      <c r="J8" s="546">
        <f>H52+D52+C52</f>
        <v>0</v>
      </c>
      <c r="K8" s="546"/>
      <c r="L8" s="546"/>
      <c r="M8" s="546"/>
      <c r="N8" s="549"/>
      <c r="O8" s="550">
        <f>C8*$C$12+D8*$D$12+E8*$E$12+F8*$F$12+G8*$G$12+H8*$H$12+I8*$I$12+J8*$J$12</f>
        <v>1476.4144735184445</v>
      </c>
      <c r="P8" s="1285"/>
      <c r="Q8" s="1286"/>
      <c r="S8" s="540"/>
      <c r="T8" s="1282"/>
      <c r="U8" s="1282"/>
    </row>
    <row r="9" spans="1:21" s="531" customFormat="1" ht="17.45" customHeight="1" thickBot="1">
      <c r="A9" s="551" t="s">
        <v>243</v>
      </c>
      <c r="B9" s="552">
        <f>N40+'Eigen informatie GS &amp; warmtenet'!B12</f>
        <v>0</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47163.553409979562</v>
      </c>
      <c r="C10" s="560">
        <f t="shared" ref="C10:L10" si="0">SUM(C8:C9)</f>
        <v>7308.9825421705173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1476.4144735184445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8878.7355212355214</v>
      </c>
      <c r="C17" s="576">
        <f>B53</f>
        <v>10441.596608408638</v>
      </c>
      <c r="D17" s="577"/>
      <c r="E17" s="577">
        <f>E53</f>
        <v>0</v>
      </c>
      <c r="F17" s="578"/>
      <c r="G17" s="579"/>
      <c r="H17" s="576">
        <f>I53</f>
        <v>0</v>
      </c>
      <c r="I17" s="577">
        <f>G53+F53</f>
        <v>0</v>
      </c>
      <c r="J17" s="577">
        <f>H53+D53+C53</f>
        <v>0</v>
      </c>
      <c r="K17" s="577"/>
      <c r="L17" s="577"/>
      <c r="M17" s="577"/>
      <c r="N17" s="962"/>
      <c r="O17" s="580">
        <f>C17*$C$22+E17*$E$22+H17*$H$22+I17*$I$22+J17*$J$22+D17*$D$22+F17*$F$22+G17*$G$22+K17*$K$22+L17*$L$22</f>
        <v>2109.2025148985449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8878.7355212355214</v>
      </c>
      <c r="C20" s="559">
        <f>SUM(C17:C19)</f>
        <v>10441.596608408638</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2109.2025148985449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13049</v>
      </c>
      <c r="C28" s="787">
        <v>2260</v>
      </c>
      <c r="D28" s="637" t="s">
        <v>874</v>
      </c>
      <c r="E28" s="636" t="s">
        <v>875</v>
      </c>
      <c r="F28" s="636" t="s">
        <v>876</v>
      </c>
      <c r="G28" s="636" t="s">
        <v>877</v>
      </c>
      <c r="H28" s="636" t="s">
        <v>878</v>
      </c>
      <c r="I28" s="636" t="s">
        <v>875</v>
      </c>
      <c r="J28" s="786">
        <v>39651</v>
      </c>
      <c r="K28" s="786">
        <v>39651</v>
      </c>
      <c r="L28" s="636" t="s">
        <v>879</v>
      </c>
      <c r="M28" s="636">
        <v>1169</v>
      </c>
      <c r="N28" s="636">
        <v>5260.5</v>
      </c>
      <c r="O28" s="636">
        <v>7515</v>
      </c>
      <c r="P28" s="636">
        <v>15030.000000000002</v>
      </c>
      <c r="Q28" s="636">
        <v>0</v>
      </c>
      <c r="R28" s="636">
        <v>0</v>
      </c>
      <c r="S28" s="636">
        <v>0</v>
      </c>
      <c r="T28" s="636">
        <v>0</v>
      </c>
      <c r="U28" s="636">
        <v>0</v>
      </c>
      <c r="V28" s="636">
        <v>0</v>
      </c>
      <c r="W28" s="636">
        <v>0</v>
      </c>
      <c r="X28" s="636">
        <v>10</v>
      </c>
      <c r="Y28" s="636" t="s">
        <v>111</v>
      </c>
      <c r="Z28" s="638" t="s">
        <v>111</v>
      </c>
    </row>
    <row r="29" spans="1:26" s="590" customFormat="1" ht="25.5">
      <c r="A29" s="589"/>
      <c r="B29" s="787">
        <v>13049</v>
      </c>
      <c r="C29" s="787">
        <v>2260</v>
      </c>
      <c r="D29" s="637" t="s">
        <v>880</v>
      </c>
      <c r="E29" s="636" t="s">
        <v>881</v>
      </c>
      <c r="F29" s="636" t="s">
        <v>882</v>
      </c>
      <c r="G29" s="636" t="s">
        <v>883</v>
      </c>
      <c r="H29" s="636" t="s">
        <v>883</v>
      </c>
      <c r="I29" s="636" t="s">
        <v>881</v>
      </c>
      <c r="J29" s="786">
        <v>42343</v>
      </c>
      <c r="K29" s="786">
        <v>42343</v>
      </c>
      <c r="L29" s="636" t="s">
        <v>879</v>
      </c>
      <c r="M29" s="636">
        <v>1.7</v>
      </c>
      <c r="N29" s="636">
        <v>8.5</v>
      </c>
      <c r="O29" s="636">
        <v>12.175675675675675</v>
      </c>
      <c r="P29" s="636">
        <v>22.972972972972972</v>
      </c>
      <c r="Q29" s="636">
        <v>0</v>
      </c>
      <c r="R29" s="636">
        <v>0</v>
      </c>
      <c r="S29" s="636">
        <v>0</v>
      </c>
      <c r="T29" s="636">
        <v>0</v>
      </c>
      <c r="U29" s="636">
        <v>0</v>
      </c>
      <c r="V29" s="636">
        <v>0</v>
      </c>
      <c r="W29" s="636">
        <v>0</v>
      </c>
      <c r="X29" s="636">
        <v>10</v>
      </c>
      <c r="Y29" s="636" t="s">
        <v>111</v>
      </c>
      <c r="Z29" s="638" t="s">
        <v>111</v>
      </c>
    </row>
    <row r="30" spans="1:26" s="590" customFormat="1" ht="12.75">
      <c r="A30" s="589"/>
      <c r="B30" s="787">
        <v>13049</v>
      </c>
      <c r="C30" s="787">
        <v>2260</v>
      </c>
      <c r="D30" s="637" t="s">
        <v>884</v>
      </c>
      <c r="E30" s="636"/>
      <c r="F30" s="636" t="s">
        <v>885</v>
      </c>
      <c r="G30" s="636" t="s">
        <v>886</v>
      </c>
      <c r="H30" s="636" t="s">
        <v>883</v>
      </c>
      <c r="I30" s="636" t="s">
        <v>887</v>
      </c>
      <c r="J30" s="786">
        <v>42919</v>
      </c>
      <c r="K30" s="786">
        <v>42829</v>
      </c>
      <c r="L30" s="636" t="s">
        <v>888</v>
      </c>
      <c r="M30" s="636">
        <v>6.8</v>
      </c>
      <c r="N30" s="636">
        <v>34</v>
      </c>
      <c r="O30" s="636">
        <v>48.702702702702702</v>
      </c>
      <c r="P30" s="636">
        <v>91.891891891891888</v>
      </c>
      <c r="Q30" s="636">
        <v>0</v>
      </c>
      <c r="R30" s="636">
        <v>0</v>
      </c>
      <c r="S30" s="636">
        <v>0</v>
      </c>
      <c r="T30" s="636">
        <v>0</v>
      </c>
      <c r="U30" s="636">
        <v>0</v>
      </c>
      <c r="V30" s="636">
        <v>0</v>
      </c>
      <c r="W30" s="636">
        <v>0</v>
      </c>
      <c r="X30" s="636">
        <v>1200</v>
      </c>
      <c r="Y30" s="636" t="s">
        <v>52</v>
      </c>
      <c r="Z30" s="638" t="s">
        <v>155</v>
      </c>
    </row>
    <row r="31" spans="1:26" s="590" customFormat="1" ht="63.75">
      <c r="A31" s="589"/>
      <c r="B31" s="787">
        <v>13049</v>
      </c>
      <c r="C31" s="787">
        <v>2260</v>
      </c>
      <c r="D31" s="637" t="s">
        <v>889</v>
      </c>
      <c r="E31" s="636" t="s">
        <v>890</v>
      </c>
      <c r="F31" s="636" t="s">
        <v>891</v>
      </c>
      <c r="G31" s="636" t="s">
        <v>892</v>
      </c>
      <c r="H31" s="636" t="s">
        <v>878</v>
      </c>
      <c r="I31" s="636" t="s">
        <v>893</v>
      </c>
      <c r="J31" s="786">
        <v>41978</v>
      </c>
      <c r="K31" s="786">
        <v>42864</v>
      </c>
      <c r="L31" s="636" t="s">
        <v>888</v>
      </c>
      <c r="M31" s="636">
        <v>70</v>
      </c>
      <c r="N31" s="636">
        <v>315.00000000000006</v>
      </c>
      <c r="O31" s="636">
        <v>450.00000000000011</v>
      </c>
      <c r="P31" s="636">
        <v>900.00000000000023</v>
      </c>
      <c r="Q31" s="636">
        <v>0</v>
      </c>
      <c r="R31" s="636">
        <v>0</v>
      </c>
      <c r="S31" s="636">
        <v>0</v>
      </c>
      <c r="T31" s="636">
        <v>0</v>
      </c>
      <c r="U31" s="636">
        <v>0</v>
      </c>
      <c r="V31" s="636">
        <v>0</v>
      </c>
      <c r="W31" s="636">
        <v>0</v>
      </c>
      <c r="X31" s="636">
        <v>1600</v>
      </c>
      <c r="Y31" s="636" t="s">
        <v>894</v>
      </c>
      <c r="Z31" s="638" t="s">
        <v>155</v>
      </c>
    </row>
    <row r="32" spans="1:26" s="590" customFormat="1" ht="25.5">
      <c r="A32" s="589"/>
      <c r="B32" s="787">
        <v>13049</v>
      </c>
      <c r="C32" s="787">
        <v>2260</v>
      </c>
      <c r="D32" s="637" t="s">
        <v>895</v>
      </c>
      <c r="E32" s="636"/>
      <c r="F32" s="636" t="s">
        <v>896</v>
      </c>
      <c r="G32" s="636" t="s">
        <v>892</v>
      </c>
      <c r="H32" s="636" t="s">
        <v>878</v>
      </c>
      <c r="I32" s="636" t="s">
        <v>897</v>
      </c>
      <c r="J32" s="786">
        <v>43558</v>
      </c>
      <c r="K32" s="786">
        <v>43558</v>
      </c>
      <c r="L32" s="636" t="s">
        <v>888</v>
      </c>
      <c r="M32" s="636">
        <v>199</v>
      </c>
      <c r="N32" s="636">
        <v>597</v>
      </c>
      <c r="O32" s="636">
        <v>852.85714285714289</v>
      </c>
      <c r="P32" s="636">
        <v>1705.7142857142858</v>
      </c>
      <c r="Q32" s="636">
        <v>0</v>
      </c>
      <c r="R32" s="636">
        <v>0</v>
      </c>
      <c r="S32" s="636">
        <v>0</v>
      </c>
      <c r="T32" s="636">
        <v>0</v>
      </c>
      <c r="U32" s="636">
        <v>0</v>
      </c>
      <c r="V32" s="636">
        <v>0</v>
      </c>
      <c r="W32" s="636">
        <v>0</v>
      </c>
      <c r="X32" s="636">
        <v>500</v>
      </c>
      <c r="Y32" s="636" t="s">
        <v>40</v>
      </c>
      <c r="Z32" s="638" t="s">
        <v>379</v>
      </c>
    </row>
    <row r="33" spans="1:27" s="570" customFormat="1">
      <c r="A33" s="592" t="s">
        <v>275</v>
      </c>
      <c r="B33" s="593"/>
      <c r="C33" s="593"/>
      <c r="D33" s="593"/>
      <c r="E33" s="593"/>
      <c r="F33" s="593"/>
      <c r="G33" s="593"/>
      <c r="H33" s="593"/>
      <c r="I33" s="593"/>
      <c r="J33" s="593"/>
      <c r="K33" s="593"/>
      <c r="L33" s="594"/>
      <c r="M33" s="594">
        <f>SUM(M28:M32)</f>
        <v>1446.5</v>
      </c>
      <c r="N33" s="594">
        <f>SUM(N28:N32)</f>
        <v>6215</v>
      </c>
      <c r="O33" s="594">
        <f>SUM(O28:O32)</f>
        <v>8878.7355212355214</v>
      </c>
      <c r="P33" s="594">
        <f>SUM(P28:P32)</f>
        <v>17750.579150579153</v>
      </c>
      <c r="Q33" s="594">
        <f>SUM(Q28:Q32)</f>
        <v>0</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199</v>
      </c>
      <c r="N34" s="594">
        <f>SUMIF($Z$28:$Z$32,"industrie",N28:N32)</f>
        <v>597</v>
      </c>
      <c r="O34" s="594">
        <f>SUMIF($Z$28:$Z$32,"industrie",O28:O32)</f>
        <v>852.85714285714289</v>
      </c>
      <c r="P34" s="594">
        <f>SUMIF($Z$28:$Z$32,"industrie",P28:P32)</f>
        <v>1705.7142857142858</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76.8</v>
      </c>
      <c r="N35" s="594">
        <f ca="1">SUMIF($Z$28:AD32,"tertiair",N28:N32)</f>
        <v>349.00000000000006</v>
      </c>
      <c r="O35" s="594">
        <f ca="1">SUMIF($Z$28:AE32,"tertiair",O28:O32)</f>
        <v>498.70270270270282</v>
      </c>
      <c r="P35" s="594">
        <f ca="1">SUMIF($Z$28:AF32,"tertiair",P28:P32)</f>
        <v>991.8918918918921</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1170.7</v>
      </c>
      <c r="N36" s="599">
        <f>SUMIF($Z$28:$Z$32,"landbouw",N28:N32)</f>
        <v>5269</v>
      </c>
      <c r="O36" s="599">
        <f>SUMIF($Z$28:$Z$32,"landbouw",O28:O32)</f>
        <v>7527.1756756756758</v>
      </c>
      <c r="P36" s="599">
        <f>SUMIF($Z$28:$Z$32,"landbouw",P28:P32)</f>
        <v>15052.972972972975</v>
      </c>
      <c r="Q36" s="599">
        <f>SUMIF($Z$28:$Z$32,"landbouw",Q28:Q32)</f>
        <v>0</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12.75">
      <c r="A39" s="591"/>
      <c r="B39" s="787"/>
      <c r="C39" s="787"/>
      <c r="D39" s="639"/>
      <c r="E39" s="639"/>
      <c r="F39" s="639"/>
      <c r="G39" s="639"/>
      <c r="H39" s="639"/>
      <c r="I39" s="639"/>
      <c r="J39" s="786"/>
      <c r="K39" s="786"/>
      <c r="L39" s="639"/>
      <c r="M39" s="639"/>
      <c r="N39" s="639"/>
      <c r="O39" s="639"/>
      <c r="P39" s="639"/>
      <c r="Q39" s="639"/>
      <c r="R39" s="639"/>
      <c r="S39" s="639"/>
      <c r="T39" s="639"/>
      <c r="U39" s="639"/>
      <c r="V39" s="639"/>
      <c r="W39" s="639"/>
      <c r="X39" s="639"/>
      <c r="Y39" s="639"/>
      <c r="Z39" s="640"/>
    </row>
    <row r="40" spans="1:27" s="570" customFormat="1">
      <c r="A40" s="592" t="s">
        <v>275</v>
      </c>
      <c r="B40" s="593"/>
      <c r="C40" s="593"/>
      <c r="D40" s="593"/>
      <c r="E40" s="593"/>
      <c r="F40" s="593"/>
      <c r="G40" s="593"/>
      <c r="H40" s="593"/>
      <c r="I40" s="593"/>
      <c r="J40" s="593"/>
      <c r="K40" s="593"/>
      <c r="L40" s="594"/>
      <c r="M40" s="594">
        <f>SUM(M39:M39)</f>
        <v>0</v>
      </c>
      <c r="N40" s="594">
        <f>SUM(N39:N39)</f>
        <v>0</v>
      </c>
      <c r="O40" s="594">
        <f>SUM(O39:O39)</f>
        <v>0</v>
      </c>
      <c r="P40" s="594">
        <f>SUM(P39:P39)</f>
        <v>0</v>
      </c>
      <c r="Q40" s="594">
        <f>SUM(Q39:Q39)</f>
        <v>0</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0</v>
      </c>
      <c r="N42" s="594">
        <f>SUMIF($Z$39:$Z$40,"tertiair",N39:N40)</f>
        <v>0</v>
      </c>
      <c r="O42" s="594">
        <f>SUMIF($Z$39:$Z$40,"tertiair",O39:O40)</f>
        <v>0</v>
      </c>
      <c r="P42" s="594">
        <f>SUMIF($Z$39:$Z$40,"tertiair",P39:P40)</f>
        <v>0</v>
      </c>
      <c r="Q42" s="594">
        <f>SUMIF($Z$39:$Z$40,"tertiair",Q39:Q40)</f>
        <v>0</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0.58823977064815691</v>
      </c>
      <c r="C49" s="619">
        <f>IF(ISERROR(N33/(O33+N33)),0,N33/(N33+O33))</f>
        <v>0.41176022935184314</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7308.9825421705173</v>
      </c>
      <c r="C52" s="628">
        <f t="shared" si="2"/>
        <v>0</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10441.596608408638</v>
      </c>
      <c r="C53" s="631">
        <f t="shared" si="3"/>
        <v>0</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2021-06-29T14:13:43Z</dcterms:modified>
</cp:coreProperties>
</file>