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2" i="13"/>
  <c r="B36" i="13"/>
  <c r="B35" i="13"/>
  <c r="B33"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<sst xmlns="http://schemas.openxmlformats.org/spreadsheetml/2006/main" count="2429" uniqueCount="874">
  <si>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</si>
  <si>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</si>
  <si>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</si>
  <si>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</si>
  <si>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</si>
  <si>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</si>
  <si>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</si>
  <si>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</si>
  <si>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</si>
  <si>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</si>
  <si>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</si>
  <si>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</si>
  <si>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</si>
  <si>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</si>
  <si>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</si>
  <si>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</si>
  <si>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</si>
  <si>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</si>
  <si>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</si>
  <si>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</si>
  <si>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</si>
  <si>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</si>
  <si>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</si>
  <si>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</si>
  <si>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</si>
  <si>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</si>
  <si>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</si>
  <si>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</si>
  <si>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</si>
  <si>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</si>
  <si>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</si>
  <si>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</si>
  <si>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</si>
  <si>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</si>
  <si>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</si>
  <si>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</si>
  <si>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</si>
  <si>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</si>
  <si>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</si>
  <si>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</si>
  <si>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</si>
  <si>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</si>
  <si>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</si>
  <si>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</si>
  <si>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</si>
  <si>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</si>
  <si>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</si>
  <si>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</si>
  <si>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</si>
  <si>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</si>
  <si>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</si>
  <si>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</si>
  <si>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</si>
  <si>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</si>
  <si>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</si>
  <si>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</si>
  <si>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</si>
  <si>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</si>
  <si>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</si>
  <si>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</si>
  <si>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</si>
  <si>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</si>
  <si>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</si>
  <si>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</si>
  <si>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</si>
  <si>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</si>
  <si>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</si>
  <si>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</si>
  <si>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</si>
  <si>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</si>
  <si>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</si>
  <si>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</si>
  <si>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</si>
  <si>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</si>
  <si>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</si>
  <si>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</si>
  <si>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</si>
  <si>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</si>
  <si>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</si>
  <si>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</si>
  <si>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</si>
  <si>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</si>
  <si>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</si>
  <si>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</si>
  <si>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</si>
  <si>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</si>
  <si>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</si>
  <si>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</si>
  <si>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</si>
  <si>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</si>
  <si>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</si>
  <si>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</si>
  <si>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</si>
  <si>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</si>
  <si>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</si>
  <si>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</si>
  <si>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</si>
  <si>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</si>
  <si>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</si>
  <si>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</si>
  <si>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</si>
  <si>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</si>
  <si>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</si>
  <si>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</si>
  <si>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</si>
  <si>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</si>
  <si>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</si>
  <si>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</si>
  <si>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</si>
  <si>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</si>
  <si>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</si>
  <si>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</si>
  <si>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</si>
  <si>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</si>
  <si>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</si>
  <si>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</si>
  <si>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</si>
  <si>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</si>
  <si>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</si>
  <si>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</si>
  <si>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</si>
  <si>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</si>
  <si>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</si>
  <si>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</si>
  <si>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</si>
  <si>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</si>
  <si>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</si>
  <si>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</si>
  <si>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</si>
  <si>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</si>
  <si>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</si>
  <si>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</si>
  <si>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</si>
  <si>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</si>
  <si>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</si>
  <si>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</si>
  <si>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</si>
  <si>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</si>
  <si>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</si>
  <si>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</si>
  <si>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</si>
  <si>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</si>
  <si>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</si>
  <si>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</si>
  <si>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</si>
  <si>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</si>
  <si>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</si>
  <si>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</si>
  <si>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</si>
  <si>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</si>
  <si>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</si>
  <si>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</si>
  <si>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</si>
  <si>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</si>
  <si>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</si>
  <si>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</si>
  <si>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</si>
  <si>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</si>
  <si>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</si>
  <si>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</si>
  <si>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</si>
  <si>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</si>
  <si>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</si>
  <si>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</si>
  <si>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</si>
  <si>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</si>
  <si>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</si>
  <si>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</si>
  <si>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</si>
  <si>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</si>
  <si>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</si>
  <si>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</si>
  <si>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</si>
  <si>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</si>
  <si>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</si>
  <si>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</si>
  <si>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</si>
  <si>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</si>
  <si>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</si>
  <si>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</si>
  <si>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</si>
  <si>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</si>
  <si>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</si>
  <si>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</si>
  <si>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</si>
  <si>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</si>
  <si>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</si>
  <si>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</si>
  <si>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</si>
  <si>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</si>
  <si>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</si>
  <si>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</si>
  <si>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</si>
  <si>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</si>
  <si>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</si>
  <si>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</si>
  <si>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</si>
  <si>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</si>
  <si>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</si>
  <si>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</si>
  <si>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</si>
  <si>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</si>
  <si>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</si>
  <si>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</si>
  <si>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</si>
  <si>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</si>
  <si>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</si>
  <si>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</si>
  <si>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</si>
  <si>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</si>
  <si>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</si>
  <si>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</si>
  <si>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</si>
  <si>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</si>
  <si>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</si>
  <si>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</si>
  <si>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</si>
  <si>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</si>
  <si>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</si>
  <si>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</si>
  <si>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</si>
  <si>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</si>
  <si>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</si>
  <si>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</si>
  <si>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</si>
  <si>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</si>
  <si>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</si>
  <si>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</si>
  <si>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</si>
  <si>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</si>
  <si>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</si>
  <si>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</si>
  <si>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</si>
  <si>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</si>
  <si>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</si>
  <si>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</si>
  <si>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</si>
  <si>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</si>
  <si>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</si>
  <si>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</si>
  <si>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</si>
  <si>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</si>
  <si>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</si>
  <si>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</si>
  <si>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</si>
  <si>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</si>
  <si>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</si>
  <si>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</si>
  <si>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</si>
  <si>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</si>
  <si>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</si>
  <si>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</si>
  <si>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</si>
  <si>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</si>
  <si>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</si>
  <si>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</si>
  <si>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</si>
  <si>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</si>
  <si>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</si>
  <si>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</si>
  <si>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</si>
  <si>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</si>
  <si>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</si>
  <si>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</si>
  <si>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</si>
  <si>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</si>
  <si>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</si>
  <si>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</si>
  <si>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</si>
  <si>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</si>
  <si>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</si>
  <si>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</si>
  <si>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</si>
  <si>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</si>
  <si>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</si>
  <si>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</si>
  <si>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</si>
  <si>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</si>
  <si>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</si>
  <si>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</si>
  <si>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</si>
  <si>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</si>
  <si>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</si>
  <si>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</si>
  <si>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</si>
  <si>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</si>
  <si>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</si>
  <si>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</si>
  <si>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</si>
  <si>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</si>
  <si>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</si>
  <si>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</si>
  <si>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</si>
  <si>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</si>
  <si>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</si>
  <si>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</si>
  <si>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</si>
  <si>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</si>
  <si>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</si>
  <si>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</si>
  <si>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</si>
  <si>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</si>
  <si>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</si>
  <si>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</si>
  <si>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</si>
  <si>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</si>
  <si>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</si>
  <si>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</si>
  <si>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</si>
  <si>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</si>
  <si>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</si>
  <si>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</si>
  <si>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</si>
  <si>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</si>
  <si>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</si>
  <si>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</si>
  <si>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</si>
  <si>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</si>
  <si>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</si>
  <si>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</si>
  <si>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</si>
  <si>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</si>
  <si>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</si>
  <si>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</si>
  <si>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</si>
  <si>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</si>
  <si>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</si>
  <si>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</si>
  <si>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</si>
  <si>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</si>
  <si>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</si>
  <si>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</si>
  <si>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</si>
  <si>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</si>
  <si>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</si>
  <si>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</si>
  <si>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</si>
  <si>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</si>
  <si>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</si>
  <si>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</si>
  <si>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</si>
  <si>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</si>
  <si>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</si>
  <si>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</si>
  <si>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</si>
  <si>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</si>
  <si>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</si>
  <si>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</si>
  <si>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</si>
  <si>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</si>
  <si>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</si>
  <si>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</si>
  <si>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</si>
  <si>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</si>
  <si>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</si>
  <si>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</si>
  <si>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</si>
  <si>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</si>
  <si>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</si>
  <si>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</si>
  <si>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</si>
  <si>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</si>
  <si>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</si>
  <si>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</si>
  <si>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</si>
  <si>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</si>
  <si>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</si>
  <si>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</si>
  <si>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</si>
  <si>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</si>
  <si>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</si>
  <si>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</si>
  <si>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</si>
  <si>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</si>
  <si>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</si>
  <si>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</si>
  <si>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</si>
  <si>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</si>
  <si>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</si>
  <si>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</si>
  <si>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</si>
  <si>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</si>
  <si>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</si>
  <si>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</si>
  <si>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</si>
  <si>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</si>
  <si>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</si>
  <si>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</si>
  <si>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</si>
  <si>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</si>
  <si>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</si>
  <si>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</si>
  <si>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</si>
  <si>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</si>
  <si>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</si>
  <si>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</si>
  <si>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</si>
  <si>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</si>
  <si>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</si>
  <si>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</si>
  <si>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</si>
  <si>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</si>
  <si>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</si>
  <si>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</si>
  <si>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</si>
  <si>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</si>
  <si>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</si>
  <si>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</si>
  <si>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</si>
  <si>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</si>
  <si>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</si>
  <si>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</si>
  <si>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</si>
  <si>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</si>
  <si>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</si>
  <si>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</si>
  <si>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</si>
  <si>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</si>
  <si>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</si>
  <si>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</si>
  <si>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</si>
  <si>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</si>
  <si>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</si>
  <si>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</si>
  <si>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</si>
  <si>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</si>
  <si>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</si>
  <si>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</si>
  <si>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</si>
  <si>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</si>
  <si>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</si>
  <si>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</si>
  <si>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</si>
  <si>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</si>
  <si>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</si>
  <si>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</si>
  <si>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</si>
  <si>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</si>
  <si>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</si>
  <si>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</si>
  <si>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</si>
  <si>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</si>
  <si>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</si>
  <si>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</si>
  <si>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</si>
  <si>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</si>
  <si>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</si>
  <si>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</si>
  <si>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</si>
  <si>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</si>
  <si>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</si>
  <si>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</si>
  <si>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</si>
  <si>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</si>
  <si>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</si>
  <si>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</si>
  <si>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</si>
  <si>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</si>
  <si>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</si>
  <si>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</si>
  <si>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</si>
  <si>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</si>
  <si>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</si>
  <si>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</si>
  <si>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</si>
  <si>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</si>
  <si>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</si>
  <si>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</si>
  <si>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</si>
  <si>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</si>
  <si>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</si>
  <si>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</si>
  <si>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</si>
  <si>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</si>
  <si>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</si>
  <si>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</si>
  <si>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</si>
  <si>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</si>
  <si>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</si>
  <si>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</si>
  <si>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</si>
  <si>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</si>
  <si>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</si>
  <si>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</si>
  <si>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</si>
  <si>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</si>
  <si>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</si>
  <si>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</si>
  <si>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</si>
  <si>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</si>
  <si>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</si>
  <si>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</si>
  <si>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</si>
  <si>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</si>
  <si>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</si>
  <si>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</si>
  <si>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</si>
  <si>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</si>
  <si>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</si>
  <si>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</si>
  <si>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</si>
  <si>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</si>
  <si>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</si>
  <si>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</si>
  <si>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</si>
  <si>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</si>
  <si>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</si>
  <si>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</si>
  <si>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</si>
  <si>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</si>
  <si>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</si>
  <si>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</si>
  <si>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</si>
  <si>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</si>
  <si>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</si>
  <si>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</si>
  <si>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</si>
  <si>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</si>
  <si>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</si>
  <si>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</si>
  <si>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</si>
  <si>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</si>
  <si>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</si>
  <si>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</si>
  <si>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</si>
  <si>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</si>
  <si>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</si>
  <si>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</si>
  <si>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</si>
  <si>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</si>
  <si>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</si>
  <si>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</si>
  <si>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</si>
  <si>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</si>
  <si>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</si>
  <si>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</si>
  <si>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</si>
  <si>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</si>
  <si>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</si>
  <si>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</si>
  <si>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</si>
  <si>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</si>
  <si>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</si>
  <si>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</si>
  <si>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</si>
  <si>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</si>
  <si>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</si>
  <si>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</si>
  <si>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</si>
  <si>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</si>
  <si>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</si>
  <si>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</si>
  <si>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</si>
  <si>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</si>
  <si>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</si>
  <si>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</si>
  <si>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</si>
  <si>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</si>
  <si>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</si>
  <si>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</si>
  <si>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</si>
  <si>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</si>
  <si>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</si>
  <si>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</si>
  <si>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</si>
  <si>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</si>
  <si>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</si>
  <si>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</si>
  <si>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</si>
  <si>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</si>
  <si>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</si>
  <si>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</si>
  <si>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</si>
  <si>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</si>
  <si>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</si>
  <si>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</si>
  <si>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</si>
  <si>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</si>
  <si>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</si>
  <si>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</si>
  <si>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</si>
  <si>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</si>
  <si>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</si>
  <si>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</si>
  <si>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</si>
  <si>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</si>
  <si>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</si>
  <si>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</si>
  <si>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</si>
  <si>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</si>
  <si>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</si>
  <si>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</si>
  <si>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</si>
  <si>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</si>
  <si>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</si>
  <si>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</si>
  <si>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</si>
  <si>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</si>
  <si>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</si>
  <si>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</si>
  <si>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</si>
  <si>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</si>
  <si>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</si>
  <si>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</si>
  <si>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</si>
  <si>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</si>
  <si>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</si>
  <si>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</si>
  <si>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</si>
  <si>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</si>
  <si>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</si>
  <si>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</si>
  <si>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</si>
  <si>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</si>
  <si>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</si>
  <si>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</si>
  <si>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</si>
  <si>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</si>
  <si>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</si>
  <si>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</si>
  <si>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</si>
  <si>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</si>
  <si>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</si>
  <si>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</si>
  <si>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</si>
  <si>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</si>
  <si>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</si>
  <si>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</si>
  <si>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</si>
  <si>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</si>
  <si>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</si>
  <si>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</si>
  <si>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</si>
  <si>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</si>
  <si>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</si>
  <si>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</si>
  <si>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</si>
  <si>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</si>
  <si>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</si>
  <si>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</si>
  <si>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</si>
  <si>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</si>
  <si>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</si>
  <si>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</si>
  <si>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</si>
  <si>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</si>
  <si>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</si>
  <si>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</si>
  <si>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</si>
  <si>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</si>
  <si>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</si>
  <si>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</si>
  <si>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</si>
  <si>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</si>
  <si>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</si>
  <si>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</si>
  <si>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</si>
  <si>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</si>
  <si>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</si>
  <si>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</si>
  <si>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</si>
  <si>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</si>
  <si>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</si>
  <si>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</si>
  <si>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</si>
  <si>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</si>
  <si>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</si>
  <si>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</si>
  <si>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</si>
  <si>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</si>
  <si>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</si>
  <si>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</si>
  <si>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</si>
  <si>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</si>
  <si>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</si>
  <si>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</si>
  <si>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</si>
  <si>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</si>
  <si>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</si>
  <si>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</si>
  <si>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</si>
  <si>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</si>
  <si>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</si>
  <si>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</si>
  <si>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</si>
  <si>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</si>
  <si>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</si>
  <si>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</si>
  <si>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</si>
  <si>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</si>
  <si>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</si>
  <si>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</si>
  <si>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</si>
  <si>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</si>
  <si>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</si>
  <si>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</si>
  <si>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</si>
  <si>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</si>
  <si>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</si>
  <si>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</si>
  <si>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</si>
  <si>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</si>
  <si>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</si>
  <si>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</si>
  <si>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</si>
  <si>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</si>
  <si>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</si>
  <si>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</si>
  <si>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</si>
  <si>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</si>
  <si>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</si>
  <si>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</si>
  <si>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</si>
  <si>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</si>
  <si>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</si>
  <si>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</si>
  <si>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</si>
  <si>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</si>
  <si>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</si>
  <si>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</si>
  <si>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</si>
  <si>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</si>
  <si>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</si>
  <si>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</si>
  <si>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</si>
  <si>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</si>
  <si>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</si>
  <si>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</si>
  <si>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</si>
  <si>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</si>
  <si>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</si>
  <si>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</si>
  <si>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</si>
  <si>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</si>
  <si>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</si>
  <si>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</si>
  <si>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</si>
  <si>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</si>
  <si>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</si>
  <si>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</si>
  <si>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</si>
  <si>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</si>
  <si>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</si>
  <si>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</si>
  <si>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</si>
  <si>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</si>
  <si>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</si>
  <si>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</si>
  <si>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</si>
  <si>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</si>
  <si>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</si>
  <si>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</si>
  <si>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</si>
  <si>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</si>
  <si>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</si>
  <si>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</si>
  <si>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</si>
  <si>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</si>
  <si>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</si>
  <si>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</si>
  <si>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</si>
  <si>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</si>
  <si>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</si>
  <si>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</si>
  <si>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</si>
  <si>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</si>
  <si>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</si>
  <si>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</si>
  <si>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</si>
  <si>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</si>
  <si>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</si>
  <si>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</si>
  <si>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</si>
  <si>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</si>
  <si>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</si>
  <si>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</si>
  <si>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</si>
  <si>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</si>
  <si>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</si>
  <si>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</si>
  <si>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</si>
  <si>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</si>
  <si>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</si>
  <si>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</si>
  <si>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</si>
  <si>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</si>
  <si>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</si>
  <si>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</si>
  <si>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</si>
  <si>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</si>
  <si>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</si>
  <si>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</si>
  <si>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</si>
  <si>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</si>
  <si>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</si>
  <si>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</si>
  <si>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</si>
  <si>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</si>
  <si>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</si>
  <si>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</si>
  <si>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</si>
  <si>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</si>
  <si>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</si>
  <si>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</si>
  <si>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</si>
  <si>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</si>
  <si>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</si>
  <si>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</si>
  <si>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</si>
  <si>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</si>
  <si>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</si>
  <si>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</si>
  <si>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</si>
  <si>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</si>
  <si>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</si>
  <si>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</si>
  <si>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</si>
  <si>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</si>
  <si>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</si>
  <si>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</si>
  <si>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</si>
  <si>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</si>
  <si>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</si>
  <si>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</si>
  <si>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</si>
  <si>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</si>
  <si>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</si>
  <si>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</si>
  <si>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</si>
  <si>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</si>
  <si>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</si>
  <si>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</si>
  <si>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</si>
  <si>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</si>
  <si>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</si>
  <si>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</si>
  <si>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</si>
  <si>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</si>
  <si>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</si>
  <si>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</si>
  <si>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</si>
  <si>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</si>
  <si>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</si>
  <si>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</si>
  <si>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</si>
  <si>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</si>
  <si>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</si>
  <si>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</si>
  <si>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</si>
  <si>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</si>
  <si>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</si>
  <si>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</si>
  <si>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</si>
  <si>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</si>
  <si>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</si>
  <si>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</si>
  <si>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</si>
  <si>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</si>
  <si>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</si>
  <si>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</si>
  <si>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</si>
  <si>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</si>
  <si>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</si>
  <si>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</si>
  <si>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</si>
  <si>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</si>
  <si>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</si>
  <si>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</si>
  <si>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</si>
  <si>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</si>
  <si>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13046</t>
  </si>
  <si>
    <t>VOSSELAAR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</si>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</sst>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93611.359609299965</c:v>
                </c:pt>
                <c:pt idx="1">
                  <c:v>17253.105332203664</c:v>
                </c:pt>
                <c:pt idx="2">
                  <c:v>551.72781900000007</c:v>
                </c:pt>
                <c:pt idx="3">
                  <c:v>1397.9600184191884</c:v>
                </c:pt>
                <c:pt idx="4">
                  <c:v>2350.8568857721034</c:v>
                </c:pt>
                <c:pt idx="5">
                  <c:v>83309.606278910855</c:v>
                </c:pt>
                <c:pt idx="6">
                  <c:v>1183.3890368248865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93611.359609299965</c:v>
                </c:pt>
                <c:pt idx="1">
                  <c:v>17253.105332203664</c:v>
                </c:pt>
                <c:pt idx="2">
                  <c:v>551.72781900000007</c:v>
                </c:pt>
                <c:pt idx="3">
                  <c:v>1397.9600184191884</c:v>
                </c:pt>
                <c:pt idx="4">
                  <c:v>2350.8568857721034</c:v>
                </c:pt>
                <c:pt idx="5">
                  <c:v>83309.606278910855</c:v>
                </c:pt>
                <c:pt idx="6">
                  <c:v>1183.3890368248865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17991.479967932668</c:v>
                </c:pt>
                <c:pt idx="1">
                  <c:v>3360.0893883005051</c:v>
                </c:pt>
                <c:pt idx="2">
                  <c:v>102.10426540930339</c:v>
                </c:pt>
                <c:pt idx="3">
                  <c:v>349.5833810526247</c:v>
                </c:pt>
                <c:pt idx="4">
                  <c:v>474.279088595823</c:v>
                </c:pt>
                <c:pt idx="5">
                  <c:v>20719.210998851559</c:v>
                </c:pt>
                <c:pt idx="6">
                  <c:v>297.62033641878645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17991.479967932668</c:v>
                </c:pt>
                <c:pt idx="1">
                  <c:v>3360.0893883005051</c:v>
                </c:pt>
                <c:pt idx="2">
                  <c:v>102.10426540930339</c:v>
                </c:pt>
                <c:pt idx="3">
                  <c:v>349.5833810526247</c:v>
                </c:pt>
                <c:pt idx="4">
                  <c:v>474.279088595823</c:v>
                </c:pt>
                <c:pt idx="5">
                  <c:v>20719.210998851559</c:v>
                </c:pt>
                <c:pt idx="6">
                  <c:v>297.62033641878645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13046</v>
      </c>
      <c r="B6" s="386"/>
      <c r="C6" s="387"/>
    </row>
    <row r="7" spans="1:7" s="384" customFormat="1" ht="15.75" customHeight="1">
      <c r="A7" s="388" t="str">
        <f>txtMunicipality</f>
        <v>VOSSELAAR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6668.0898764424992</v>
      </c>
      <c r="D10" s="683">
        <f ca="1">tertiair!C16</f>
        <v>0</v>
      </c>
      <c r="E10" s="683">
        <f ca="1">tertiair!D16</f>
        <v>9153.4579965569992</v>
      </c>
      <c r="F10" s="683">
        <f>tertiair!E16</f>
        <v>29.266463019778378</v>
      </c>
      <c r="G10" s="683">
        <f ca="1">tertiair!F16</f>
        <v>1395.2546367720279</v>
      </c>
      <c r="H10" s="683">
        <f>tertiair!G16</f>
        <v>0</v>
      </c>
      <c r="I10" s="683">
        <f>tertiair!H16</f>
        <v>0</v>
      </c>
      <c r="J10" s="683">
        <f>tertiair!I16</f>
        <v>0</v>
      </c>
      <c r="K10" s="683">
        <f>tertiair!J16</f>
        <v>1.0276808065973279E-2</v>
      </c>
      <c r="L10" s="683">
        <f>tertiair!K16</f>
        <v>0</v>
      </c>
      <c r="M10" s="683">
        <f ca="1">tertiair!L16</f>
        <v>0</v>
      </c>
      <c r="N10" s="683">
        <f>tertiair!M16</f>
        <v>0</v>
      </c>
      <c r="O10" s="683">
        <f ca="1">tertiair!N16</f>
        <v>396.23922591897065</v>
      </c>
      <c r="P10" s="683">
        <f>tertiair!O16</f>
        <v>4.8972607658411542</v>
      </c>
      <c r="Q10" s="684">
        <f>tertiair!P16</f>
        <v>157.61741491948504</v>
      </c>
      <c r="R10" s="686">
        <f ca="1">SUM(C10:Q10)</f>
        <v>17804.833151203664</v>
      </c>
      <c r="S10" s="67"/>
    </row>
    <row r="11" spans="1:19" s="445" customFormat="1">
      <c r="A11" s="804" t="s">
        <v>220</v>
      </c>
      <c r="B11" s="809"/>
      <c r="C11" s="683">
        <f>huishoudens!B8</f>
        <v>18172.000118774904</v>
      </c>
      <c r="D11" s="683">
        <f>huishoudens!C8</f>
        <v>0</v>
      </c>
      <c r="E11" s="683">
        <f>huishoudens!D8</f>
        <v>57475.746867843736</v>
      </c>
      <c r="F11" s="683">
        <f>huishoudens!E8</f>
        <v>493.18475463432094</v>
      </c>
      <c r="G11" s="683">
        <f>huishoudens!F8</f>
        <v>10804.003747672301</v>
      </c>
      <c r="H11" s="683">
        <f>huishoudens!G8</f>
        <v>0</v>
      </c>
      <c r="I11" s="683">
        <f>huishoudens!H8</f>
        <v>0</v>
      </c>
      <c r="J11" s="683">
        <f>huishoudens!I8</f>
        <v>0</v>
      </c>
      <c r="K11" s="683">
        <f>huishoudens!J8</f>
        <v>61.573199032478449</v>
      </c>
      <c r="L11" s="683">
        <f>huishoudens!K8</f>
        <v>0</v>
      </c>
      <c r="M11" s="683">
        <f>huishoudens!L8</f>
        <v>0</v>
      </c>
      <c r="N11" s="683">
        <f>huishoudens!M8</f>
        <v>0</v>
      </c>
      <c r="O11" s="683">
        <f>huishoudens!N8</f>
        <v>5529.2554432612469</v>
      </c>
      <c r="P11" s="683">
        <f>huishoudens!O8</f>
        <v>253.94665208154007</v>
      </c>
      <c r="Q11" s="684">
        <f>huishoudens!P8</f>
        <v>821.64882599943178</v>
      </c>
      <c r="R11" s="686">
        <f>SUM(C11:Q11)</f>
        <v>93611.359609299965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636.72377185107689</v>
      </c>
      <c r="D13" s="683">
        <f>industrie!C18</f>
        <v>0</v>
      </c>
      <c r="E13" s="683">
        <f>industrie!D18</f>
        <v>1462.5482645340001</v>
      </c>
      <c r="F13" s="683">
        <f>industrie!E18</f>
        <v>16.941585211222147</v>
      </c>
      <c r="G13" s="683">
        <f>industrie!F18</f>
        <v>213.96339739009147</v>
      </c>
      <c r="H13" s="683">
        <f>industrie!G18</f>
        <v>0</v>
      </c>
      <c r="I13" s="683">
        <f>industrie!H18</f>
        <v>0</v>
      </c>
      <c r="J13" s="683">
        <f>industrie!I18</f>
        <v>0</v>
      </c>
      <c r="K13" s="683">
        <f>industrie!J18</f>
        <v>0.10317046108776633</v>
      </c>
      <c r="L13" s="683">
        <f>industrie!K18</f>
        <v>0</v>
      </c>
      <c r="M13" s="683">
        <f>industrie!L18</f>
        <v>0</v>
      </c>
      <c r="N13" s="683">
        <f>industrie!M18</f>
        <v>0</v>
      </c>
      <c r="O13" s="683">
        <f>industrie!N18</f>
        <v>20.576696324625637</v>
      </c>
      <c r="P13" s="683">
        <f>industrie!O18</f>
        <v>0</v>
      </c>
      <c r="Q13" s="684">
        <f>industrie!P18</f>
        <v>0</v>
      </c>
      <c r="R13" s="686">
        <f>SUM(C13:Q13)</f>
        <v>2350.8568857721034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25476.813767068481</v>
      </c>
      <c r="D16" s="719">
        <f t="shared" ref="D16:R16" ca="1" si="0">SUM(D9:D15)</f>
        <v>0</v>
      </c>
      <c r="E16" s="719">
        <f t="shared" ca="1" si="0"/>
        <v>68091.753128934724</v>
      </c>
      <c r="F16" s="719">
        <f t="shared" si="0"/>
        <v>539.39280286532141</v>
      </c>
      <c r="G16" s="719">
        <f t="shared" ca="1" si="0"/>
        <v>12413.22178183442</v>
      </c>
      <c r="H16" s="719">
        <f t="shared" si="0"/>
        <v>0</v>
      </c>
      <c r="I16" s="719">
        <f t="shared" si="0"/>
        <v>0</v>
      </c>
      <c r="J16" s="719">
        <f t="shared" si="0"/>
        <v>0</v>
      </c>
      <c r="K16" s="719">
        <f t="shared" si="0"/>
        <v>61.686646301632187</v>
      </c>
      <c r="L16" s="719">
        <f t="shared" si="0"/>
        <v>0</v>
      </c>
      <c r="M16" s="719">
        <f t="shared" ca="1" si="0"/>
        <v>0</v>
      </c>
      <c r="N16" s="719">
        <f t="shared" si="0"/>
        <v>0</v>
      </c>
      <c r="O16" s="719">
        <f t="shared" ca="1" si="0"/>
        <v>5946.0713655048439</v>
      </c>
      <c r="P16" s="719">
        <f t="shared" si="0"/>
        <v>258.8439128473812</v>
      </c>
      <c r="Q16" s="719">
        <f t="shared" si="0"/>
        <v>979.26624091891676</v>
      </c>
      <c r="R16" s="719">
        <f t="shared" ca="1" si="0"/>
        <v>113767.04964627573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17.61059790920616</v>
      </c>
      <c r="D19" s="683">
        <f>transport!C54</f>
        <v>0</v>
      </c>
      <c r="E19" s="683">
        <f>transport!D54</f>
        <v>0</v>
      </c>
      <c r="F19" s="683">
        <f>transport!E54</f>
        <v>0</v>
      </c>
      <c r="G19" s="683">
        <f>transport!F54</f>
        <v>0</v>
      </c>
      <c r="H19" s="683">
        <f>transport!G54</f>
        <v>1102.4766696825588</v>
      </c>
      <c r="I19" s="683">
        <f>transport!H54</f>
        <v>0</v>
      </c>
      <c r="J19" s="683">
        <f>transport!I54</f>
        <v>0</v>
      </c>
      <c r="K19" s="683">
        <f>transport!J54</f>
        <v>0</v>
      </c>
      <c r="L19" s="683">
        <f>transport!K54</f>
        <v>0</v>
      </c>
      <c r="M19" s="683">
        <f>transport!L54</f>
        <v>0</v>
      </c>
      <c r="N19" s="683">
        <f>transport!M54</f>
        <v>63.301769233121441</v>
      </c>
      <c r="O19" s="683">
        <f>transport!N54</f>
        <v>0</v>
      </c>
      <c r="P19" s="683">
        <f>transport!O54</f>
        <v>0</v>
      </c>
      <c r="Q19" s="684">
        <f>transport!P54</f>
        <v>0</v>
      </c>
      <c r="R19" s="686">
        <f>SUM(C19:Q19)</f>
        <v>1183.3890368248865</v>
      </c>
      <c r="S19" s="67"/>
    </row>
    <row r="20" spans="1:19" s="445" customFormat="1">
      <c r="A20" s="804" t="s">
        <v>302</v>
      </c>
      <c r="B20" s="809"/>
      <c r="C20" s="683">
        <f>transport!B14</f>
        <v>164.03147871212181</v>
      </c>
      <c r="D20" s="683">
        <f>transport!C14</f>
        <v>0</v>
      </c>
      <c r="E20" s="683">
        <f>transport!D14</f>
        <v>269.29503965657682</v>
      </c>
      <c r="F20" s="683">
        <f>transport!E14</f>
        <v>117.20915791163284</v>
      </c>
      <c r="G20" s="683">
        <f>transport!F14</f>
        <v>0</v>
      </c>
      <c r="H20" s="683">
        <f>transport!G14</f>
        <v>64591.446467752765</v>
      </c>
      <c r="I20" s="683">
        <f>transport!H14</f>
        <v>13501.745378194424</v>
      </c>
      <c r="J20" s="683">
        <f>transport!I14</f>
        <v>0</v>
      </c>
      <c r="K20" s="683">
        <f>transport!J14</f>
        <v>0</v>
      </c>
      <c r="L20" s="683">
        <f>transport!K14</f>
        <v>0</v>
      </c>
      <c r="M20" s="683">
        <f>transport!L14</f>
        <v>0</v>
      </c>
      <c r="N20" s="683">
        <f>transport!M14</f>
        <v>4665.8787566833353</v>
      </c>
      <c r="O20" s="683">
        <f>transport!N14</f>
        <v>0</v>
      </c>
      <c r="P20" s="683">
        <f>transport!O14</f>
        <v>0</v>
      </c>
      <c r="Q20" s="684">
        <f>transport!P14</f>
        <v>0</v>
      </c>
      <c r="R20" s="686">
        <f>SUM(C20:Q20)</f>
        <v>83309.606278910855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181.64207662132796</v>
      </c>
      <c r="D22" s="807">
        <f t="shared" ref="D22:R22" si="1">SUM(D18:D21)</f>
        <v>0</v>
      </c>
      <c r="E22" s="807">
        <f t="shared" si="1"/>
        <v>269.29503965657682</v>
      </c>
      <c r="F22" s="807">
        <f t="shared" si="1"/>
        <v>117.20915791163284</v>
      </c>
      <c r="G22" s="807">
        <f t="shared" si="1"/>
        <v>0</v>
      </c>
      <c r="H22" s="807">
        <f t="shared" si="1"/>
        <v>65693.923137435326</v>
      </c>
      <c r="I22" s="807">
        <f t="shared" si="1"/>
        <v>13501.745378194424</v>
      </c>
      <c r="J22" s="807">
        <f t="shared" si="1"/>
        <v>0</v>
      </c>
      <c r="K22" s="807">
        <f t="shared" si="1"/>
        <v>0</v>
      </c>
      <c r="L22" s="807">
        <f t="shared" si="1"/>
        <v>0</v>
      </c>
      <c r="M22" s="807">
        <f t="shared" si="1"/>
        <v>0</v>
      </c>
      <c r="N22" s="807">
        <f t="shared" si="1"/>
        <v>4729.1805259164566</v>
      </c>
      <c r="O22" s="807">
        <f t="shared" si="1"/>
        <v>0</v>
      </c>
      <c r="P22" s="807">
        <f t="shared" si="1"/>
        <v>0</v>
      </c>
      <c r="Q22" s="807">
        <f t="shared" si="1"/>
        <v>0</v>
      </c>
      <c r="R22" s="807">
        <f t="shared" si="1"/>
        <v>84492.995315735738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294.479218</v>
      </c>
      <c r="D24" s="683">
        <f>+landbouw!C8</f>
        <v>0</v>
      </c>
      <c r="E24" s="683">
        <f>+landbouw!D8</f>
        <v>88.00051230599999</v>
      </c>
      <c r="F24" s="683">
        <f>+landbouw!E8</f>
        <v>8.4343831535945153</v>
      </c>
      <c r="G24" s="683">
        <f>+landbouw!F8</f>
        <v>932.16908717403248</v>
      </c>
      <c r="H24" s="683">
        <f>+landbouw!G8</f>
        <v>0</v>
      </c>
      <c r="I24" s="683">
        <f>+landbouw!H8</f>
        <v>0</v>
      </c>
      <c r="J24" s="683">
        <f>+landbouw!I8</f>
        <v>0</v>
      </c>
      <c r="K24" s="683">
        <f>+landbouw!J8</f>
        <v>74.876817785561414</v>
      </c>
      <c r="L24" s="683">
        <f>+landbouw!K8</f>
        <v>0</v>
      </c>
      <c r="M24" s="683">
        <f>+landbouw!L8</f>
        <v>0</v>
      </c>
      <c r="N24" s="683">
        <f>+landbouw!M8</f>
        <v>0</v>
      </c>
      <c r="O24" s="683">
        <f>+landbouw!N8</f>
        <v>0</v>
      </c>
      <c r="P24" s="683">
        <f>+landbouw!O8</f>
        <v>0</v>
      </c>
      <c r="Q24" s="684">
        <f>+landbouw!P8</f>
        <v>0</v>
      </c>
      <c r="R24" s="686">
        <f>SUM(C24:Q24)</f>
        <v>1397.9600184191884</v>
      </c>
      <c r="S24" s="67"/>
    </row>
    <row r="25" spans="1:19" s="445" customFormat="1" ht="15" thickBot="1">
      <c r="A25" s="826" t="s">
        <v>696</v>
      </c>
      <c r="B25" s="939"/>
      <c r="C25" s="940">
        <f>IF(Onbekend_ele_kWh="---",0,Onbekend_ele_kWh)/1000+IF(REST_rest_ele_kWh="---",0,REST_rest_ele_kWh)/1000</f>
        <v>120.115285</v>
      </c>
      <c r="D25" s="940"/>
      <c r="E25" s="940">
        <f>IF(onbekend_gas_kWh="---",0,onbekend_gas_kWh)/1000+IF(REST_rest_gas_kWh="---",0,REST_rest_gas_kWh)/1000</f>
        <v>329.32320199999998</v>
      </c>
      <c r="F25" s="940"/>
      <c r="G25" s="940"/>
      <c r="H25" s="940"/>
      <c r="I25" s="940"/>
      <c r="J25" s="940"/>
      <c r="K25" s="940"/>
      <c r="L25" s="940"/>
      <c r="M25" s="940"/>
      <c r="N25" s="940"/>
      <c r="O25" s="940"/>
      <c r="P25" s="940"/>
      <c r="Q25" s="941"/>
      <c r="R25" s="686">
        <f>SUM(C25:Q25)</f>
        <v>449.43848700000001</v>
      </c>
      <c r="S25" s="67"/>
    </row>
    <row r="26" spans="1:19" s="445" customFormat="1" ht="15.75" thickBot="1">
      <c r="A26" s="691" t="s">
        <v>697</v>
      </c>
      <c r="B26" s="812"/>
      <c r="C26" s="807">
        <f>SUM(C24:C25)</f>
        <v>414.59450300000003</v>
      </c>
      <c r="D26" s="807">
        <f t="shared" ref="D26:R26" si="2">SUM(D24:D25)</f>
        <v>0</v>
      </c>
      <c r="E26" s="807">
        <f t="shared" si="2"/>
        <v>417.32371430599994</v>
      </c>
      <c r="F26" s="807">
        <f t="shared" si="2"/>
        <v>8.4343831535945153</v>
      </c>
      <c r="G26" s="807">
        <f t="shared" si="2"/>
        <v>932.16908717403248</v>
      </c>
      <c r="H26" s="807">
        <f t="shared" si="2"/>
        <v>0</v>
      </c>
      <c r="I26" s="807">
        <f t="shared" si="2"/>
        <v>0</v>
      </c>
      <c r="J26" s="807">
        <f t="shared" si="2"/>
        <v>0</v>
      </c>
      <c r="K26" s="807">
        <f t="shared" si="2"/>
        <v>74.876817785561414</v>
      </c>
      <c r="L26" s="807">
        <f t="shared" si="2"/>
        <v>0</v>
      </c>
      <c r="M26" s="807">
        <f t="shared" si="2"/>
        <v>0</v>
      </c>
      <c r="N26" s="807">
        <f t="shared" si="2"/>
        <v>0</v>
      </c>
      <c r="O26" s="807">
        <f t="shared" si="2"/>
        <v>0</v>
      </c>
      <c r="P26" s="807">
        <f t="shared" si="2"/>
        <v>0</v>
      </c>
      <c r="Q26" s="807">
        <f t="shared" si="2"/>
        <v>0</v>
      </c>
      <c r="R26" s="807">
        <f t="shared" si="2"/>
        <v>1847.3985054191885</v>
      </c>
      <c r="S26" s="67"/>
    </row>
    <row r="27" spans="1:19" s="445" customFormat="1" ht="17.25" thickTop="1" thickBot="1">
      <c r="A27" s="692" t="s">
        <v>115</v>
      </c>
      <c r="B27" s="799"/>
      <c r="C27" s="693">
        <f ca="1">C22+C16+C26</f>
        <v>26073.050346689808</v>
      </c>
      <c r="D27" s="693">
        <f t="shared" ref="D27:R27" ca="1" si="3">D22+D16+D26</f>
        <v>0</v>
      </c>
      <c r="E27" s="693">
        <f t="shared" ca="1" si="3"/>
        <v>68778.371882897292</v>
      </c>
      <c r="F27" s="693">
        <f t="shared" si="3"/>
        <v>665.0363439305487</v>
      </c>
      <c r="G27" s="693">
        <f t="shared" ca="1" si="3"/>
        <v>13345.390869008452</v>
      </c>
      <c r="H27" s="693">
        <f t="shared" si="3"/>
        <v>65693.923137435326</v>
      </c>
      <c r="I27" s="693">
        <f t="shared" si="3"/>
        <v>13501.745378194424</v>
      </c>
      <c r="J27" s="693">
        <f t="shared" si="3"/>
        <v>0</v>
      </c>
      <c r="K27" s="693">
        <f t="shared" si="3"/>
        <v>136.56346408719361</v>
      </c>
      <c r="L27" s="693">
        <f t="shared" si="3"/>
        <v>0</v>
      </c>
      <c r="M27" s="693">
        <f t="shared" ca="1" si="3"/>
        <v>0</v>
      </c>
      <c r="N27" s="693">
        <f t="shared" si="3"/>
        <v>4729.1805259164566</v>
      </c>
      <c r="O27" s="693">
        <f t="shared" ca="1" si="3"/>
        <v>5946.0713655048439</v>
      </c>
      <c r="P27" s="693">
        <f t="shared" si="3"/>
        <v>258.8439128473812</v>
      </c>
      <c r="Q27" s="693">
        <f t="shared" si="3"/>
        <v>979.26624091891676</v>
      </c>
      <c r="R27" s="693">
        <f t="shared" ca="1" si="3"/>
        <v>200107.44346743065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1234.0150252916176</v>
      </c>
      <c r="D40" s="683">
        <f ca="1">tertiair!C20</f>
        <v>0</v>
      </c>
      <c r="E40" s="683">
        <f ca="1">tertiair!D20</f>
        <v>1848.9985153045141</v>
      </c>
      <c r="F40" s="683">
        <f>tertiair!E20</f>
        <v>6.643487105489692</v>
      </c>
      <c r="G40" s="683">
        <f ca="1">tertiair!F20</f>
        <v>372.53298801813145</v>
      </c>
      <c r="H40" s="683">
        <f>tertiair!G20</f>
        <v>0</v>
      </c>
      <c r="I40" s="683">
        <f>tertiair!H20</f>
        <v>0</v>
      </c>
      <c r="J40" s="683">
        <f>tertiair!I20</f>
        <v>0</v>
      </c>
      <c r="K40" s="683">
        <f>tertiair!J20</f>
        <v>3.6379900553545406E-3</v>
      </c>
      <c r="L40" s="683">
        <f>tertiair!K20</f>
        <v>0</v>
      </c>
      <c r="M40" s="683">
        <f ca="1">tertiair!L20</f>
        <v>0</v>
      </c>
      <c r="N40" s="683">
        <f>tertiair!M20</f>
        <v>0</v>
      </c>
      <c r="O40" s="683">
        <f ca="1">tertiair!N20</f>
        <v>0</v>
      </c>
      <c r="P40" s="683">
        <f>tertiair!O20</f>
        <v>0</v>
      </c>
      <c r="Q40" s="766">
        <f>tertiair!P20</f>
        <v>0</v>
      </c>
      <c r="R40" s="845">
        <f t="shared" ca="1" si="4"/>
        <v>3462.1936537098086</v>
      </c>
    </row>
    <row r="41" spans="1:18">
      <c r="A41" s="817" t="s">
        <v>220</v>
      </c>
      <c r="B41" s="824"/>
      <c r="C41" s="683">
        <f ca="1">huishoudens!B12</f>
        <v>3362.9602482402388</v>
      </c>
      <c r="D41" s="683">
        <f ca="1">huishoudens!C12</f>
        <v>0</v>
      </c>
      <c r="E41" s="683">
        <f>huishoudens!D12</f>
        <v>11610.100867304436</v>
      </c>
      <c r="F41" s="683">
        <f>huishoudens!E12</f>
        <v>111.95293930199085</v>
      </c>
      <c r="G41" s="683">
        <f>huishoudens!F12</f>
        <v>2884.6690006285044</v>
      </c>
      <c r="H41" s="683">
        <f>huishoudens!G12</f>
        <v>0</v>
      </c>
      <c r="I41" s="683">
        <f>huishoudens!H12</f>
        <v>0</v>
      </c>
      <c r="J41" s="683">
        <f>huishoudens!I12</f>
        <v>0</v>
      </c>
      <c r="K41" s="683">
        <f>huishoudens!J12</f>
        <v>21.79691245749737</v>
      </c>
      <c r="L41" s="683">
        <f>huishoudens!K12</f>
        <v>0</v>
      </c>
      <c r="M41" s="683">
        <f>huishoudens!L12</f>
        <v>0</v>
      </c>
      <c r="N41" s="683">
        <f>huishoudens!M12</f>
        <v>0</v>
      </c>
      <c r="O41" s="683">
        <f>huishoudens!N12</f>
        <v>0</v>
      </c>
      <c r="P41" s="683">
        <f>huishoudens!O12</f>
        <v>0</v>
      </c>
      <c r="Q41" s="766">
        <f>huishoudens!P12</f>
        <v>0</v>
      </c>
      <c r="R41" s="845">
        <f t="shared" ca="1" si="4"/>
        <v>17991.479967932668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117.83384987062813</v>
      </c>
      <c r="D43" s="683">
        <f ca="1">industrie!C22</f>
        <v>0</v>
      </c>
      <c r="E43" s="683">
        <f>industrie!D22</f>
        <v>295.43474943586801</v>
      </c>
      <c r="F43" s="683">
        <f>industrie!E22</f>
        <v>3.8457398429474274</v>
      </c>
      <c r="G43" s="683">
        <f>industrie!F22</f>
        <v>57.12822710315443</v>
      </c>
      <c r="H43" s="683">
        <f>industrie!G22</f>
        <v>0</v>
      </c>
      <c r="I43" s="683">
        <f>industrie!H22</f>
        <v>0</v>
      </c>
      <c r="J43" s="683">
        <f>industrie!I22</f>
        <v>0</v>
      </c>
      <c r="K43" s="683">
        <f>industrie!J22</f>
        <v>3.6522343225069274E-2</v>
      </c>
      <c r="L43" s="683">
        <f>industrie!K22</f>
        <v>0</v>
      </c>
      <c r="M43" s="683">
        <f>industrie!L22</f>
        <v>0</v>
      </c>
      <c r="N43" s="683">
        <f>industrie!M22</f>
        <v>0</v>
      </c>
      <c r="O43" s="683">
        <f>industrie!N22</f>
        <v>0</v>
      </c>
      <c r="P43" s="683">
        <f>industrie!O22</f>
        <v>0</v>
      </c>
      <c r="Q43" s="766">
        <f>industrie!P22</f>
        <v>0</v>
      </c>
      <c r="R43" s="844">
        <f t="shared" ca="1" si="4"/>
        <v>474.279088595823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4714.8091234024841</v>
      </c>
      <c r="D46" s="719">
        <f t="shared" ref="D46:Q46" ca="1" si="5">SUM(D39:D45)</f>
        <v>0</v>
      </c>
      <c r="E46" s="719">
        <f t="shared" ca="1" si="5"/>
        <v>13754.534132044819</v>
      </c>
      <c r="F46" s="719">
        <f t="shared" si="5"/>
        <v>122.44216625042797</v>
      </c>
      <c r="G46" s="719">
        <f t="shared" ca="1" si="5"/>
        <v>3314.3302157497906</v>
      </c>
      <c r="H46" s="719">
        <f t="shared" si="5"/>
        <v>0</v>
      </c>
      <c r="I46" s="719">
        <f t="shared" si="5"/>
        <v>0</v>
      </c>
      <c r="J46" s="719">
        <f t="shared" si="5"/>
        <v>0</v>
      </c>
      <c r="K46" s="719">
        <f t="shared" si="5"/>
        <v>21.837072790777796</v>
      </c>
      <c r="L46" s="719">
        <f t="shared" si="5"/>
        <v>0</v>
      </c>
      <c r="M46" s="719">
        <f t="shared" ca="1" si="5"/>
        <v>0</v>
      </c>
      <c r="N46" s="719">
        <f t="shared" si="5"/>
        <v>0</v>
      </c>
      <c r="O46" s="719">
        <f t="shared" ca="1" si="5"/>
        <v>0</v>
      </c>
      <c r="P46" s="719">
        <f t="shared" si="5"/>
        <v>0</v>
      </c>
      <c r="Q46" s="719">
        <f t="shared" si="5"/>
        <v>0</v>
      </c>
      <c r="R46" s="719">
        <f ca="1">SUM(R39:R45)</f>
        <v>21927.9527102383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3.2590656135432408</v>
      </c>
      <c r="D49" s="683">
        <f ca="1">transport!C58</f>
        <v>0</v>
      </c>
      <c r="E49" s="683">
        <f>transport!D58</f>
        <v>0</v>
      </c>
      <c r="F49" s="683">
        <f>transport!E58</f>
        <v>0</v>
      </c>
      <c r="G49" s="683">
        <f>transport!F58</f>
        <v>0</v>
      </c>
      <c r="H49" s="683">
        <f>transport!G58</f>
        <v>294.36127080524324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297.62033641878645</v>
      </c>
    </row>
    <row r="50" spans="1:18">
      <c r="A50" s="820" t="s">
        <v>302</v>
      </c>
      <c r="B50" s="830"/>
      <c r="C50" s="689">
        <f ca="1">transport!B18</f>
        <v>30.3561159345909</v>
      </c>
      <c r="D50" s="689">
        <f>transport!C18</f>
        <v>0</v>
      </c>
      <c r="E50" s="689">
        <f>transport!D18</f>
        <v>54.397598010628521</v>
      </c>
      <c r="F50" s="689">
        <f>transport!E18</f>
        <v>26.606478845940657</v>
      </c>
      <c r="G50" s="689">
        <f>transport!F18</f>
        <v>0</v>
      </c>
      <c r="H50" s="689">
        <f>transport!G18</f>
        <v>17245.91620688999</v>
      </c>
      <c r="I50" s="689">
        <f>transport!H18</f>
        <v>3361.9345991704117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20719.210998851559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33.615181548134139</v>
      </c>
      <c r="D52" s="719">
        <f t="shared" ref="D52:Q52" ca="1" si="6">SUM(D48:D51)</f>
        <v>0</v>
      </c>
      <c r="E52" s="719">
        <f t="shared" si="6"/>
        <v>54.397598010628521</v>
      </c>
      <c r="F52" s="719">
        <f t="shared" si="6"/>
        <v>26.606478845940657</v>
      </c>
      <c r="G52" s="719">
        <f t="shared" si="6"/>
        <v>0</v>
      </c>
      <c r="H52" s="719">
        <f t="shared" si="6"/>
        <v>17540.277477695232</v>
      </c>
      <c r="I52" s="719">
        <f t="shared" si="6"/>
        <v>3361.9345991704117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21016.831335270344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54.497132819391354</v>
      </c>
      <c r="D54" s="689">
        <f ca="1">+landbouw!C12</f>
        <v>0</v>
      </c>
      <c r="E54" s="689">
        <f>+landbouw!D12</f>
        <v>17.776103485811998</v>
      </c>
      <c r="F54" s="689">
        <f>+landbouw!E12</f>
        <v>1.9146049758659551</v>
      </c>
      <c r="G54" s="689">
        <f>+landbouw!F12</f>
        <v>248.88914627546669</v>
      </c>
      <c r="H54" s="689">
        <f>+landbouw!G12</f>
        <v>0</v>
      </c>
      <c r="I54" s="689">
        <f>+landbouw!H12</f>
        <v>0</v>
      </c>
      <c r="J54" s="689">
        <f>+landbouw!I12</f>
        <v>0</v>
      </c>
      <c r="K54" s="689">
        <f>+landbouw!J12</f>
        <v>26.506393496088741</v>
      </c>
      <c r="L54" s="689">
        <f>+landbouw!K12</f>
        <v>0</v>
      </c>
      <c r="M54" s="689">
        <f>+landbouw!L12</f>
        <v>0</v>
      </c>
      <c r="N54" s="689">
        <f>+landbouw!M12</f>
        <v>0</v>
      </c>
      <c r="O54" s="689">
        <f>+landbouw!N12</f>
        <v>0</v>
      </c>
      <c r="P54" s="689">
        <f>+landbouw!O12</f>
        <v>0</v>
      </c>
      <c r="Q54" s="690">
        <f>+landbouw!P12</f>
        <v>0</v>
      </c>
      <c r="R54" s="718">
        <f ca="1">SUM(C54:Q54)</f>
        <v>349.5833810526247</v>
      </c>
    </row>
    <row r="55" spans="1:18" ht="15" thickBot="1">
      <c r="A55" s="820" t="s">
        <v>696</v>
      </c>
      <c r="B55" s="830"/>
      <c r="C55" s="689">
        <f ca="1">C25*'EF ele_warmte'!B12</f>
        <v>22.228864517984579</v>
      </c>
      <c r="D55" s="689"/>
      <c r="E55" s="689">
        <f>E25*EF_CO2_aardgas</f>
        <v>66.523286803999994</v>
      </c>
      <c r="F55" s="689"/>
      <c r="G55" s="689"/>
      <c r="H55" s="689"/>
      <c r="I55" s="689"/>
      <c r="J55" s="689"/>
      <c r="K55" s="689"/>
      <c r="L55" s="689"/>
      <c r="M55" s="689"/>
      <c r="N55" s="689"/>
      <c r="O55" s="689"/>
      <c r="P55" s="689"/>
      <c r="Q55" s="690"/>
      <c r="R55" s="718">
        <f ca="1">SUM(C55:Q55)</f>
        <v>88.75215132198457</v>
      </c>
    </row>
    <row r="56" spans="1:18" ht="15.75" thickBot="1">
      <c r="A56" s="818" t="s">
        <v>697</v>
      </c>
      <c r="B56" s="831"/>
      <c r="C56" s="719">
        <f ca="1">SUM(C54:C55)</f>
        <v>76.725997337375929</v>
      </c>
      <c r="D56" s="719">
        <f t="shared" ref="D56:Q56" ca="1" si="7">SUM(D54:D55)</f>
        <v>0</v>
      </c>
      <c r="E56" s="719">
        <f t="shared" si="7"/>
        <v>84.299390289811996</v>
      </c>
      <c r="F56" s="719">
        <f t="shared" si="7"/>
        <v>1.9146049758659551</v>
      </c>
      <c r="G56" s="719">
        <f t="shared" si="7"/>
        <v>248.88914627546669</v>
      </c>
      <c r="H56" s="719">
        <f t="shared" si="7"/>
        <v>0</v>
      </c>
      <c r="I56" s="719">
        <f t="shared" si="7"/>
        <v>0</v>
      </c>
      <c r="J56" s="719">
        <f t="shared" si="7"/>
        <v>0</v>
      </c>
      <c r="K56" s="719">
        <f t="shared" si="7"/>
        <v>26.506393496088741</v>
      </c>
      <c r="L56" s="719">
        <f t="shared" si="7"/>
        <v>0</v>
      </c>
      <c r="M56" s="719">
        <f t="shared" si="7"/>
        <v>0</v>
      </c>
      <c r="N56" s="719">
        <f t="shared" si="7"/>
        <v>0</v>
      </c>
      <c r="O56" s="719">
        <f t="shared" si="7"/>
        <v>0</v>
      </c>
      <c r="P56" s="719">
        <f t="shared" si="7"/>
        <v>0</v>
      </c>
      <c r="Q56" s="720">
        <f t="shared" si="7"/>
        <v>0</v>
      </c>
      <c r="R56" s="721">
        <f ca="1">SUM(R54:R55)</f>
        <v>438.33553237460927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4825.1503022879942</v>
      </c>
      <c r="D61" s="727">
        <f t="shared" ref="D61:Q61" ca="1" si="8">D46+D52+D56</f>
        <v>0</v>
      </c>
      <c r="E61" s="727">
        <f t="shared" ca="1" si="8"/>
        <v>13893.231120345259</v>
      </c>
      <c r="F61" s="727">
        <f t="shared" si="8"/>
        <v>150.96325007223459</v>
      </c>
      <c r="G61" s="727">
        <f t="shared" ca="1" si="8"/>
        <v>3563.2193620252574</v>
      </c>
      <c r="H61" s="727">
        <f t="shared" si="8"/>
        <v>17540.277477695232</v>
      </c>
      <c r="I61" s="727">
        <f t="shared" si="8"/>
        <v>3361.9345991704117</v>
      </c>
      <c r="J61" s="727">
        <f t="shared" si="8"/>
        <v>0</v>
      </c>
      <c r="K61" s="727">
        <f t="shared" si="8"/>
        <v>48.343466286866537</v>
      </c>
      <c r="L61" s="727">
        <f t="shared" si="8"/>
        <v>0</v>
      </c>
      <c r="M61" s="727">
        <f t="shared" ca="1" si="8"/>
        <v>0</v>
      </c>
      <c r="N61" s="727">
        <f t="shared" si="8"/>
        <v>0</v>
      </c>
      <c r="O61" s="727">
        <f t="shared" ca="1" si="8"/>
        <v>0</v>
      </c>
      <c r="P61" s="727">
        <f t="shared" si="8"/>
        <v>0</v>
      </c>
      <c r="Q61" s="727">
        <f t="shared" si="8"/>
        <v>0</v>
      </c>
      <c r="R61" s="727">
        <f ca="1">R46+R52+R56</f>
        <v>43383.119577883248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0.18506274632728531</v>
      </c>
      <c r="D63" s="773">
        <f t="shared" ca="1" si="9"/>
        <v>0</v>
      </c>
      <c r="E63" s="965">
        <f t="shared" ca="1" si="9"/>
        <v>0.2020000000000001</v>
      </c>
      <c r="F63" s="773">
        <f t="shared" si="9"/>
        <v>0.22700000000000006</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4239.7910603187929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4239.7910603187929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18172.000118774904</v>
      </c>
      <c r="C4" s="449">
        <f>huishoudens!C8</f>
        <v>0</v>
      </c>
      <c r="D4" s="449">
        <f>huishoudens!D8</f>
        <v>57475.746867843736</v>
      </c>
      <c r="E4" s="449">
        <f>huishoudens!E8</f>
        <v>493.18475463432094</v>
      </c>
      <c r="F4" s="449">
        <f>huishoudens!F8</f>
        <v>10804.003747672301</v>
      </c>
      <c r="G4" s="449">
        <f>huishoudens!G8</f>
        <v>0</v>
      </c>
      <c r="H4" s="449">
        <f>huishoudens!H8</f>
        <v>0</v>
      </c>
      <c r="I4" s="449">
        <f>huishoudens!I8</f>
        <v>0</v>
      </c>
      <c r="J4" s="449">
        <f>huishoudens!J8</f>
        <v>61.573199032478449</v>
      </c>
      <c r="K4" s="449">
        <f>huishoudens!K8</f>
        <v>0</v>
      </c>
      <c r="L4" s="449">
        <f>huishoudens!L8</f>
        <v>0</v>
      </c>
      <c r="M4" s="449">
        <f>huishoudens!M8</f>
        <v>0</v>
      </c>
      <c r="N4" s="449">
        <f>huishoudens!N8</f>
        <v>5529.2554432612469</v>
      </c>
      <c r="O4" s="449">
        <f>huishoudens!O8</f>
        <v>253.94665208154007</v>
      </c>
      <c r="P4" s="450">
        <f>huishoudens!P8</f>
        <v>821.64882599943178</v>
      </c>
      <c r="Q4" s="451">
        <f>SUM(B4:P4)</f>
        <v>93611.359609299965</v>
      </c>
    </row>
    <row r="5" spans="1:17">
      <c r="A5" s="448" t="s">
        <v>155</v>
      </c>
      <c r="B5" s="449">
        <f ca="1">tertiair!B16</f>
        <v>6116.3620574424995</v>
      </c>
      <c r="C5" s="449">
        <f ca="1">tertiair!C16</f>
        <v>0</v>
      </c>
      <c r="D5" s="449">
        <f ca="1">tertiair!D16</f>
        <v>9153.4579965569992</v>
      </c>
      <c r="E5" s="449">
        <f>tertiair!E16</f>
        <v>29.266463019778378</v>
      </c>
      <c r="F5" s="449">
        <f ca="1">tertiair!F16</f>
        <v>1395.2546367720279</v>
      </c>
      <c r="G5" s="449">
        <f>tertiair!G16</f>
        <v>0</v>
      </c>
      <c r="H5" s="449">
        <f>tertiair!H16</f>
        <v>0</v>
      </c>
      <c r="I5" s="449">
        <f>tertiair!I16</f>
        <v>0</v>
      </c>
      <c r="J5" s="449">
        <f>tertiair!J16</f>
        <v>1.0276808065973279E-2</v>
      </c>
      <c r="K5" s="449">
        <f>tertiair!K16</f>
        <v>0</v>
      </c>
      <c r="L5" s="449">
        <f ca="1">tertiair!L16</f>
        <v>0</v>
      </c>
      <c r="M5" s="449">
        <f>tertiair!M16</f>
        <v>0</v>
      </c>
      <c r="N5" s="449">
        <f ca="1">tertiair!N16</f>
        <v>396.23922591897065</v>
      </c>
      <c r="O5" s="449">
        <f>tertiair!O16</f>
        <v>4.8972607658411542</v>
      </c>
      <c r="P5" s="450">
        <f>tertiair!P16</f>
        <v>157.61741491948504</v>
      </c>
      <c r="Q5" s="448">
        <f t="shared" ref="Q5:Q14" ca="1" si="0">SUM(B5:P5)</f>
        <v>17253.105332203664</v>
      </c>
    </row>
    <row r="6" spans="1:17">
      <c r="A6" s="448" t="s">
        <v>193</v>
      </c>
      <c r="B6" s="449">
        <f>'openbare verlichting'!B8</f>
        <v>551.72781900000007</v>
      </c>
      <c r="C6" s="449"/>
      <c r="D6" s="449"/>
      <c r="E6" s="449"/>
      <c r="F6" s="449"/>
      <c r="G6" s="449"/>
      <c r="H6" s="449"/>
      <c r="I6" s="449"/>
      <c r="J6" s="449"/>
      <c r="K6" s="449"/>
      <c r="L6" s="449"/>
      <c r="M6" s="449"/>
      <c r="N6" s="449"/>
      <c r="O6" s="449"/>
      <c r="P6" s="450"/>
      <c r="Q6" s="448">
        <f t="shared" si="0"/>
        <v>551.72781900000007</v>
      </c>
    </row>
    <row r="7" spans="1:17">
      <c r="A7" s="448" t="s">
        <v>111</v>
      </c>
      <c r="B7" s="449">
        <f>landbouw!B8</f>
        <v>294.479218</v>
      </c>
      <c r="C7" s="449">
        <f>landbouw!C8</f>
        <v>0</v>
      </c>
      <c r="D7" s="449">
        <f>landbouw!D8</f>
        <v>88.00051230599999</v>
      </c>
      <c r="E7" s="449">
        <f>landbouw!E8</f>
        <v>8.4343831535945153</v>
      </c>
      <c r="F7" s="449">
        <f>landbouw!F8</f>
        <v>932.16908717403248</v>
      </c>
      <c r="G7" s="449">
        <f>landbouw!G8</f>
        <v>0</v>
      </c>
      <c r="H7" s="449">
        <f>landbouw!H8</f>
        <v>0</v>
      </c>
      <c r="I7" s="449">
        <f>landbouw!I8</f>
        <v>0</v>
      </c>
      <c r="J7" s="449">
        <f>landbouw!J8</f>
        <v>74.876817785561414</v>
      </c>
      <c r="K7" s="449">
        <f>landbouw!K8</f>
        <v>0</v>
      </c>
      <c r="L7" s="449">
        <f>landbouw!L8</f>
        <v>0</v>
      </c>
      <c r="M7" s="449">
        <f>landbouw!M8</f>
        <v>0</v>
      </c>
      <c r="N7" s="449">
        <f>landbouw!N8</f>
        <v>0</v>
      </c>
      <c r="O7" s="449">
        <f>landbouw!O8</f>
        <v>0</v>
      </c>
      <c r="P7" s="450">
        <f>landbouw!P8</f>
        <v>0</v>
      </c>
      <c r="Q7" s="448">
        <f t="shared" si="0"/>
        <v>1397.9600184191884</v>
      </c>
    </row>
    <row r="8" spans="1:17">
      <c r="A8" s="448" t="s">
        <v>617</v>
      </c>
      <c r="B8" s="449">
        <f>industrie!B18</f>
        <v>636.72377185107689</v>
      </c>
      <c r="C8" s="449">
        <f>industrie!C18</f>
        <v>0</v>
      </c>
      <c r="D8" s="449">
        <f>industrie!D18</f>
        <v>1462.5482645340001</v>
      </c>
      <c r="E8" s="449">
        <f>industrie!E18</f>
        <v>16.941585211222147</v>
      </c>
      <c r="F8" s="449">
        <f>industrie!F18</f>
        <v>213.96339739009147</v>
      </c>
      <c r="G8" s="449">
        <f>industrie!G18</f>
        <v>0</v>
      </c>
      <c r="H8" s="449">
        <f>industrie!H18</f>
        <v>0</v>
      </c>
      <c r="I8" s="449">
        <f>industrie!I18</f>
        <v>0</v>
      </c>
      <c r="J8" s="449">
        <f>industrie!J18</f>
        <v>0.10317046108776633</v>
      </c>
      <c r="K8" s="449">
        <f>industrie!K18</f>
        <v>0</v>
      </c>
      <c r="L8" s="449">
        <f>industrie!L18</f>
        <v>0</v>
      </c>
      <c r="M8" s="449">
        <f>industrie!M18</f>
        <v>0</v>
      </c>
      <c r="N8" s="449">
        <f>industrie!N18</f>
        <v>20.576696324625637</v>
      </c>
      <c r="O8" s="449">
        <f>industrie!O18</f>
        <v>0</v>
      </c>
      <c r="P8" s="450">
        <f>industrie!P18</f>
        <v>0</v>
      </c>
      <c r="Q8" s="448">
        <f t="shared" si="0"/>
        <v>2350.8568857721034</v>
      </c>
    </row>
    <row r="9" spans="1:17" s="454" customFormat="1">
      <c r="A9" s="452" t="s">
        <v>543</v>
      </c>
      <c r="B9" s="453">
        <f>transport!B14</f>
        <v>164.03147871212181</v>
      </c>
      <c r="C9" s="453">
        <f>transport!C14</f>
        <v>0</v>
      </c>
      <c r="D9" s="453">
        <f>transport!D14</f>
        <v>269.29503965657682</v>
      </c>
      <c r="E9" s="453">
        <f>transport!E14</f>
        <v>117.20915791163284</v>
      </c>
      <c r="F9" s="453">
        <f>transport!F14</f>
        <v>0</v>
      </c>
      <c r="G9" s="453">
        <f>transport!G14</f>
        <v>64591.446467752765</v>
      </c>
      <c r="H9" s="453">
        <f>transport!H14</f>
        <v>13501.745378194424</v>
      </c>
      <c r="I9" s="453">
        <f>transport!I14</f>
        <v>0</v>
      </c>
      <c r="J9" s="453">
        <f>transport!J14</f>
        <v>0</v>
      </c>
      <c r="K9" s="453">
        <f>transport!K14</f>
        <v>0</v>
      </c>
      <c r="L9" s="453">
        <f>transport!L14</f>
        <v>0</v>
      </c>
      <c r="M9" s="453">
        <f>transport!M14</f>
        <v>4665.8787566833353</v>
      </c>
      <c r="N9" s="453">
        <f>transport!N14</f>
        <v>0</v>
      </c>
      <c r="O9" s="453">
        <f>transport!O14</f>
        <v>0</v>
      </c>
      <c r="P9" s="453">
        <f>transport!P14</f>
        <v>0</v>
      </c>
      <c r="Q9" s="452">
        <f>SUM(B9:P9)</f>
        <v>83309.606278910855</v>
      </c>
    </row>
    <row r="10" spans="1:17">
      <c r="A10" s="448" t="s">
        <v>533</v>
      </c>
      <c r="B10" s="449">
        <f>transport!B54</f>
        <v>17.61059790920616</v>
      </c>
      <c r="C10" s="449">
        <f>transport!C54</f>
        <v>0</v>
      </c>
      <c r="D10" s="449">
        <f>transport!D54</f>
        <v>0</v>
      </c>
      <c r="E10" s="449">
        <f>transport!E54</f>
        <v>0</v>
      </c>
      <c r="F10" s="449">
        <f>transport!F54</f>
        <v>0</v>
      </c>
      <c r="G10" s="449">
        <f>transport!G54</f>
        <v>1102.4766696825588</v>
      </c>
      <c r="H10" s="449">
        <f>transport!H54</f>
        <v>0</v>
      </c>
      <c r="I10" s="449">
        <f>transport!I54</f>
        <v>0</v>
      </c>
      <c r="J10" s="449">
        <f>transport!J54</f>
        <v>0</v>
      </c>
      <c r="K10" s="449">
        <f>transport!K54</f>
        <v>0</v>
      </c>
      <c r="L10" s="449">
        <f>transport!L54</f>
        <v>0</v>
      </c>
      <c r="M10" s="449">
        <f>transport!M54</f>
        <v>63.301769233121441</v>
      </c>
      <c r="N10" s="449">
        <f>transport!N54</f>
        <v>0</v>
      </c>
      <c r="O10" s="449">
        <f>transport!O54</f>
        <v>0</v>
      </c>
      <c r="P10" s="450">
        <f>transport!P54</f>
        <v>0</v>
      </c>
      <c r="Q10" s="448">
        <f t="shared" si="0"/>
        <v>1183.3890368248865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120.115285</v>
      </c>
      <c r="C14" s="456"/>
      <c r="D14" s="456">
        <f>'SEAP template'!E25</f>
        <v>329.32320199999998</v>
      </c>
      <c r="E14" s="456"/>
      <c r="F14" s="456"/>
      <c r="G14" s="456"/>
      <c r="H14" s="456"/>
      <c r="I14" s="456"/>
      <c r="J14" s="456"/>
      <c r="K14" s="456"/>
      <c r="L14" s="456"/>
      <c r="M14" s="456"/>
      <c r="N14" s="456"/>
      <c r="O14" s="456"/>
      <c r="P14" s="457"/>
      <c r="Q14" s="448">
        <f t="shared" si="0"/>
        <v>449.43848700000001</v>
      </c>
    </row>
    <row r="15" spans="1:17" s="460" customFormat="1">
      <c r="A15" s="458" t="s">
        <v>537</v>
      </c>
      <c r="B15" s="459">
        <f ca="1">SUM(B4:B14)</f>
        <v>26073.050346689808</v>
      </c>
      <c r="C15" s="459">
        <f t="shared" ref="C15:Q15" ca="1" si="1">SUM(C4:C14)</f>
        <v>0</v>
      </c>
      <c r="D15" s="459">
        <f t="shared" ca="1" si="1"/>
        <v>68778.371882897292</v>
      </c>
      <c r="E15" s="459">
        <f t="shared" si="1"/>
        <v>665.0363439305487</v>
      </c>
      <c r="F15" s="459">
        <f t="shared" ca="1" si="1"/>
        <v>13345.390869008452</v>
      </c>
      <c r="G15" s="459">
        <f t="shared" si="1"/>
        <v>65693.923137435326</v>
      </c>
      <c r="H15" s="459">
        <f t="shared" si="1"/>
        <v>13501.745378194424</v>
      </c>
      <c r="I15" s="459">
        <f t="shared" si="1"/>
        <v>0</v>
      </c>
      <c r="J15" s="459">
        <f t="shared" si="1"/>
        <v>136.56346408719361</v>
      </c>
      <c r="K15" s="459">
        <f t="shared" si="1"/>
        <v>0</v>
      </c>
      <c r="L15" s="459">
        <f t="shared" ca="1" si="1"/>
        <v>0</v>
      </c>
      <c r="M15" s="459">
        <f t="shared" si="1"/>
        <v>4729.1805259164566</v>
      </c>
      <c r="N15" s="459">
        <f t="shared" ca="1" si="1"/>
        <v>5946.0713655048439</v>
      </c>
      <c r="O15" s="459">
        <f t="shared" si="1"/>
        <v>258.8439128473812</v>
      </c>
      <c r="P15" s="459">
        <f t="shared" si="1"/>
        <v>979.26624091891676</v>
      </c>
      <c r="Q15" s="459">
        <f t="shared" ca="1" si="1"/>
        <v>200107.44346743068</v>
      </c>
    </row>
    <row r="17" spans="1:17">
      <c r="A17" s="461" t="s">
        <v>538</v>
      </c>
      <c r="B17" s="778">
        <f ca="1">huishoudens!B10</f>
        <v>0.18506274632728531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3362.9602482402388</v>
      </c>
      <c r="C22" s="449">
        <f t="shared" ref="C22:C32" ca="1" si="3">C4*$C$17</f>
        <v>0</v>
      </c>
      <c r="D22" s="449">
        <f t="shared" ref="D22:D32" si="4">D4*$D$17</f>
        <v>11610.100867304436</v>
      </c>
      <c r="E22" s="449">
        <f t="shared" ref="E22:E32" si="5">E4*$E$17</f>
        <v>111.95293930199085</v>
      </c>
      <c r="F22" s="449">
        <f t="shared" ref="F22:F32" si="6">F4*$F$17</f>
        <v>2884.6690006285044</v>
      </c>
      <c r="G22" s="449">
        <f t="shared" ref="G22:G32" si="7">G4*$G$17</f>
        <v>0</v>
      </c>
      <c r="H22" s="449">
        <f t="shared" ref="H22:H32" si="8">H4*$H$17</f>
        <v>0</v>
      </c>
      <c r="I22" s="449">
        <f t="shared" ref="I22:I32" si="9">I4*$I$17</f>
        <v>0</v>
      </c>
      <c r="J22" s="449">
        <f t="shared" ref="J22:J32" si="10">J4*$J$17</f>
        <v>21.79691245749737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17991.479967932668</v>
      </c>
    </row>
    <row r="23" spans="1:17">
      <c r="A23" s="448" t="s">
        <v>155</v>
      </c>
      <c r="B23" s="449">
        <f t="shared" ca="1" si="2"/>
        <v>1131.9107598823141</v>
      </c>
      <c r="C23" s="449">
        <f t="shared" ca="1" si="3"/>
        <v>0</v>
      </c>
      <c r="D23" s="449">
        <f t="shared" ca="1" si="4"/>
        <v>1848.9985153045141</v>
      </c>
      <c r="E23" s="449">
        <f t="shared" si="5"/>
        <v>6.643487105489692</v>
      </c>
      <c r="F23" s="449">
        <f t="shared" ca="1" si="6"/>
        <v>372.53298801813145</v>
      </c>
      <c r="G23" s="449">
        <f t="shared" si="7"/>
        <v>0</v>
      </c>
      <c r="H23" s="449">
        <f t="shared" si="8"/>
        <v>0</v>
      </c>
      <c r="I23" s="449">
        <f t="shared" si="9"/>
        <v>0</v>
      </c>
      <c r="J23" s="449">
        <f t="shared" si="10"/>
        <v>3.6379900553545406E-3</v>
      </c>
      <c r="K23" s="449">
        <f t="shared" si="11"/>
        <v>0</v>
      </c>
      <c r="L23" s="449">
        <f t="shared" ca="1" si="12"/>
        <v>0</v>
      </c>
      <c r="M23" s="449">
        <f t="shared" si="13"/>
        <v>0</v>
      </c>
      <c r="N23" s="449">
        <f t="shared" ca="1" si="14"/>
        <v>0</v>
      </c>
      <c r="O23" s="449">
        <f t="shared" si="15"/>
        <v>0</v>
      </c>
      <c r="P23" s="450">
        <f t="shared" si="16"/>
        <v>0</v>
      </c>
      <c r="Q23" s="448">
        <f t="shared" ref="Q23:Q31" ca="1" si="17">SUM(B23:P23)</f>
        <v>3360.0893883005051</v>
      </c>
    </row>
    <row r="24" spans="1:17">
      <c r="A24" s="448" t="s">
        <v>193</v>
      </c>
      <c r="B24" s="449">
        <f t="shared" ca="1" si="2"/>
        <v>102.10426540930339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102.10426540930339</v>
      </c>
    </row>
    <row r="25" spans="1:17">
      <c r="A25" s="448" t="s">
        <v>111</v>
      </c>
      <c r="B25" s="449">
        <f t="shared" ca="1" si="2"/>
        <v>54.497132819391354</v>
      </c>
      <c r="C25" s="449">
        <f t="shared" ca="1" si="3"/>
        <v>0</v>
      </c>
      <c r="D25" s="449">
        <f t="shared" si="4"/>
        <v>17.776103485811998</v>
      </c>
      <c r="E25" s="449">
        <f t="shared" si="5"/>
        <v>1.9146049758659551</v>
      </c>
      <c r="F25" s="449">
        <f t="shared" si="6"/>
        <v>248.88914627546669</v>
      </c>
      <c r="G25" s="449">
        <f t="shared" si="7"/>
        <v>0</v>
      </c>
      <c r="H25" s="449">
        <f t="shared" si="8"/>
        <v>0</v>
      </c>
      <c r="I25" s="449">
        <f t="shared" si="9"/>
        <v>0</v>
      </c>
      <c r="J25" s="449">
        <f t="shared" si="10"/>
        <v>26.506393496088741</v>
      </c>
      <c r="K25" s="449">
        <f t="shared" si="11"/>
        <v>0</v>
      </c>
      <c r="L25" s="449">
        <f t="shared" si="12"/>
        <v>0</v>
      </c>
      <c r="M25" s="449">
        <f t="shared" si="13"/>
        <v>0</v>
      </c>
      <c r="N25" s="449">
        <f t="shared" si="14"/>
        <v>0</v>
      </c>
      <c r="O25" s="449">
        <f t="shared" si="15"/>
        <v>0</v>
      </c>
      <c r="P25" s="450">
        <f t="shared" si="16"/>
        <v>0</v>
      </c>
      <c r="Q25" s="448">
        <f t="shared" ca="1" si="17"/>
        <v>349.5833810526247</v>
      </c>
    </row>
    <row r="26" spans="1:17">
      <c r="A26" s="448" t="s">
        <v>617</v>
      </c>
      <c r="B26" s="449">
        <f t="shared" ca="1" si="2"/>
        <v>117.83384987062813</v>
      </c>
      <c r="C26" s="449">
        <f t="shared" ca="1" si="3"/>
        <v>0</v>
      </c>
      <c r="D26" s="449">
        <f t="shared" si="4"/>
        <v>295.43474943586801</v>
      </c>
      <c r="E26" s="449">
        <f t="shared" si="5"/>
        <v>3.8457398429474274</v>
      </c>
      <c r="F26" s="449">
        <f t="shared" si="6"/>
        <v>57.12822710315443</v>
      </c>
      <c r="G26" s="449">
        <f t="shared" si="7"/>
        <v>0</v>
      </c>
      <c r="H26" s="449">
        <f t="shared" si="8"/>
        <v>0</v>
      </c>
      <c r="I26" s="449">
        <f t="shared" si="9"/>
        <v>0</v>
      </c>
      <c r="J26" s="449">
        <f t="shared" si="10"/>
        <v>3.6522343225069274E-2</v>
      </c>
      <c r="K26" s="449">
        <f t="shared" si="11"/>
        <v>0</v>
      </c>
      <c r="L26" s="449">
        <f t="shared" si="12"/>
        <v>0</v>
      </c>
      <c r="M26" s="449">
        <f t="shared" si="13"/>
        <v>0</v>
      </c>
      <c r="N26" s="449">
        <f t="shared" si="14"/>
        <v>0</v>
      </c>
      <c r="O26" s="449">
        <f t="shared" si="15"/>
        <v>0</v>
      </c>
      <c r="P26" s="450">
        <f t="shared" si="16"/>
        <v>0</v>
      </c>
      <c r="Q26" s="448">
        <f t="shared" ca="1" si="17"/>
        <v>474.279088595823</v>
      </c>
    </row>
    <row r="27" spans="1:17" s="454" customFormat="1">
      <c r="A27" s="452" t="s">
        <v>543</v>
      </c>
      <c r="B27" s="772">
        <f t="shared" ca="1" si="2"/>
        <v>30.3561159345909</v>
      </c>
      <c r="C27" s="453">
        <f t="shared" ca="1" si="3"/>
        <v>0</v>
      </c>
      <c r="D27" s="453">
        <f t="shared" si="4"/>
        <v>54.397598010628521</v>
      </c>
      <c r="E27" s="453">
        <f t="shared" si="5"/>
        <v>26.606478845940657</v>
      </c>
      <c r="F27" s="453">
        <f t="shared" si="6"/>
        <v>0</v>
      </c>
      <c r="G27" s="453">
        <f t="shared" si="7"/>
        <v>17245.91620688999</v>
      </c>
      <c r="H27" s="453">
        <f t="shared" si="8"/>
        <v>3361.9345991704117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20719.210998851559</v>
      </c>
    </row>
    <row r="28" spans="1:17" ht="16.5" customHeight="1">
      <c r="A28" s="448" t="s">
        <v>533</v>
      </c>
      <c r="B28" s="449">
        <f t="shared" ca="1" si="2"/>
        <v>3.2590656135432408</v>
      </c>
      <c r="C28" s="449">
        <f t="shared" ca="1" si="3"/>
        <v>0</v>
      </c>
      <c r="D28" s="449">
        <f t="shared" si="4"/>
        <v>0</v>
      </c>
      <c r="E28" s="449">
        <f t="shared" si="5"/>
        <v>0</v>
      </c>
      <c r="F28" s="449">
        <f t="shared" si="6"/>
        <v>0</v>
      </c>
      <c r="G28" s="449">
        <f t="shared" si="7"/>
        <v>294.36127080524324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297.62033641878645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22.228864517984579</v>
      </c>
      <c r="C32" s="449">
        <f t="shared" ca="1" si="3"/>
        <v>0</v>
      </c>
      <c r="D32" s="449">
        <f t="shared" si="4"/>
        <v>66.523286803999994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88.75215132198457</v>
      </c>
    </row>
    <row r="33" spans="1:17" s="460" customFormat="1">
      <c r="A33" s="458" t="s">
        <v>537</v>
      </c>
      <c r="B33" s="459">
        <f ca="1">SUM(B22:B32)</f>
        <v>4825.1503022879942</v>
      </c>
      <c r="C33" s="459">
        <f t="shared" ref="C33:Q33" ca="1" si="19">SUM(C22:C32)</f>
        <v>0</v>
      </c>
      <c r="D33" s="459">
        <f t="shared" ca="1" si="19"/>
        <v>13893.231120345259</v>
      </c>
      <c r="E33" s="459">
        <f t="shared" si="19"/>
        <v>150.96325007223459</v>
      </c>
      <c r="F33" s="459">
        <f t="shared" ca="1" si="19"/>
        <v>3563.2193620252574</v>
      </c>
      <c r="G33" s="459">
        <f t="shared" si="19"/>
        <v>17540.277477695232</v>
      </c>
      <c r="H33" s="459">
        <f t="shared" si="19"/>
        <v>3361.9345991704117</v>
      </c>
      <c r="I33" s="459">
        <f t="shared" si="19"/>
        <v>0</v>
      </c>
      <c r="J33" s="459">
        <f t="shared" si="19"/>
        <v>48.343466286866537</v>
      </c>
      <c r="K33" s="459">
        <f t="shared" si="19"/>
        <v>0</v>
      </c>
      <c r="L33" s="459">
        <f t="shared" ca="1" si="19"/>
        <v>0</v>
      </c>
      <c r="M33" s="459">
        <f t="shared" si="19"/>
        <v>0</v>
      </c>
      <c r="N33" s="459">
        <f t="shared" ca="1" si="19"/>
        <v>0</v>
      </c>
      <c r="O33" s="459">
        <f t="shared" si="19"/>
        <v>0</v>
      </c>
      <c r="P33" s="459">
        <f t="shared" si="19"/>
        <v>0</v>
      </c>
      <c r="Q33" s="459">
        <f t="shared" ca="1" si="19"/>
        <v>43383.119577883255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4239.7910603187929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4239.7910603187929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0.18506274632728531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0.18506274632728531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0.18506274632728531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0.18506274632728531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4502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169.63</v>
      </c>
      <c r="C14" s="326"/>
      <c r="D14" s="326"/>
      <c r="E14" s="326"/>
      <c r="F14" s="326"/>
    </row>
    <row r="15" spans="1:6">
      <c r="A15" s="1312" t="s">
        <v>183</v>
      </c>
      <c r="B15" s="1313">
        <v>1488</v>
      </c>
      <c r="C15" s="326"/>
      <c r="D15" s="326"/>
      <c r="E15" s="326"/>
      <c r="F15" s="326"/>
    </row>
    <row r="16" spans="1:6">
      <c r="A16" s="1312" t="s">
        <v>6</v>
      </c>
      <c r="B16" s="1313">
        <v>0</v>
      </c>
      <c r="C16" s="326"/>
      <c r="D16" s="326"/>
      <c r="E16" s="326"/>
      <c r="F16" s="326"/>
    </row>
    <row r="17" spans="1:6">
      <c r="A17" s="1312" t="s">
        <v>7</v>
      </c>
      <c r="B17" s="1313">
        <v>38</v>
      </c>
      <c r="C17" s="326"/>
      <c r="D17" s="326"/>
      <c r="E17" s="326"/>
      <c r="F17" s="326"/>
    </row>
    <row r="18" spans="1:6">
      <c r="A18" s="1312" t="s">
        <v>8</v>
      </c>
      <c r="B18" s="1313">
        <v>24</v>
      </c>
      <c r="C18" s="326"/>
      <c r="D18" s="326"/>
      <c r="E18" s="326"/>
      <c r="F18" s="326"/>
    </row>
    <row r="19" spans="1:6">
      <c r="A19" s="1312" t="s">
        <v>9</v>
      </c>
      <c r="B19" s="1313">
        <v>19</v>
      </c>
      <c r="C19" s="326"/>
      <c r="D19" s="326"/>
      <c r="E19" s="326"/>
      <c r="F19" s="326"/>
    </row>
    <row r="20" spans="1:6">
      <c r="A20" s="1312" t="s">
        <v>10</v>
      </c>
      <c r="B20" s="1313">
        <v>38</v>
      </c>
      <c r="C20" s="326"/>
      <c r="D20" s="326"/>
      <c r="E20" s="326"/>
      <c r="F20" s="326"/>
    </row>
    <row r="21" spans="1:6">
      <c r="A21" s="1312" t="s">
        <v>11</v>
      </c>
      <c r="B21" s="1313">
        <v>0</v>
      </c>
      <c r="C21" s="326"/>
      <c r="D21" s="326"/>
      <c r="E21" s="326"/>
      <c r="F21" s="326"/>
    </row>
    <row r="22" spans="1:6">
      <c r="A22" s="1312" t="s">
        <v>12</v>
      </c>
      <c r="B22" s="1313">
        <v>755</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79075</v>
      </c>
      <c r="C28" s="332"/>
      <c r="D28" s="332"/>
      <c r="E28" s="332"/>
      <c r="F28" s="332"/>
    </row>
    <row r="29" spans="1:6">
      <c r="A29" s="1314" t="s">
        <v>684</v>
      </c>
      <c r="B29" s="1315">
        <v>23</v>
      </c>
      <c r="C29" s="332"/>
      <c r="D29" s="332"/>
      <c r="E29" s="332"/>
      <c r="F29" s="332"/>
    </row>
    <row r="30" spans="1:6">
      <c r="A30" s="1307" t="s">
        <v>685</v>
      </c>
      <c r="B30" s="1316">
        <v>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9</v>
      </c>
      <c r="F36" s="1313">
        <v>31683.868999999999</v>
      </c>
    </row>
    <row r="37" spans="1:6">
      <c r="A37" s="1312" t="s">
        <v>24</v>
      </c>
      <c r="B37" s="1312" t="s">
        <v>27</v>
      </c>
      <c r="C37" s="1313">
        <v>0</v>
      </c>
      <c r="D37" s="1313">
        <v>0</v>
      </c>
      <c r="E37" s="1313">
        <v>0</v>
      </c>
      <c r="F37" s="1313">
        <v>0</v>
      </c>
    </row>
    <row r="38" spans="1:6">
      <c r="A38" s="1312" t="s">
        <v>24</v>
      </c>
      <c r="B38" s="1312" t="s">
        <v>28</v>
      </c>
      <c r="C38" s="1313">
        <v>1</v>
      </c>
      <c r="D38" s="1313">
        <v>78444.207999999999</v>
      </c>
      <c r="E38" s="1313">
        <v>0</v>
      </c>
      <c r="F38" s="1313">
        <v>0</v>
      </c>
    </row>
    <row r="39" spans="1:6">
      <c r="A39" s="1312" t="s">
        <v>29</v>
      </c>
      <c r="B39" s="1312" t="s">
        <v>30</v>
      </c>
      <c r="C39" s="1313">
        <v>3839</v>
      </c>
      <c r="D39" s="1313">
        <v>63649775.047445998</v>
      </c>
      <c r="E39" s="1313">
        <v>4568</v>
      </c>
      <c r="F39" s="1313">
        <v>14064473.394216601</v>
      </c>
    </row>
    <row r="40" spans="1:6">
      <c r="A40" s="1312" t="s">
        <v>29</v>
      </c>
      <c r="B40" s="1312" t="s">
        <v>28</v>
      </c>
      <c r="C40" s="1313">
        <v>0</v>
      </c>
      <c r="D40" s="1313">
        <v>0</v>
      </c>
      <c r="E40" s="1313">
        <v>0</v>
      </c>
      <c r="F40" s="1313">
        <v>0</v>
      </c>
    </row>
    <row r="41" spans="1:6">
      <c r="A41" s="1312" t="s">
        <v>31</v>
      </c>
      <c r="B41" s="1312" t="s">
        <v>32</v>
      </c>
      <c r="C41" s="1313">
        <v>53</v>
      </c>
      <c r="D41" s="1313">
        <v>955192.63300000003</v>
      </c>
      <c r="E41" s="1313">
        <v>75</v>
      </c>
      <c r="F41" s="1313">
        <v>316427.88099999999</v>
      </c>
    </row>
    <row r="42" spans="1:6">
      <c r="A42" s="1312" t="s">
        <v>31</v>
      </c>
      <c r="B42" s="1312" t="s">
        <v>33</v>
      </c>
      <c r="C42" s="1313">
        <v>3</v>
      </c>
      <c r="D42" s="1313">
        <v>199360.495</v>
      </c>
      <c r="E42" s="1313">
        <v>3</v>
      </c>
      <c r="F42" s="1313">
        <v>70170.266000000003</v>
      </c>
    </row>
    <row r="43" spans="1:6">
      <c r="A43" s="1312" t="s">
        <v>31</v>
      </c>
      <c r="B43" s="1312" t="s">
        <v>34</v>
      </c>
      <c r="C43" s="1313">
        <v>0</v>
      </c>
      <c r="D43" s="1313">
        <v>0</v>
      </c>
      <c r="E43" s="1313">
        <v>0</v>
      </c>
      <c r="F43" s="1313">
        <v>0</v>
      </c>
    </row>
    <row r="44" spans="1:6">
      <c r="A44" s="1312" t="s">
        <v>31</v>
      </c>
      <c r="B44" s="1312" t="s">
        <v>35</v>
      </c>
      <c r="C44" s="1313">
        <v>4</v>
      </c>
      <c r="D44" s="1313">
        <v>112761.712</v>
      </c>
      <c r="E44" s="1313">
        <v>6</v>
      </c>
      <c r="F44" s="1313">
        <v>58446.221851076902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23611.411</v>
      </c>
      <c r="E48" s="1313">
        <v>1</v>
      </c>
      <c r="F48" s="1313">
        <v>10184.307000000001</v>
      </c>
    </row>
    <row r="49" spans="1:6">
      <c r="A49" s="1312" t="s">
        <v>31</v>
      </c>
      <c r="B49" s="1312" t="s">
        <v>39</v>
      </c>
      <c r="C49" s="1313">
        <v>0</v>
      </c>
      <c r="D49" s="1313">
        <v>0</v>
      </c>
      <c r="E49" s="1313">
        <v>3</v>
      </c>
      <c r="F49" s="1313">
        <v>26097.834999999999</v>
      </c>
    </row>
    <row r="50" spans="1:6">
      <c r="A50" s="1312" t="s">
        <v>31</v>
      </c>
      <c r="B50" s="1312" t="s">
        <v>40</v>
      </c>
      <c r="C50" s="1313">
        <v>6</v>
      </c>
      <c r="D50" s="1313">
        <v>328728.527</v>
      </c>
      <c r="E50" s="1313">
        <v>8</v>
      </c>
      <c r="F50" s="1313">
        <v>155397.261</v>
      </c>
    </row>
    <row r="51" spans="1:6">
      <c r="A51" s="1312" t="s">
        <v>41</v>
      </c>
      <c r="B51" s="1312" t="s">
        <v>42</v>
      </c>
      <c r="C51" s="1313">
        <v>6</v>
      </c>
      <c r="D51" s="1313">
        <v>97453.501999999993</v>
      </c>
      <c r="E51" s="1313">
        <v>13</v>
      </c>
      <c r="F51" s="1313">
        <v>294479.21799999999</v>
      </c>
    </row>
    <row r="52" spans="1:6">
      <c r="A52" s="1312" t="s">
        <v>41</v>
      </c>
      <c r="B52" s="1312" t="s">
        <v>28</v>
      </c>
      <c r="C52" s="1313">
        <v>0</v>
      </c>
      <c r="D52" s="1313">
        <v>0</v>
      </c>
      <c r="E52" s="1313">
        <v>0</v>
      </c>
      <c r="F52" s="1313">
        <v>0</v>
      </c>
    </row>
    <row r="53" spans="1:6">
      <c r="A53" s="1312" t="s">
        <v>43</v>
      </c>
      <c r="B53" s="1312" t="s">
        <v>44</v>
      </c>
      <c r="C53" s="1313">
        <v>22</v>
      </c>
      <c r="D53" s="1313">
        <v>329323.20199999999</v>
      </c>
      <c r="E53" s="1313">
        <v>27</v>
      </c>
      <c r="F53" s="1313">
        <v>120115.285</v>
      </c>
    </row>
    <row r="54" spans="1:6">
      <c r="A54" s="1312" t="s">
        <v>45</v>
      </c>
      <c r="B54" s="1312" t="s">
        <v>46</v>
      </c>
      <c r="C54" s="1313">
        <v>0</v>
      </c>
      <c r="D54" s="1313">
        <v>0</v>
      </c>
      <c r="E54" s="1313">
        <v>1</v>
      </c>
      <c r="F54" s="1313">
        <v>551727.81900000002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29</v>
      </c>
      <c r="D57" s="1313">
        <v>990026.79099999997</v>
      </c>
      <c r="E57" s="1313">
        <v>32</v>
      </c>
      <c r="F57" s="1313">
        <v>1016080.0060000001</v>
      </c>
    </row>
    <row r="58" spans="1:6">
      <c r="A58" s="1312" t="s">
        <v>48</v>
      </c>
      <c r="B58" s="1312" t="s">
        <v>50</v>
      </c>
      <c r="C58" s="1313">
        <v>31</v>
      </c>
      <c r="D58" s="1313">
        <v>1522740.088</v>
      </c>
      <c r="E58" s="1313">
        <v>37</v>
      </c>
      <c r="F58" s="1313">
        <v>613448.70799999998</v>
      </c>
    </row>
    <row r="59" spans="1:6">
      <c r="A59" s="1312" t="s">
        <v>48</v>
      </c>
      <c r="B59" s="1312" t="s">
        <v>51</v>
      </c>
      <c r="C59" s="1313">
        <v>44</v>
      </c>
      <c r="D59" s="1313">
        <v>1834155.2250000001</v>
      </c>
      <c r="E59" s="1313">
        <v>73</v>
      </c>
      <c r="F59" s="1313">
        <v>1967617.3130000001</v>
      </c>
    </row>
    <row r="60" spans="1:6">
      <c r="A60" s="1312" t="s">
        <v>48</v>
      </c>
      <c r="B60" s="1312" t="s">
        <v>52</v>
      </c>
      <c r="C60" s="1313">
        <v>41</v>
      </c>
      <c r="D60" s="1313">
        <v>1985522.531</v>
      </c>
      <c r="E60" s="1313">
        <v>39</v>
      </c>
      <c r="F60" s="1313">
        <v>950431.11399999994</v>
      </c>
    </row>
    <row r="61" spans="1:6">
      <c r="A61" s="1312" t="s">
        <v>48</v>
      </c>
      <c r="B61" s="1312" t="s">
        <v>53</v>
      </c>
      <c r="C61" s="1313">
        <v>104</v>
      </c>
      <c r="D61" s="1313">
        <v>3680862.4890000001</v>
      </c>
      <c r="E61" s="1313">
        <v>179</v>
      </c>
      <c r="F61" s="1313">
        <v>1532351.14695976</v>
      </c>
    </row>
    <row r="62" spans="1:6">
      <c r="A62" s="1312" t="s">
        <v>48</v>
      </c>
      <c r="B62" s="1312" t="s">
        <v>54</v>
      </c>
      <c r="C62" s="1313">
        <v>5</v>
      </c>
      <c r="D62" s="1313">
        <v>123412.69500000001</v>
      </c>
      <c r="E62" s="1313">
        <v>6</v>
      </c>
      <c r="F62" s="1313">
        <v>36433.769482739903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57004.494999999995</v>
      </c>
      <c r="E65" s="1313">
        <v>1</v>
      </c>
      <c r="F65" s="1313">
        <v>5021.0249999999996</v>
      </c>
    </row>
    <row r="66" spans="1:6">
      <c r="A66" s="1312" t="s">
        <v>55</v>
      </c>
      <c r="B66" s="1312" t="s">
        <v>57</v>
      </c>
      <c r="C66" s="1313">
        <v>0</v>
      </c>
      <c r="D66" s="1313">
        <v>0</v>
      </c>
      <c r="E66" s="1313">
        <v>6</v>
      </c>
      <c r="F66" s="1313">
        <v>142770.495</v>
      </c>
    </row>
    <row r="67" spans="1:6">
      <c r="A67" s="1314" t="s">
        <v>55</v>
      </c>
      <c r="B67" s="1314" t="s">
        <v>58</v>
      </c>
      <c r="C67" s="1313">
        <v>0</v>
      </c>
      <c r="D67" s="1313">
        <v>0</v>
      </c>
      <c r="E67" s="1313">
        <v>0</v>
      </c>
      <c r="F67" s="1313">
        <v>0</v>
      </c>
    </row>
    <row r="68" spans="1:6">
      <c r="A68" s="1307" t="s">
        <v>55</v>
      </c>
      <c r="B68" s="1307" t="s">
        <v>59</v>
      </c>
      <c r="C68" s="1316">
        <v>0</v>
      </c>
      <c r="D68" s="1316">
        <v>0</v>
      </c>
      <c r="E68" s="1316">
        <v>3</v>
      </c>
      <c r="F68" s="1316">
        <v>6537.143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17321597</v>
      </c>
      <c r="E73" s="447"/>
      <c r="F73" s="326"/>
    </row>
    <row r="74" spans="1:6">
      <c r="A74" s="1312" t="s">
        <v>63</v>
      </c>
      <c r="B74" s="1312" t="s">
        <v>638</v>
      </c>
      <c r="C74" s="1326" t="s">
        <v>640</v>
      </c>
      <c r="D74" s="1327">
        <v>1421580.9959282344</v>
      </c>
      <c r="E74" s="447"/>
      <c r="F74" s="326"/>
    </row>
    <row r="75" spans="1:6">
      <c r="A75" s="1312" t="s">
        <v>64</v>
      </c>
      <c r="B75" s="1312" t="s">
        <v>637</v>
      </c>
      <c r="C75" s="1326" t="s">
        <v>641</v>
      </c>
      <c r="D75" s="1327">
        <v>14036034</v>
      </c>
      <c r="E75" s="447"/>
      <c r="F75" s="326"/>
    </row>
    <row r="76" spans="1:6">
      <c r="A76" s="1312" t="s">
        <v>64</v>
      </c>
      <c r="B76" s="1312" t="s">
        <v>638</v>
      </c>
      <c r="C76" s="1326" t="s">
        <v>642</v>
      </c>
      <c r="D76" s="1327">
        <v>110253.99592823451</v>
      </c>
      <c r="E76" s="447"/>
      <c r="F76" s="326"/>
    </row>
    <row r="77" spans="1:6">
      <c r="A77" s="1312" t="s">
        <v>65</v>
      </c>
      <c r="B77" s="1312" t="s">
        <v>637</v>
      </c>
      <c r="C77" s="1326" t="s">
        <v>643</v>
      </c>
      <c r="D77" s="1327">
        <v>41415028</v>
      </c>
      <c r="E77" s="447"/>
      <c r="F77" s="326"/>
    </row>
    <row r="78" spans="1:6">
      <c r="A78" s="1307" t="s">
        <v>65</v>
      </c>
      <c r="B78" s="1307" t="s">
        <v>638</v>
      </c>
      <c r="C78" s="1307" t="s">
        <v>644</v>
      </c>
      <c r="D78" s="1328">
        <v>11005339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328476.00814353098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4107.5267245583045</v>
      </c>
      <c r="C91" s="326"/>
      <c r="D91" s="326"/>
      <c r="E91" s="326"/>
      <c r="F91" s="326"/>
    </row>
    <row r="92" spans="1:6">
      <c r="A92" s="1307" t="s">
        <v>68</v>
      </c>
      <c r="B92" s="1308">
        <v>132.26433576048873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2398</v>
      </c>
      <c r="C97" s="326"/>
      <c r="D97" s="326"/>
      <c r="E97" s="326"/>
      <c r="F97" s="326"/>
    </row>
    <row r="98" spans="1:6">
      <c r="A98" s="1312" t="s">
        <v>71</v>
      </c>
      <c r="B98" s="1313">
        <v>2</v>
      </c>
      <c r="C98" s="326"/>
      <c r="D98" s="326"/>
      <c r="E98" s="326"/>
      <c r="F98" s="326"/>
    </row>
    <row r="99" spans="1:6">
      <c r="A99" s="1312" t="s">
        <v>72</v>
      </c>
      <c r="B99" s="1313">
        <v>16</v>
      </c>
      <c r="C99" s="326"/>
      <c r="D99" s="326"/>
      <c r="E99" s="326"/>
      <c r="F99" s="326"/>
    </row>
    <row r="100" spans="1:6">
      <c r="A100" s="1312" t="s">
        <v>73</v>
      </c>
      <c r="B100" s="1313">
        <v>136</v>
      </c>
      <c r="C100" s="326"/>
      <c r="D100" s="326"/>
      <c r="E100" s="326"/>
      <c r="F100" s="326"/>
    </row>
    <row r="101" spans="1:6">
      <c r="A101" s="1312" t="s">
        <v>74</v>
      </c>
      <c r="B101" s="1313">
        <v>56</v>
      </c>
      <c r="C101" s="326"/>
      <c r="D101" s="326"/>
      <c r="E101" s="326"/>
      <c r="F101" s="326"/>
    </row>
    <row r="102" spans="1:6">
      <c r="A102" s="1312" t="s">
        <v>75</v>
      </c>
      <c r="B102" s="1313">
        <v>44</v>
      </c>
      <c r="C102" s="326"/>
      <c r="D102" s="326"/>
      <c r="E102" s="326"/>
      <c r="F102" s="326"/>
    </row>
    <row r="103" spans="1:6">
      <c r="A103" s="1312" t="s">
        <v>76</v>
      </c>
      <c r="B103" s="1313">
        <v>50</v>
      </c>
      <c r="C103" s="326"/>
      <c r="D103" s="326"/>
      <c r="E103" s="326"/>
      <c r="F103" s="326"/>
    </row>
    <row r="104" spans="1:6">
      <c r="A104" s="1312" t="s">
        <v>77</v>
      </c>
      <c r="B104" s="1313">
        <v>897</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52</v>
      </c>
      <c r="C123" s="1313">
        <v>27</v>
      </c>
      <c r="D123" s="326"/>
      <c r="E123" s="326"/>
      <c r="F123" s="326"/>
    </row>
    <row r="124" spans="1:6" s="43" customFormat="1">
      <c r="A124" s="1314" t="s">
        <v>88</v>
      </c>
      <c r="B124" s="1335">
        <v>2</v>
      </c>
      <c r="C124" s="1335">
        <v>0</v>
      </c>
      <c r="D124" s="332"/>
      <c r="E124" s="332"/>
      <c r="F124" s="332"/>
    </row>
    <row r="125" spans="1:6">
      <c r="A125" s="1307" t="s">
        <v>786</v>
      </c>
      <c r="B125" s="1335">
        <v>3</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101</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26073.050346689808</v>
      </c>
      <c r="C3" s="43" t="s">
        <v>169</v>
      </c>
      <c r="D3" s="43"/>
      <c r="E3" s="154"/>
      <c r="F3" s="43"/>
      <c r="G3" s="43"/>
      <c r="H3" s="43"/>
      <c r="I3" s="43"/>
      <c r="J3" s="43"/>
      <c r="K3" s="96"/>
    </row>
    <row r="4" spans="1:11">
      <c r="A4" s="354" t="s">
        <v>170</v>
      </c>
      <c r="B4" s="49">
        <f>IF(ISERROR('SEAP template'!B78+'SEAP template'!C78),0,'SEAP template'!B78+'SEAP template'!C78)</f>
        <v>4239.7910603187929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0.18506274632728531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551.72781900000007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551.72781900000007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0.18506274632728531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102.10426540930339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14064.4733942166</v>
      </c>
      <c r="C5" s="17">
        <f>IF(ISERROR('Eigen informatie GS &amp; warmtenet'!B59),0,'Eigen informatie GS &amp; warmtenet'!B59)</f>
        <v>0</v>
      </c>
      <c r="D5" s="30">
        <f>(SUM(HH_hh_gas_kWh,HH_rest_gas_kWh)/1000)*0.903</f>
        <v>57475.746867843736</v>
      </c>
      <c r="E5" s="17">
        <f>B32*B41</f>
        <v>493.18475463432094</v>
      </c>
      <c r="F5" s="17">
        <f>B36*B45</f>
        <v>10804.003747672301</v>
      </c>
      <c r="G5" s="18"/>
      <c r="H5" s="17"/>
      <c r="I5" s="17"/>
      <c r="J5" s="17">
        <f>B35*B44+C35*C44</f>
        <v>61.573199032478449</v>
      </c>
      <c r="K5" s="17"/>
      <c r="L5" s="17"/>
      <c r="M5" s="17"/>
      <c r="N5" s="17">
        <f>B34*B43+C34*C43</f>
        <v>5529.2554432612469</v>
      </c>
      <c r="O5" s="17">
        <f>B52*B53*B54</f>
        <v>253.94665208154007</v>
      </c>
      <c r="P5" s="17">
        <f>B60*B61*B62/1000-B60*B61*B62/1000/B63</f>
        <v>821.64882599943178</v>
      </c>
    </row>
    <row r="6" spans="1:16">
      <c r="A6" s="16" t="s">
        <v>603</v>
      </c>
      <c r="B6" s="780">
        <f>kWh_PV_kleiner_dan_10kW</f>
        <v>4107.5267245583045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18172.000118774904</v>
      </c>
      <c r="C8" s="21">
        <f>C5</f>
        <v>0</v>
      </c>
      <c r="D8" s="21">
        <f>D5</f>
        <v>57475.746867843736</v>
      </c>
      <c r="E8" s="21">
        <f>E5</f>
        <v>493.18475463432094</v>
      </c>
      <c r="F8" s="21">
        <f>F5</f>
        <v>10804.003747672301</v>
      </c>
      <c r="G8" s="21"/>
      <c r="H8" s="21"/>
      <c r="I8" s="21"/>
      <c r="J8" s="21">
        <f>J5</f>
        <v>61.573199032478449</v>
      </c>
      <c r="K8" s="21"/>
      <c r="L8" s="21">
        <f>L5</f>
        <v>0</v>
      </c>
      <c r="M8" s="21">
        <f>M5</f>
        <v>0</v>
      </c>
      <c r="N8" s="21">
        <f>N5</f>
        <v>5529.2554432612469</v>
      </c>
      <c r="O8" s="21">
        <f>O5</f>
        <v>253.94665208154007</v>
      </c>
      <c r="P8" s="21">
        <f>P5</f>
        <v>821.64882599943178</v>
      </c>
    </row>
    <row r="9" spans="1:16">
      <c r="B9" s="19"/>
      <c r="C9" s="19"/>
      <c r="D9" s="254"/>
      <c r="E9" s="19"/>
      <c r="F9" s="19"/>
      <c r="G9" s="19"/>
      <c r="H9" s="19"/>
      <c r="I9" s="19"/>
      <c r="J9" s="19"/>
      <c r="K9" s="19"/>
      <c r="L9" s="19"/>
      <c r="M9" s="19"/>
      <c r="N9" s="19"/>
      <c r="O9" s="19"/>
      <c r="P9" s="19"/>
    </row>
    <row r="10" spans="1:16">
      <c r="A10" s="24" t="s">
        <v>213</v>
      </c>
      <c r="B10" s="25">
        <f ca="1">'EF ele_warmte'!B12</f>
        <v>0.18506274632728531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3362.9602482402388</v>
      </c>
      <c r="C12" s="23">
        <f ca="1">C10*C8</f>
        <v>0</v>
      </c>
      <c r="D12" s="23">
        <f>D8*D10</f>
        <v>11610.100867304436</v>
      </c>
      <c r="E12" s="23">
        <f>E10*E8</f>
        <v>111.95293930199085</v>
      </c>
      <c r="F12" s="23">
        <f>F10*F8</f>
        <v>2884.6690006285044</v>
      </c>
      <c r="G12" s="23"/>
      <c r="H12" s="23"/>
      <c r="I12" s="23"/>
      <c r="J12" s="23">
        <f>J10*J8</f>
        <v>21.79691245749737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4502</v>
      </c>
      <c r="C26" s="36"/>
      <c r="D26" s="225"/>
    </row>
    <row r="27" spans="1:5" s="15" customFormat="1">
      <c r="A27" s="227" t="s">
        <v>866</v>
      </c>
      <c r="B27" s="37">
        <f>SUM(HH_hh_gas_aantal,HH_rest_gas_aantal)</f>
        <v>3839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3647.05</v>
      </c>
      <c r="C31" s="34" t="s">
        <v>110</v>
      </c>
      <c r="D31" s="171"/>
    </row>
    <row r="32" spans="1:5">
      <c r="A32" s="168" t="s">
        <v>72</v>
      </c>
      <c r="B32" s="33">
        <f>IF((B21*($B$26-($B$27-0.05*$B$27)-$B$60))&lt;0,0,(B21*($B$26-($B$27-0.05*$B$27)-$B$60)))</f>
        <v>12.33423562525256</v>
      </c>
      <c r="C32" s="34" t="s">
        <v>110</v>
      </c>
      <c r="D32" s="171"/>
    </row>
    <row r="33" spans="1:6">
      <c r="A33" s="168" t="s">
        <v>73</v>
      </c>
      <c r="B33" s="33">
        <f>IF((B22*($B$26-($B$27-0.05*$B$27)-$B$60))&lt;0,0,B22*($B$26-($B$27-0.05*$B$27)-$B$60))</f>
        <v>200.28355833232433</v>
      </c>
      <c r="C33" s="34" t="s">
        <v>110</v>
      </c>
      <c r="D33" s="171"/>
    </row>
    <row r="34" spans="1:6">
      <c r="A34" s="168" t="s">
        <v>74</v>
      </c>
      <c r="B34" s="33">
        <f>IF((B24*($B$26-($B$27-0.05*$B$27)-$B$60))&lt;0,0,B24*($B$26-($B$27-0.05*$B$27)-$B$60))</f>
        <v>38.397038419834956</v>
      </c>
      <c r="C34" s="33">
        <f>B26*C24</f>
        <v>922.48654100906185</v>
      </c>
      <c r="D34" s="230"/>
    </row>
    <row r="35" spans="1:6">
      <c r="A35" s="168" t="s">
        <v>76</v>
      </c>
      <c r="B35" s="33">
        <f>IF((B19*($B$26-($B$27-0.05*$B$27)-$B$60))&lt;0,0,B19*($B$26-($B$27-0.05*$B$27)-$B$60))</f>
        <v>5.3616628206746846</v>
      </c>
      <c r="C35" s="33">
        <f>B35/2</f>
        <v>2.6808314103373423</v>
      </c>
      <c r="D35" s="230"/>
    </row>
    <row r="36" spans="1:6">
      <c r="A36" s="168" t="s">
        <v>77</v>
      </c>
      <c r="B36" s="33">
        <f>IF((B18*($B$26-($B$27-0.05*$B$27)-$B$60))&lt;0,0,B18*($B$26-($B$27-0.05*$B$27)-$B$60))</f>
        <v>520.57350480191315</v>
      </c>
      <c r="C36" s="34" t="s">
        <v>110</v>
      </c>
      <c r="D36" s="171"/>
    </row>
    <row r="37" spans="1:6">
      <c r="A37" s="168" t="s">
        <v>78</v>
      </c>
      <c r="B37" s="33">
        <f>B60</f>
        <v>78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6116.3620574424995</v>
      </c>
      <c r="C5" s="17">
        <f>IF(ISERROR('Eigen informatie GS &amp; warmtenet'!B60),0,'Eigen informatie GS &amp; warmtenet'!B60)</f>
        <v>0</v>
      </c>
      <c r="D5" s="30">
        <f>SUM(D6:D12)</f>
        <v>9153.4579965569992</v>
      </c>
      <c r="E5" s="17">
        <f>SUM(E6:E12)</f>
        <v>29.266463019778378</v>
      </c>
      <c r="F5" s="17">
        <f>SUM(F6:F12)</f>
        <v>1395.2546367720279</v>
      </c>
      <c r="G5" s="18"/>
      <c r="H5" s="17"/>
      <c r="I5" s="17"/>
      <c r="J5" s="17">
        <f>SUM(J6:J12)</f>
        <v>1.0276808065973279E-2</v>
      </c>
      <c r="K5" s="17"/>
      <c r="L5" s="17"/>
      <c r="M5" s="17"/>
      <c r="N5" s="17">
        <f>SUM(N6:N12)</f>
        <v>396.23922591897065</v>
      </c>
      <c r="O5" s="17">
        <f>B38*B39*B40</f>
        <v>4.8972607658411542</v>
      </c>
      <c r="P5" s="17">
        <f>B46*B47*B48/1000-B46*B47*B48/1000/B49</f>
        <v>157.61741491948504</v>
      </c>
      <c r="R5" s="32"/>
    </row>
    <row r="6" spans="1:18">
      <c r="A6" s="32" t="s">
        <v>53</v>
      </c>
      <c r="B6" s="37">
        <f>B26</f>
        <v>1532.3511469597599</v>
      </c>
      <c r="C6" s="33"/>
      <c r="D6" s="37">
        <f>IF(ISERROR(TER_kantoor_gas_kWh/1000),0,TER_kantoor_gas_kWh/1000)*0.903</f>
        <v>3323.818827567</v>
      </c>
      <c r="E6" s="33">
        <f>$C$26*'E Balans VL '!I12/100/3.6*1000000</f>
        <v>0.36511411276430655</v>
      </c>
      <c r="F6" s="33">
        <f>$C$26*('E Balans VL '!L12+'E Balans VL '!N12)/100/3.6*1000000</f>
        <v>133.09970825353381</v>
      </c>
      <c r="G6" s="34"/>
      <c r="H6" s="33"/>
      <c r="I6" s="33"/>
      <c r="J6" s="33">
        <f>$C$26*('E Balans VL '!D12+'E Balans VL '!E12)/100/3.6*1000000</f>
        <v>0</v>
      </c>
      <c r="K6" s="33"/>
      <c r="L6" s="33"/>
      <c r="M6" s="33"/>
      <c r="N6" s="33">
        <f>$C$26*'E Balans VL '!Y12/100/3.6*1000000</f>
        <v>2.0482016841421946</v>
      </c>
      <c r="O6" s="33"/>
      <c r="P6" s="33"/>
      <c r="R6" s="32"/>
    </row>
    <row r="7" spans="1:18">
      <c r="A7" s="32" t="s">
        <v>52</v>
      </c>
      <c r="B7" s="37">
        <f t="shared" ref="B7:B12" si="0">B27</f>
        <v>950.43111399999998</v>
      </c>
      <c r="C7" s="33"/>
      <c r="D7" s="37">
        <f>IF(ISERROR(TER_horeca_gas_kWh/1000),0,TER_horeca_gas_kWh/1000)*0.903</f>
        <v>1792.9268454930002</v>
      </c>
      <c r="E7" s="33">
        <f>$C$27*'E Balans VL '!I9/100/3.6*1000000</f>
        <v>0</v>
      </c>
      <c r="F7" s="33">
        <f>$C$27*('E Balans VL '!L9+'E Balans VL '!N9)/100/3.6*1000000</f>
        <v>77.442935444850249</v>
      </c>
      <c r="G7" s="34"/>
      <c r="H7" s="33"/>
      <c r="I7" s="33"/>
      <c r="J7" s="33">
        <f>$C$27*('E Balans VL '!D9+'E Balans VL '!E9)/100/3.6*1000000</f>
        <v>0</v>
      </c>
      <c r="K7" s="33"/>
      <c r="L7" s="33"/>
      <c r="M7" s="33"/>
      <c r="N7" s="33">
        <f>$C$27*'E Balans VL '!Y9/100/3.6*1000000</f>
        <v>0.26325172406856534</v>
      </c>
      <c r="O7" s="33"/>
      <c r="P7" s="33"/>
      <c r="R7" s="32"/>
    </row>
    <row r="8" spans="1:18">
      <c r="A8" s="6" t="s">
        <v>51</v>
      </c>
      <c r="B8" s="37">
        <f t="shared" si="0"/>
        <v>1967.6173130000002</v>
      </c>
      <c r="C8" s="33"/>
      <c r="D8" s="37">
        <f>IF(ISERROR(TER_handel_gas_kWh/1000),0,TER_handel_gas_kWh/1000)*0.903</f>
        <v>1656.2421681750002</v>
      </c>
      <c r="E8" s="33">
        <f>$C$28*'E Balans VL '!I13/100/3.6*1000000</f>
        <v>15.728374477693306</v>
      </c>
      <c r="F8" s="33">
        <f>$C$28*('E Balans VL '!L13+'E Balans VL '!N13)/100/3.6*1000000</f>
        <v>195.47054862369228</v>
      </c>
      <c r="G8" s="34"/>
      <c r="H8" s="33"/>
      <c r="I8" s="33"/>
      <c r="J8" s="33">
        <f>$C$28*('E Balans VL '!D13+'E Balans VL '!E13)/100/3.6*1000000</f>
        <v>0</v>
      </c>
      <c r="K8" s="33"/>
      <c r="L8" s="33"/>
      <c r="M8" s="33"/>
      <c r="N8" s="33">
        <f>$C$28*'E Balans VL '!Y13/100/3.6*1000000</f>
        <v>0.73502218678391185</v>
      </c>
      <c r="O8" s="33"/>
      <c r="P8" s="33"/>
      <c r="R8" s="32"/>
    </row>
    <row r="9" spans="1:18">
      <c r="A9" s="32" t="s">
        <v>50</v>
      </c>
      <c r="B9" s="37">
        <f t="shared" si="0"/>
        <v>613.44870800000001</v>
      </c>
      <c r="C9" s="33"/>
      <c r="D9" s="37">
        <f>IF(ISERROR(TER_gezond_gas_kWh/1000),0,TER_gezond_gas_kWh/1000)*0.903</f>
        <v>1375.034299464</v>
      </c>
      <c r="E9" s="33">
        <f>$C$29*'E Balans VL '!I10/100/3.6*1000000</f>
        <v>0</v>
      </c>
      <c r="F9" s="33">
        <f>$C$29*('E Balans VL '!L10+'E Balans VL '!N10)/100/3.6*1000000</f>
        <v>55.925846308258151</v>
      </c>
      <c r="G9" s="34"/>
      <c r="H9" s="33"/>
      <c r="I9" s="33"/>
      <c r="J9" s="33">
        <f>$C$29*('E Balans VL '!D10+'E Balans VL '!E10)/100/3.6*1000000</f>
        <v>0</v>
      </c>
      <c r="K9" s="33"/>
      <c r="L9" s="33"/>
      <c r="M9" s="33"/>
      <c r="N9" s="33">
        <f>$C$29*'E Balans VL '!Y10/100/3.6*1000000</f>
        <v>4.4837603072590069</v>
      </c>
      <c r="O9" s="33"/>
      <c r="P9" s="33"/>
      <c r="R9" s="32"/>
    </row>
    <row r="10" spans="1:18">
      <c r="A10" s="32" t="s">
        <v>49</v>
      </c>
      <c r="B10" s="37">
        <f t="shared" si="0"/>
        <v>1016.080006</v>
      </c>
      <c r="C10" s="33"/>
      <c r="D10" s="37">
        <f>IF(ISERROR(TER_ander_gas_kWh/1000),0,TER_ander_gas_kWh/1000)*0.903</f>
        <v>893.99419227300007</v>
      </c>
      <c r="E10" s="33">
        <f>$C$30*'E Balans VL '!I14/100/3.6*1000000</f>
        <v>13.172974429320766</v>
      </c>
      <c r="F10" s="33">
        <f>$C$30*('E Balans VL '!L14+'E Balans VL '!N14)/100/3.6*1000000</f>
        <v>931.88802584356404</v>
      </c>
      <c r="G10" s="34"/>
      <c r="H10" s="33"/>
      <c r="I10" s="33"/>
      <c r="J10" s="33">
        <f>$C$30*('E Balans VL '!D14+'E Balans VL '!E14)/100/3.6*1000000</f>
        <v>1.0276808065973279E-2</v>
      </c>
      <c r="K10" s="33"/>
      <c r="L10" s="33"/>
      <c r="M10" s="33"/>
      <c r="N10" s="33">
        <f>$C$30*'E Balans VL '!Y14/100/3.6*1000000</f>
        <v>388.59425107482139</v>
      </c>
      <c r="O10" s="33"/>
      <c r="P10" s="33"/>
      <c r="R10" s="32"/>
    </row>
    <row r="11" spans="1:18">
      <c r="A11" s="32" t="s">
        <v>54</v>
      </c>
      <c r="B11" s="37">
        <f t="shared" si="0"/>
        <v>36.433769482739905</v>
      </c>
      <c r="C11" s="33"/>
      <c r="D11" s="37">
        <f>IF(ISERROR(TER_onderwijs_gas_kWh/1000),0,TER_onderwijs_gas_kWh/1000)*0.903</f>
        <v>111.44166358500001</v>
      </c>
      <c r="E11" s="33">
        <f>$C$31*'E Balans VL '!I11/100/3.6*1000000</f>
        <v>0</v>
      </c>
      <c r="F11" s="33">
        <f>$C$31*('E Balans VL '!L11+'E Balans VL '!N11)/100/3.6*1000000</f>
        <v>1.427572298129445</v>
      </c>
      <c r="G11" s="34"/>
      <c r="H11" s="33"/>
      <c r="I11" s="33"/>
      <c r="J11" s="33">
        <f>$C$31*('E Balans VL '!D11+'E Balans VL '!E11)/100/3.6*1000000</f>
        <v>0</v>
      </c>
      <c r="K11" s="33"/>
      <c r="L11" s="33"/>
      <c r="M11" s="33"/>
      <c r="N11" s="33">
        <f>$C$31*'E Balans VL '!Y11/100/3.6*1000000</f>
        <v>0.11473894189555028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6116.3620574424995</v>
      </c>
      <c r="C16" s="21">
        <f t="shared" ca="1" si="1"/>
        <v>0</v>
      </c>
      <c r="D16" s="21">
        <f t="shared" ca="1" si="1"/>
        <v>9153.4579965569992</v>
      </c>
      <c r="E16" s="21">
        <f t="shared" si="1"/>
        <v>29.266463019778378</v>
      </c>
      <c r="F16" s="21">
        <f t="shared" ca="1" si="1"/>
        <v>1395.2546367720279</v>
      </c>
      <c r="G16" s="21">
        <f t="shared" si="1"/>
        <v>0</v>
      </c>
      <c r="H16" s="21">
        <f t="shared" si="1"/>
        <v>0</v>
      </c>
      <c r="I16" s="21">
        <f t="shared" si="1"/>
        <v>0</v>
      </c>
      <c r="J16" s="21">
        <f t="shared" si="1"/>
        <v>1.0276808065973279E-2</v>
      </c>
      <c r="K16" s="21">
        <f t="shared" si="1"/>
        <v>0</v>
      </c>
      <c r="L16" s="21">
        <f t="shared" ca="1" si="1"/>
        <v>0</v>
      </c>
      <c r="M16" s="21">
        <f t="shared" si="1"/>
        <v>0</v>
      </c>
      <c r="N16" s="21">
        <f t="shared" ca="1" si="1"/>
        <v>396.23922591897065</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0.18506274632728531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1131.9107598823141</v>
      </c>
      <c r="C20" s="23">
        <f t="shared" ref="C20:P20" ca="1" si="2">C16*C18</f>
        <v>0</v>
      </c>
      <c r="D20" s="23">
        <f t="shared" ca="1" si="2"/>
        <v>1848.9985153045141</v>
      </c>
      <c r="E20" s="23">
        <f t="shared" si="2"/>
        <v>6.643487105489692</v>
      </c>
      <c r="F20" s="23">
        <f t="shared" ca="1" si="2"/>
        <v>372.53298801813145</v>
      </c>
      <c r="G20" s="23">
        <f t="shared" si="2"/>
        <v>0</v>
      </c>
      <c r="H20" s="23">
        <f t="shared" si="2"/>
        <v>0</v>
      </c>
      <c r="I20" s="23">
        <f t="shared" si="2"/>
        <v>0</v>
      </c>
      <c r="J20" s="23">
        <f t="shared" si="2"/>
        <v>3.6379900553545406E-3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1532.3511469597599</v>
      </c>
      <c r="C26" s="39">
        <f>IF(ISERROR(B26*3.6/1000000/'E Balans VL '!Z12*100),0,B26*3.6/1000000/'E Balans VL '!Z12*100)</f>
        <v>4.396301020420787E-2</v>
      </c>
      <c r="D26" s="233" t="s">
        <v>841</v>
      </c>
      <c r="F26" s="6"/>
    </row>
    <row r="27" spans="1:18" ht="30">
      <c r="A27" s="228" t="s">
        <v>52</v>
      </c>
      <c r="B27" s="33">
        <f>IF(ISERROR(TER_horeca_ele_kWh/1000),0,TER_horeca_ele_kWh/1000)</f>
        <v>950.43111399999998</v>
      </c>
      <c r="C27" s="39">
        <f>IF(ISERROR(B27*3.6/1000000/'E Balans VL '!Z9*100),0,B27*3.6/1000000/'E Balans VL '!Z9*100)</f>
        <v>6.9628919898051728E-2</v>
      </c>
      <c r="D27" s="233" t="s">
        <v>841</v>
      </c>
      <c r="F27" s="6"/>
    </row>
    <row r="28" spans="1:18" ht="30">
      <c r="A28" s="168" t="s">
        <v>51</v>
      </c>
      <c r="B28" s="33">
        <f>IF(ISERROR(TER_handel_ele_kWh/1000),0,TER_handel_ele_kWh/1000)</f>
        <v>1967.6173130000002</v>
      </c>
      <c r="C28" s="39">
        <f>IF(ISERROR(B28*3.6/1000000/'E Balans VL '!Z13*100),0,B28*3.6/1000000/'E Balans VL '!Z13*100)</f>
        <v>6.0801034561152767E-2</v>
      </c>
      <c r="D28" s="233" t="s">
        <v>841</v>
      </c>
      <c r="F28" s="6"/>
    </row>
    <row r="29" spans="1:18" ht="30">
      <c r="A29" s="228" t="s">
        <v>50</v>
      </c>
      <c r="B29" s="33">
        <f>IF(ISERROR(TER_gezond_ele_kWh/1000),0,TER_gezond_ele_kWh/1000)</f>
        <v>613.44870800000001</v>
      </c>
      <c r="C29" s="39">
        <f>IF(ISERROR(B29*3.6/1000000/'E Balans VL '!Z10*100),0,B29*3.6/1000000/'E Balans VL '!Z10*100)</f>
        <v>6.0121745452499535E-2</v>
      </c>
      <c r="D29" s="233" t="s">
        <v>841</v>
      </c>
      <c r="F29" s="6"/>
    </row>
    <row r="30" spans="1:18" ht="30">
      <c r="A30" s="228" t="s">
        <v>49</v>
      </c>
      <c r="B30" s="33">
        <f>IF(ISERROR(TER_ander_ele_kWh/1000),0,TER_ander_ele_kWh/1000)</f>
        <v>1016.080006</v>
      </c>
      <c r="C30" s="39">
        <f>IF(ISERROR(B30*3.6/1000000/'E Balans VL '!Z14*100),0,B30*3.6/1000000/'E Balans VL '!Z14*100)</f>
        <v>4.2089316311153355E-2</v>
      </c>
      <c r="D30" s="233" t="s">
        <v>841</v>
      </c>
      <c r="F30" s="6"/>
    </row>
    <row r="31" spans="1:18" ht="30">
      <c r="A31" s="228" t="s">
        <v>54</v>
      </c>
      <c r="B31" s="33">
        <f>IF(ISERROR(TER_onderwijs_ele_kWh/1000),0,TER_onderwijs_ele_kWh/1000)</f>
        <v>36.433769482739905</v>
      </c>
      <c r="C31" s="39">
        <f>IF(ISERROR(B31*3.6/1000000/'E Balans VL '!Z11*100),0,B31*3.6/1000000/'E Balans VL '!Z11*100)</f>
        <v>1.1194989679994109E-2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636.72377185107689</v>
      </c>
      <c r="C5" s="17">
        <f>IF(ISERROR('Eigen informatie GS &amp; warmtenet'!B61),0,'Eigen informatie GS &amp; warmtenet'!B61)</f>
        <v>0</v>
      </c>
      <c r="D5" s="30">
        <f>SUM(D6:D15)</f>
        <v>1462.5482645340001</v>
      </c>
      <c r="E5" s="17">
        <f>SUM(E6:E15)</f>
        <v>16.941585211222147</v>
      </c>
      <c r="F5" s="17">
        <f>SUM(F6:F15)</f>
        <v>213.96339739009147</v>
      </c>
      <c r="G5" s="18"/>
      <c r="H5" s="17"/>
      <c r="I5" s="17"/>
      <c r="J5" s="17">
        <f>SUM(J6:J15)</f>
        <v>0.10317046108776633</v>
      </c>
      <c r="K5" s="17"/>
      <c r="L5" s="17"/>
      <c r="M5" s="17"/>
      <c r="N5" s="17">
        <f>SUM(N6:N15)</f>
        <v>20.576696324625637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58.446221851076899</v>
      </c>
      <c r="C8" s="33"/>
      <c r="D8" s="37">
        <f>IF( ISERROR(IND_metaal_Gas_kWH/1000),0,IND_metaal_Gas_kWH/1000)*0.903</f>
        <v>101.82382593600001</v>
      </c>
      <c r="E8" s="33">
        <f>C30*'E Balans VL '!I18/100/3.6*1000000</f>
        <v>0.31859947043522929</v>
      </c>
      <c r="F8" s="33">
        <f>C30*'E Balans VL '!L18/100/3.6*1000000+C30*'E Balans VL '!N18/100/3.6*1000000</f>
        <v>3.7639411514896715</v>
      </c>
      <c r="G8" s="34"/>
      <c r="H8" s="33"/>
      <c r="I8" s="33"/>
      <c r="J8" s="40">
        <f>C30*'E Balans VL '!D18/100/3.6*1000000+C30*'E Balans VL '!E18/100/3.6*1000000</f>
        <v>4.78745848731277E-2</v>
      </c>
      <c r="K8" s="33"/>
      <c r="L8" s="33"/>
      <c r="M8" s="33"/>
      <c r="N8" s="33">
        <f>C30*'E Balans VL '!Y18/100/3.6*1000000</f>
        <v>1.262692002010448</v>
      </c>
      <c r="O8" s="33"/>
      <c r="P8" s="33"/>
      <c r="R8" s="32"/>
    </row>
    <row r="9" spans="1:18">
      <c r="A9" s="6" t="s">
        <v>32</v>
      </c>
      <c r="B9" s="37">
        <f t="shared" si="0"/>
        <v>316.42788100000001</v>
      </c>
      <c r="C9" s="33"/>
      <c r="D9" s="37">
        <f>IF( ISERROR(IND_andere_gas_kWh/1000),0,IND_andere_gas_kWh/1000)*0.903</f>
        <v>862.53894759900004</v>
      </c>
      <c r="E9" s="33">
        <f>C31*'E Balans VL '!I19/100/3.6*1000000</f>
        <v>1.0214830877119534</v>
      </c>
      <c r="F9" s="33">
        <f>C31*'E Balans VL '!L19/100/3.6*1000000+C31*'E Balans VL '!N19/100/3.6*1000000</f>
        <v>204.6047518329004</v>
      </c>
      <c r="G9" s="34"/>
      <c r="H9" s="33"/>
      <c r="I9" s="33"/>
      <c r="J9" s="40">
        <f>C31*'E Balans VL '!D19/100/3.6*1000000+C31*'E Balans VL '!E19/100/3.6*1000000</f>
        <v>0</v>
      </c>
      <c r="K9" s="33"/>
      <c r="L9" s="33"/>
      <c r="M9" s="33"/>
      <c r="N9" s="33">
        <f>C31*'E Balans VL '!Y19/100/3.6*1000000</f>
        <v>12.786485164952577</v>
      </c>
      <c r="O9" s="33"/>
      <c r="P9" s="33"/>
      <c r="R9" s="32"/>
    </row>
    <row r="10" spans="1:18">
      <c r="A10" s="6" t="s">
        <v>40</v>
      </c>
      <c r="B10" s="37">
        <f t="shared" si="0"/>
        <v>155.39726099999999</v>
      </c>
      <c r="C10" s="33"/>
      <c r="D10" s="37">
        <f>IF( ISERROR(IND_voed_gas_kWh/1000),0,IND_voed_gas_kWh/1000)*0.903</f>
        <v>296.841859881</v>
      </c>
      <c r="E10" s="33">
        <f>C32*'E Balans VL '!I20/100/3.6*1000000</f>
        <v>0.32575074281586591</v>
      </c>
      <c r="F10" s="33">
        <f>C32*'E Balans VL '!L20/100/3.6*1000000+C32*'E Balans VL '!N20/100/3.6*1000000</f>
        <v>3.0276756781244401</v>
      </c>
      <c r="G10" s="34"/>
      <c r="H10" s="33"/>
      <c r="I10" s="33"/>
      <c r="J10" s="40">
        <f>C32*'E Balans VL '!D20/100/3.6*1000000+C32*'E Balans VL '!E20/100/3.6*1000000</f>
        <v>0</v>
      </c>
      <c r="K10" s="33"/>
      <c r="L10" s="33"/>
      <c r="M10" s="33"/>
      <c r="N10" s="33">
        <f>C32*'E Balans VL '!Y20/100/3.6*1000000</f>
        <v>6.1812722182317748</v>
      </c>
      <c r="O10" s="33"/>
      <c r="P10" s="33"/>
      <c r="R10" s="32"/>
    </row>
    <row r="11" spans="1:18">
      <c r="A11" s="6" t="s">
        <v>39</v>
      </c>
      <c r="B11" s="37">
        <f t="shared" si="0"/>
        <v>26.097835</v>
      </c>
      <c r="C11" s="33"/>
      <c r="D11" s="37">
        <f>IF( ISERROR(IND_textiel_gas_kWh/1000),0,IND_textiel_gas_kWh/1000)*0.903</f>
        <v>0</v>
      </c>
      <c r="E11" s="33">
        <f>C33*'E Balans VL '!I21/100/3.6*1000000</f>
        <v>2.2425085102190764E-2</v>
      </c>
      <c r="F11" s="33">
        <f>C33*'E Balans VL '!L21/100/3.6*1000000+C33*'E Balans VL '!N21/100/3.6*1000000</f>
        <v>0.54716819725200183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70.170265999999998</v>
      </c>
      <c r="C14" s="33"/>
      <c r="D14" s="37">
        <f>IF( ISERROR(IND_chemie_gas_kWh/1000),0,IND_chemie_gas_kWh/1000)*0.903</f>
        <v>180.02252698499998</v>
      </c>
      <c r="E14" s="33">
        <f>C36*'E Balans VL '!I24/100/3.6*1000000</f>
        <v>14.653751327406956</v>
      </c>
      <c r="F14" s="33">
        <f>C36*'E Balans VL '!L24/100/3.6*1000000+C36*'E Balans VL '!N24/100/3.6*1000000</f>
        <v>0.46620854550971597</v>
      </c>
      <c r="G14" s="34"/>
      <c r="H14" s="33"/>
      <c r="I14" s="33"/>
      <c r="J14" s="40">
        <f>C36*'E Balans VL '!D24/100/3.6*1000000+C36*'E Balans VL '!E24/100/3.6*1000000</f>
        <v>0</v>
      </c>
      <c r="K14" s="33"/>
      <c r="L14" s="33"/>
      <c r="M14" s="33"/>
      <c r="N14" s="33">
        <f>C36*'E Balans VL '!Y24/100/3.6*1000000</f>
        <v>2.4486145391726121E-2</v>
      </c>
      <c r="O14" s="33"/>
      <c r="P14" s="33"/>
      <c r="R14" s="32"/>
    </row>
    <row r="15" spans="1:18">
      <c r="A15" s="6" t="s">
        <v>265</v>
      </c>
      <c r="B15" s="37">
        <f t="shared" si="0"/>
        <v>10.184307</v>
      </c>
      <c r="C15" s="33"/>
      <c r="D15" s="37">
        <f>IF( ISERROR(IND_rest_gas_kWh/1000),0,IND_rest_gas_kWh/1000)*0.903</f>
        <v>21.321104133000002</v>
      </c>
      <c r="E15" s="33">
        <f>C37*'E Balans VL '!I15/100/3.6*1000000</f>
        <v>0.59957549774995411</v>
      </c>
      <c r="F15" s="33">
        <f>C37*'E Balans VL '!L15/100/3.6*1000000+C37*'E Balans VL '!N15/100/3.6*1000000</f>
        <v>1.5536519848152519</v>
      </c>
      <c r="G15" s="34"/>
      <c r="H15" s="33"/>
      <c r="I15" s="33"/>
      <c r="J15" s="40">
        <f>C37*'E Balans VL '!D15/100/3.6*1000000+C37*'E Balans VL '!E15/100/3.6*1000000</f>
        <v>5.5295876214638627E-2</v>
      </c>
      <c r="K15" s="33"/>
      <c r="L15" s="33"/>
      <c r="M15" s="33"/>
      <c r="N15" s="33">
        <f>C37*'E Balans VL '!Y15/100/3.6*1000000</f>
        <v>0.32176079403911201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636.72377185107689</v>
      </c>
      <c r="C18" s="21">
        <f>C5+C16</f>
        <v>0</v>
      </c>
      <c r="D18" s="21">
        <f>MAX((D5+D16),0)</f>
        <v>1462.5482645340001</v>
      </c>
      <c r="E18" s="21">
        <f>MAX((E5+E16),0)</f>
        <v>16.941585211222147</v>
      </c>
      <c r="F18" s="21">
        <f>MAX((F5+F16),0)</f>
        <v>213.96339739009147</v>
      </c>
      <c r="G18" s="21"/>
      <c r="H18" s="21"/>
      <c r="I18" s="21"/>
      <c r="J18" s="21">
        <f>MAX((J5+J16),0)</f>
        <v>0.10317046108776633</v>
      </c>
      <c r="K18" s="21"/>
      <c r="L18" s="21">
        <f>MAX((L5+L16),0)</f>
        <v>0</v>
      </c>
      <c r="M18" s="21"/>
      <c r="N18" s="21">
        <f>MAX((N5+N16),0)</f>
        <v>20.576696324625637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0.18506274632728531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117.83384987062813</v>
      </c>
      <c r="C22" s="23">
        <f ca="1">C18*C20</f>
        <v>0</v>
      </c>
      <c r="D22" s="23">
        <f>D18*D20</f>
        <v>295.43474943586801</v>
      </c>
      <c r="E22" s="23">
        <f>E18*E20</f>
        <v>3.8457398429474274</v>
      </c>
      <c r="F22" s="23">
        <f>F18*F20</f>
        <v>57.12822710315443</v>
      </c>
      <c r="G22" s="23"/>
      <c r="H22" s="23"/>
      <c r="I22" s="23"/>
      <c r="J22" s="23">
        <f>J18*J20</f>
        <v>3.6522343225069274E-2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58.446221851076899</v>
      </c>
      <c r="C30" s="39">
        <f>IF(ISERROR(B30*3.6/1000000/'E Balans VL '!Z18*100),0,B30*3.6/1000000/'E Balans VL '!Z18*100)</f>
        <v>3.5194712179550803E-3</v>
      </c>
      <c r="D30" s="233" t="s">
        <v>841</v>
      </c>
    </row>
    <row r="31" spans="1:18" ht="30">
      <c r="A31" s="6" t="s">
        <v>32</v>
      </c>
      <c r="B31" s="37">
        <f>IF( ISERROR(IND_ander_ele_kWh/1000),0,IND_ander_ele_kWh/1000)</f>
        <v>316.42788100000001</v>
      </c>
      <c r="C31" s="39">
        <f>IF(ISERROR(B31*3.6/1000000/'E Balans VL '!Z19*100),0,B31*3.6/1000000/'E Balans VL '!Z19*100)</f>
        <v>1.2891926953041238E-2</v>
      </c>
      <c r="D31" s="233" t="s">
        <v>841</v>
      </c>
    </row>
    <row r="32" spans="1:18" ht="30">
      <c r="A32" s="168" t="s">
        <v>40</v>
      </c>
      <c r="B32" s="37">
        <f>IF( ISERROR(IND_voed_ele_kWh/1000),0,IND_voed_ele_kWh/1000)</f>
        <v>155.39726099999999</v>
      </c>
      <c r="C32" s="39">
        <f>IF(ISERROR(B32*3.6/1000000/'E Balans VL '!Z20*100),0,B32*3.6/1000000/'E Balans VL '!Z20*100)</f>
        <v>4.4931601808172938E-3</v>
      </c>
      <c r="D32" s="233" t="s">
        <v>841</v>
      </c>
    </row>
    <row r="33" spans="1:5" ht="30">
      <c r="A33" s="168" t="s">
        <v>39</v>
      </c>
      <c r="B33" s="37">
        <f>IF( ISERROR(IND_textiel_ele_kWh/1000),0,IND_textiel_ele_kWh/1000)</f>
        <v>26.097835</v>
      </c>
      <c r="C33" s="39">
        <f>IF(ISERROR(B33*3.6/1000000/'E Balans VL '!Z21*100),0,B33*3.6/1000000/'E Balans VL '!Z21*100)</f>
        <v>4.2918823162087592E-3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70.170265999999998</v>
      </c>
      <c r="C36" s="39">
        <f>IF(ISERROR(B36*3.6/1000000/'E Balans VL '!Z24*100),0,B36*3.6/1000000/'E Balans VL '!Z24*100)</f>
        <v>2.1292300340631527E-3</v>
      </c>
      <c r="D36" s="233" t="s">
        <v>841</v>
      </c>
    </row>
    <row r="37" spans="1:5" ht="30">
      <c r="A37" s="168" t="s">
        <v>265</v>
      </c>
      <c r="B37" s="37">
        <f>IF( ISERROR(IND_rest_ele_kWh/1000),0,IND_rest_ele_kWh/1000)</f>
        <v>10.184307</v>
      </c>
      <c r="C37" s="39">
        <f>IF(ISERROR(B37*3.6/1000000/'E Balans VL '!Z15*100),0,B37*3.6/1000000/'E Balans VL '!Z15*100)</f>
        <v>8.3620874283809698E-5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294.479218</v>
      </c>
      <c r="C5" s="17">
        <f>'Eigen informatie GS &amp; warmtenet'!B62</f>
        <v>0</v>
      </c>
      <c r="D5" s="30">
        <f>IF(ISERROR(SUM(LB_lb_gas_kWh,LB_rest_gas_kWh)/1000),0,SUM(LB_lb_gas_kWh,LB_rest_gas_kWh)/1000)*0.903</f>
        <v>88.00051230599999</v>
      </c>
      <c r="E5" s="17">
        <f>B17*'E Balans VL '!I25/3.6*1000000/100</f>
        <v>8.4343831535945153</v>
      </c>
      <c r="F5" s="17">
        <f>B17*('E Balans VL '!L25/3.6*1000000+'E Balans VL '!N25/3.6*1000000)/100</f>
        <v>932.16908717403248</v>
      </c>
      <c r="G5" s="18"/>
      <c r="H5" s="17"/>
      <c r="I5" s="17"/>
      <c r="J5" s="17">
        <f>('E Balans VL '!D25+'E Balans VL '!E25)/3.6*1000000*landbouw!B17/100</f>
        <v>74.876817785561414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294.479218</v>
      </c>
      <c r="C8" s="21">
        <f>C5+C6</f>
        <v>0</v>
      </c>
      <c r="D8" s="21">
        <f>MAX((D5+D6),0)</f>
        <v>88.00051230599999</v>
      </c>
      <c r="E8" s="21">
        <f>MAX((E5+E6),0)</f>
        <v>8.4343831535945153</v>
      </c>
      <c r="F8" s="21">
        <f>MAX((F5+F6),0)</f>
        <v>932.16908717403248</v>
      </c>
      <c r="G8" s="21"/>
      <c r="H8" s="21"/>
      <c r="I8" s="21"/>
      <c r="J8" s="21">
        <f>MAX((J5+J6),0)</f>
        <v>74.876817785561414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0.18506274632728531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54.497132819391354</v>
      </c>
      <c r="C12" s="23">
        <f ca="1">C8*C10</f>
        <v>0</v>
      </c>
      <c r="D12" s="23">
        <f>D8*D10</f>
        <v>17.776103485811998</v>
      </c>
      <c r="E12" s="23">
        <f>E8*E10</f>
        <v>1.9146049758659551</v>
      </c>
      <c r="F12" s="23">
        <f>F8*F10</f>
        <v>248.88914627546669</v>
      </c>
      <c r="G12" s="23"/>
      <c r="H12" s="23"/>
      <c r="I12" s="23"/>
      <c r="J12" s="23">
        <f>J8*J10</f>
        <v>26.506393496088741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4.0778691284772198E-2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13.536630693653711</v>
      </c>
      <c r="C26" s="243">
        <f>B26*'GWP N2O_CH4'!B5</f>
        <v>284.26924456672793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12.124955792942872</v>
      </c>
      <c r="C27" s="243">
        <f>B27*'GWP N2O_CH4'!B5</f>
        <v>254.62407165180031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1.4947500962381932</v>
      </c>
      <c r="C28" s="243">
        <f>B28*'GWP N2O_CH4'!B4</f>
        <v>463.37252983383991</v>
      </c>
      <c r="D28" s="50"/>
    </row>
    <row r="29" spans="1:4">
      <c r="A29" s="41" t="s">
        <v>272</v>
      </c>
      <c r="B29" s="243">
        <f>B34*'ha_N2O bodem landbouw'!B4</f>
        <v>1.1062763899788974</v>
      </c>
      <c r="C29" s="243">
        <f>B29*'GWP N2O_CH4'!B4</f>
        <v>342.94568089345819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2.5132619646744974E-4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5.9051332336363847E-4</v>
      </c>
      <c r="C5" s="434" t="s">
        <v>210</v>
      </c>
      <c r="D5" s="419">
        <f>SUM(D6:D11)</f>
        <v>9.6946214276367646E-4</v>
      </c>
      <c r="E5" s="419">
        <f>SUM(E6:E11)</f>
        <v>4.2195296848187821E-4</v>
      </c>
      <c r="F5" s="432" t="s">
        <v>210</v>
      </c>
      <c r="G5" s="419">
        <f>SUM(G6:G11)</f>
        <v>0.23252920728390994</v>
      </c>
      <c r="H5" s="419">
        <f>SUM(H6:H11)</f>
        <v>4.8606283361499927E-2</v>
      </c>
      <c r="I5" s="434" t="s">
        <v>210</v>
      </c>
      <c r="J5" s="434" t="s">
        <v>210</v>
      </c>
      <c r="K5" s="434" t="s">
        <v>210</v>
      </c>
      <c r="L5" s="434" t="s">
        <v>210</v>
      </c>
      <c r="M5" s="419">
        <f>SUM(M6:M11)</f>
        <v>1.6797163524060008E-2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1.2146259622217825E-4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2.0251291873600415E-4</v>
      </c>
      <c r="E6" s="886">
        <f>vkm_GW_PW*SUMIFS(TableVerdeelsleutelVkm[LPG],TableVerdeelsleutelVkm[Voertuigtype],"Lichte voertuigen")*SUMIFS(TableECFTransport[EnergieConsumptieFactor (PJ per km)],TableECFTransport[Index],CONCATENATE($A6,"_LPG_LPG"))</f>
        <v>8.028813563687562E-5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2.4128601632194366E-2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9.9315879822680399E-3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2.0894921863243683E-3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3.4586821443875914E-7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1.3710434024799925E-2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1.0116315792023787E-7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7.8722993538308302E-4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1.2281437713342514E-4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2.8044088497687202E-4</v>
      </c>
      <c r="E8" s="422">
        <f>vkm_NGW_PW*SUMIFS(TableVerdeelsleutelVkm[LPG],TableVerdeelsleutelVkm[Voertuigtype],"Lichte voertuigen")*SUMIFS(TableECFTransport[EnergieConsumptieFactor (PJ per km)],TableECFTransport[Index],CONCATENATE($A8,"_LPG_LPG"))</f>
        <v>1.0645680373876887E-4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2.9305437611647663E-2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1.3624894162553398E-2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2.6485646617521764E-3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2.6824607824429424E-8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1.3693376611899927E-3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9.4702523921914224E-9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7.8625007848891635E-5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3.4318607711110449E-4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4.8650833905080032E-4</v>
      </c>
      <c r="E10" s="422">
        <f>vkm_SW_PW*SUMIFS(TableVerdeelsleutelVkm[LPG],TableVerdeelsleutelVkm[Voertuigtype],"Lichte voertuigen")*SUMIFS(TableECFTransport[EnergieConsumptieFactor (PJ per km)],TableECFTransport[Index],CONCATENATE($A10,"_LPG_LPG"))</f>
        <v>2.3520802910623371E-4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6.412876054380745E-2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2.504888449122759E-2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5.4579251304116951E-3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2.6775800746673721E-6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9.9886635810270546E-2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8.0609204059065558E-7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5.7353266023397942E-3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164.03147871212181</v>
      </c>
      <c r="C14" s="21"/>
      <c r="D14" s="21">
        <f t="shared" ref="D14:M14" si="0">((D5)*10^9/3600)+D12</f>
        <v>269.29503965657682</v>
      </c>
      <c r="E14" s="21">
        <f t="shared" si="0"/>
        <v>117.20915791163284</v>
      </c>
      <c r="F14" s="21"/>
      <c r="G14" s="21">
        <f t="shared" si="0"/>
        <v>64591.446467752765</v>
      </c>
      <c r="H14" s="21">
        <f t="shared" si="0"/>
        <v>13501.745378194424</v>
      </c>
      <c r="I14" s="21"/>
      <c r="J14" s="21"/>
      <c r="K14" s="21"/>
      <c r="L14" s="21"/>
      <c r="M14" s="21">
        <f t="shared" si="0"/>
        <v>4665.8787566833353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0.18506274632728531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30.3561159345909</v>
      </c>
      <c r="C18" s="23"/>
      <c r="D18" s="23">
        <f t="shared" ref="D18:M18" si="1">D14*D16</f>
        <v>54.397598010628521</v>
      </c>
      <c r="E18" s="23">
        <f t="shared" si="1"/>
        <v>26.606478845940657</v>
      </c>
      <c r="F18" s="23"/>
      <c r="G18" s="23">
        <f t="shared" si="1"/>
        <v>17245.91620688999</v>
      </c>
      <c r="H18" s="23">
        <f t="shared" si="1"/>
        <v>3361.9345991704117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6.3398152473142177E-5</v>
      </c>
      <c r="C50" s="315">
        <f t="shared" ref="C50:P50" si="2">SUM(C51:C52)</f>
        <v>0</v>
      </c>
      <c r="D50" s="315">
        <f t="shared" si="2"/>
        <v>0</v>
      </c>
      <c r="E50" s="315">
        <f t="shared" si="2"/>
        <v>0</v>
      </c>
      <c r="F50" s="315">
        <f t="shared" si="2"/>
        <v>0</v>
      </c>
      <c r="G50" s="315">
        <f t="shared" si="2"/>
        <v>3.9689160108572121E-3</v>
      </c>
      <c r="H50" s="315">
        <f t="shared" si="2"/>
        <v>0</v>
      </c>
      <c r="I50" s="315">
        <f t="shared" si="2"/>
        <v>0</v>
      </c>
      <c r="J50" s="315">
        <f t="shared" si="2"/>
        <v>0</v>
      </c>
      <c r="K50" s="315">
        <f t="shared" si="2"/>
        <v>0</v>
      </c>
      <c r="L50" s="315">
        <f t="shared" si="2"/>
        <v>0</v>
      </c>
      <c r="M50" s="315">
        <f t="shared" si="2"/>
        <v>2.278863692392372E-4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6.3398152473142177E-5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3.9689160108572121E-3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2.278863692392372E-4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17.61059790920616</v>
      </c>
      <c r="C54" s="21">
        <f t="shared" ref="C54:P54" si="3">(C50)*10^9/3600</f>
        <v>0</v>
      </c>
      <c r="D54" s="21">
        <f t="shared" si="3"/>
        <v>0</v>
      </c>
      <c r="E54" s="21">
        <f t="shared" si="3"/>
        <v>0</v>
      </c>
      <c r="F54" s="21">
        <f t="shared" si="3"/>
        <v>0</v>
      </c>
      <c r="G54" s="21">
        <f t="shared" si="3"/>
        <v>1102.4766696825588</v>
      </c>
      <c r="H54" s="21">
        <f t="shared" si="3"/>
        <v>0</v>
      </c>
      <c r="I54" s="21">
        <f t="shared" si="3"/>
        <v>0</v>
      </c>
      <c r="J54" s="21">
        <f t="shared" si="3"/>
        <v>0</v>
      </c>
      <c r="K54" s="21">
        <f t="shared" si="3"/>
        <v>0</v>
      </c>
      <c r="L54" s="21">
        <f t="shared" si="3"/>
        <v>0</v>
      </c>
      <c r="M54" s="21">
        <f t="shared" si="3"/>
        <v>63.301769233121441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0.18506274632728531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3.2590656135432408</v>
      </c>
      <c r="C58" s="23">
        <f t="shared" ref="C58:P58" ca="1" si="4">C54*C56</f>
        <v>0</v>
      </c>
      <c r="D58" s="23">
        <f t="shared" si="4"/>
        <v>0</v>
      </c>
      <c r="E58" s="23">
        <f t="shared" si="4"/>
        <v>0</v>
      </c>
      <c r="F58" s="23">
        <f t="shared" si="4"/>
        <v>0</v>
      </c>
      <c r="G58" s="23">
        <f t="shared" si="4"/>
        <v>294.36127080524324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4239.7910603187929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4239.7910603187929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2021-06-29T14:13:41Z</dcterms:modified>
</cp:coreProperties>
</file>