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17" i="19"/>
  <c r="C19" i="19" s="1"/>
  <c r="D39"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<sst xmlns="http://schemas.openxmlformats.org/spreadsheetml/2006/main" count="2446" uniqueCount="885">
  <si>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</si>
  <si>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</si>
  <si>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</si>
  <si>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</si>
  <si>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</si>
  <si>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</si>
  <si>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</si>
  <si>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</si>
  <si>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</si>
  <si>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</si>
  <si>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</si>
  <si>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</si>
  <si>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</si>
  <si>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</si>
  <si>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</si>
  <si>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</si>
  <si>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</si>
  <si>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</si>
  <si>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</si>
  <si>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</si>
  <si>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</si>
  <si>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</si>
  <si>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</si>
  <si>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</si>
  <si>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</si>
  <si>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</si>
  <si>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</si>
  <si>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</si>
  <si>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</si>
  <si>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</si>
  <si>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</si>
  <si>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</si>
  <si>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</si>
  <si>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</si>
  <si>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</si>
  <si>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</si>
  <si>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</si>
  <si>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</si>
  <si>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</si>
  <si>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</si>
  <si>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</si>
  <si>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</si>
  <si>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</si>
  <si>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</si>
  <si>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</si>
  <si>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</si>
  <si>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</si>
  <si>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</si>
  <si>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</si>
  <si>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</si>
  <si>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</si>
  <si>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</si>
  <si>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</si>
  <si>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</si>
  <si>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</si>
  <si>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</si>
  <si>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</si>
  <si>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</si>
  <si>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</si>
  <si>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</si>
  <si>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</si>
  <si>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</si>
  <si>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</si>
  <si>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</si>
  <si>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</si>
  <si>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</si>
  <si>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</si>
  <si>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</si>
  <si>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</si>
  <si>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</si>
  <si>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</si>
  <si>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</si>
  <si>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</si>
  <si>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</si>
  <si>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</si>
  <si>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</si>
  <si>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</si>
  <si>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</si>
  <si>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</si>
  <si>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</si>
  <si>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</si>
  <si>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</si>
  <si>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</si>
  <si>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</si>
  <si>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</si>
  <si>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</si>
  <si>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</si>
  <si>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</si>
  <si>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</si>
  <si>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</si>
  <si>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</si>
  <si>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</si>
  <si>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</si>
  <si>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</si>
  <si>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</si>
  <si>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</si>
  <si>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</si>
  <si>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</si>
  <si>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</si>
  <si>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</si>
  <si>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</si>
  <si>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</si>
  <si>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</si>
  <si>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</si>
  <si>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</si>
  <si>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</si>
  <si>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</si>
  <si>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</si>
  <si>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</si>
  <si>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</si>
  <si>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</si>
  <si>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</si>
  <si>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</si>
  <si>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</si>
  <si>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</si>
  <si>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</si>
  <si>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</si>
  <si>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</si>
  <si>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</si>
  <si>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</si>
  <si>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</si>
  <si>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</si>
  <si>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</si>
  <si>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</si>
  <si>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</si>
  <si>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</si>
  <si>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</si>
  <si>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</si>
  <si>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</si>
  <si>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</si>
  <si>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</si>
  <si>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</si>
  <si>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</si>
  <si>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</si>
  <si>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</si>
  <si>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</si>
  <si>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</si>
  <si>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</si>
  <si>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</si>
  <si>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</si>
  <si>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</si>
  <si>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</si>
  <si>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</si>
  <si>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</si>
  <si>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</si>
  <si>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</si>
  <si>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</si>
  <si>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</si>
  <si>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</si>
  <si>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</si>
  <si>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</si>
  <si>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</si>
  <si>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</si>
  <si>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</si>
  <si>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</si>
  <si>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</si>
  <si>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</si>
  <si>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</si>
  <si>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</si>
  <si>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</si>
  <si>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</si>
  <si>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</si>
  <si>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</si>
  <si>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</si>
  <si>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</si>
  <si>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</si>
  <si>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</si>
  <si>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</si>
  <si>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</si>
  <si>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</si>
  <si>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</si>
  <si>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</si>
  <si>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</si>
  <si>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</si>
  <si>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</si>
  <si>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</si>
  <si>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</si>
  <si>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</si>
  <si>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</si>
  <si>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</si>
  <si>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</si>
  <si>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</si>
  <si>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</si>
  <si>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</si>
  <si>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</si>
  <si>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</si>
  <si>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</si>
  <si>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</si>
  <si>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</si>
  <si>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</si>
  <si>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</si>
  <si>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</si>
  <si>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</si>
  <si>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</si>
  <si>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</si>
  <si>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</si>
  <si>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</si>
  <si>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</si>
  <si>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</si>
  <si>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</si>
  <si>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</si>
  <si>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</si>
  <si>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</si>
  <si>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</si>
  <si>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</si>
  <si>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</si>
  <si>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</si>
  <si>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</si>
  <si>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</si>
  <si>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</si>
  <si>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</si>
  <si>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</si>
  <si>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</si>
  <si>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</si>
  <si>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</si>
  <si>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</si>
  <si>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</si>
  <si>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</si>
  <si>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</si>
  <si>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</si>
  <si>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</si>
  <si>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</si>
  <si>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</si>
  <si>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</si>
  <si>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</si>
  <si>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</si>
  <si>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</si>
  <si>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</si>
  <si>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</si>
  <si>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</si>
  <si>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</si>
  <si>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</si>
  <si>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</si>
  <si>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</si>
  <si>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</si>
  <si>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</si>
  <si>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</si>
  <si>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</si>
  <si>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</si>
  <si>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</si>
  <si>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</si>
  <si>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</si>
  <si>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</si>
  <si>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</si>
  <si>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</si>
  <si>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</si>
  <si>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</si>
  <si>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</si>
  <si>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</si>
  <si>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</si>
  <si>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</si>
  <si>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</si>
  <si>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</si>
  <si>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</si>
  <si>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</si>
  <si>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</si>
  <si>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</si>
  <si>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</si>
  <si>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</si>
  <si>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</si>
  <si>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</si>
  <si>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</si>
  <si>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</si>
  <si>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</si>
  <si>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</si>
  <si>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</si>
  <si>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</si>
  <si>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</si>
  <si>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</si>
  <si>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</si>
  <si>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</si>
  <si>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</si>
  <si>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</si>
  <si>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</si>
  <si>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</si>
  <si>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</si>
  <si>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</si>
  <si>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</si>
  <si>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</si>
  <si>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</si>
  <si>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</si>
  <si>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</si>
  <si>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</si>
  <si>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</si>
  <si>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</si>
  <si>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</si>
  <si>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</si>
  <si>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</si>
  <si>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</si>
  <si>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</si>
  <si>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</si>
  <si>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</si>
  <si>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</si>
  <si>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</si>
  <si>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</si>
  <si>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</si>
  <si>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</si>
  <si>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</si>
  <si>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</si>
  <si>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</si>
  <si>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</si>
  <si>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</si>
  <si>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</si>
  <si>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</si>
  <si>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</si>
  <si>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</si>
  <si>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</si>
  <si>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</si>
  <si>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</si>
  <si>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</si>
  <si>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</si>
  <si>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</si>
  <si>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</si>
  <si>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</si>
  <si>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</si>
  <si>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</si>
  <si>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</si>
  <si>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</si>
  <si>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</si>
  <si>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</si>
  <si>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</si>
  <si>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</si>
  <si>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</si>
  <si>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</si>
  <si>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</si>
  <si>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</si>
  <si>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</si>
  <si>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</si>
  <si>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</si>
  <si>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</si>
  <si>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</si>
  <si>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</si>
  <si>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</si>
  <si>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</si>
  <si>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</si>
  <si>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</si>
  <si>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</si>
  <si>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</si>
  <si>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</si>
  <si>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</si>
  <si>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</si>
  <si>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</si>
  <si>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</si>
  <si>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</si>
  <si>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</si>
  <si>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</si>
  <si>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</si>
  <si>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</si>
  <si>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</si>
  <si>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</si>
  <si>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</si>
  <si>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</si>
  <si>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</si>
  <si>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</si>
  <si>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</si>
  <si>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</si>
  <si>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</si>
  <si>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</si>
  <si>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</si>
  <si>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</si>
  <si>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</si>
  <si>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</si>
  <si>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</si>
  <si>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</si>
  <si>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</si>
  <si>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</si>
  <si>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</si>
  <si>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</si>
  <si>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</si>
  <si>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</si>
  <si>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</si>
  <si>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</si>
  <si>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</si>
  <si>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</si>
  <si>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</si>
  <si>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</si>
  <si>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</si>
  <si>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</si>
  <si>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</si>
  <si>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</si>
  <si>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</si>
  <si>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</si>
  <si>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</si>
  <si>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</si>
  <si>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</si>
  <si>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</si>
  <si>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</si>
  <si>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</si>
  <si>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</si>
  <si>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</si>
  <si>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</si>
  <si>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</si>
  <si>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</si>
  <si>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</si>
  <si>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</si>
  <si>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</si>
  <si>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</si>
  <si>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</si>
  <si>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</si>
  <si>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</si>
  <si>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</si>
  <si>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</si>
  <si>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</si>
  <si>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</si>
  <si>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</si>
  <si>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</si>
  <si>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</si>
  <si>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</si>
  <si>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</si>
  <si>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</si>
  <si>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</si>
  <si>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</si>
  <si>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</si>
  <si>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</si>
  <si>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</si>
  <si>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</si>
  <si>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</si>
  <si>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</si>
  <si>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</si>
  <si>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</si>
  <si>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</si>
  <si>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</si>
  <si>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</si>
  <si>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</si>
  <si>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</si>
  <si>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</si>
  <si>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</si>
  <si>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</si>
  <si>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</si>
  <si>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</si>
  <si>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</si>
  <si>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</si>
  <si>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</si>
  <si>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</si>
  <si>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</si>
  <si>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</si>
  <si>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</si>
  <si>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</si>
  <si>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</si>
  <si>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</si>
  <si>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</si>
  <si>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</si>
  <si>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</si>
  <si>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</si>
  <si>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</si>
  <si>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</si>
  <si>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</si>
  <si>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</si>
  <si>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</si>
  <si>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</si>
  <si>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</si>
  <si>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</si>
  <si>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</si>
  <si>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</si>
  <si>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</si>
  <si>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</si>
  <si>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</si>
  <si>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</si>
  <si>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</si>
  <si>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</si>
  <si>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</si>
  <si>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</si>
  <si>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</si>
  <si>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</si>
  <si>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</si>
  <si>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</si>
  <si>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</si>
  <si>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</si>
  <si>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</si>
  <si>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</si>
  <si>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</si>
  <si>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</si>
  <si>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</si>
  <si>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</si>
  <si>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</si>
  <si>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</si>
  <si>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</si>
  <si>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</si>
  <si>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</si>
  <si>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</si>
  <si>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</si>
  <si>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</si>
  <si>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</si>
  <si>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</si>
  <si>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</si>
  <si>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</si>
  <si>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</si>
  <si>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</si>
  <si>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</si>
  <si>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</si>
  <si>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</si>
  <si>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</si>
  <si>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</si>
  <si>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</si>
  <si>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</si>
  <si>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</si>
  <si>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</si>
  <si>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</si>
  <si>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</si>
  <si>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</si>
  <si>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</si>
  <si>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</si>
  <si>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</si>
  <si>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</si>
  <si>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</si>
  <si>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</si>
  <si>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</si>
  <si>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</si>
  <si>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</si>
  <si>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</si>
  <si>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</si>
  <si>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</si>
  <si>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</si>
  <si>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</si>
  <si>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</si>
  <si>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</si>
  <si>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</si>
  <si>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</si>
  <si>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</si>
  <si>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</si>
  <si>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</si>
  <si>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</si>
  <si>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</si>
  <si>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</si>
  <si>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</si>
  <si>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</si>
  <si>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</si>
  <si>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</si>
  <si>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</si>
  <si>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</si>
  <si>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</si>
  <si>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</si>
  <si>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</si>
  <si>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</si>
  <si>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</si>
  <si>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</si>
  <si>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</si>
  <si>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</si>
  <si>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</si>
  <si>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</si>
  <si>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</si>
  <si>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</si>
  <si>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</si>
  <si>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</si>
  <si>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</si>
  <si>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</si>
  <si>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</si>
  <si>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</si>
  <si>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</si>
  <si>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</si>
  <si>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</si>
  <si>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</si>
  <si>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</si>
  <si>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</si>
  <si>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</si>
  <si>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</si>
  <si>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</si>
  <si>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</si>
  <si>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</si>
  <si>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</si>
  <si>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</si>
  <si>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</si>
  <si>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</si>
  <si>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</si>
  <si>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</si>
  <si>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</si>
  <si>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</si>
  <si>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</si>
  <si>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</si>
  <si>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</si>
  <si>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</si>
  <si>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</si>
  <si>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</si>
  <si>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</si>
  <si>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</si>
  <si>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</si>
  <si>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</si>
  <si>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</si>
  <si>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</si>
  <si>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</si>
  <si>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</si>
  <si>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</si>
  <si>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</si>
  <si>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</si>
  <si>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</si>
  <si>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</si>
  <si>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</si>
  <si>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</si>
  <si>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</si>
  <si>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</si>
  <si>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</si>
  <si>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</si>
  <si>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</si>
  <si>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</si>
  <si>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</si>
  <si>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</si>
  <si>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</si>
  <si>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</si>
  <si>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</si>
  <si>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</si>
  <si>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</si>
  <si>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</si>
  <si>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</si>
  <si>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</si>
  <si>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</si>
  <si>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</si>
  <si>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</si>
  <si>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</si>
  <si>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</si>
  <si>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</si>
  <si>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</si>
  <si>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</si>
  <si>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</si>
  <si>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</si>
  <si>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</si>
  <si>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</si>
  <si>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</si>
  <si>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</si>
  <si>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</si>
  <si>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</si>
  <si>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</si>
  <si>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</si>
  <si>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</si>
  <si>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</si>
  <si>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</si>
  <si>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</si>
  <si>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</si>
  <si>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</si>
  <si>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</si>
  <si>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</si>
  <si>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</si>
  <si>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</si>
  <si>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</si>
  <si>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</si>
  <si>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</si>
  <si>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</si>
  <si>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</si>
  <si>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</si>
  <si>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</si>
  <si>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</si>
  <si>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</si>
  <si>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</si>
  <si>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</si>
  <si>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</si>
  <si>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</si>
  <si>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</si>
  <si>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</si>
  <si>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</si>
  <si>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</si>
  <si>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</si>
  <si>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</si>
  <si>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</si>
  <si>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</si>
  <si>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</si>
  <si>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</si>
  <si>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</si>
  <si>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</si>
  <si>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</si>
  <si>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</si>
  <si>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</si>
  <si>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</si>
  <si>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</si>
  <si>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</si>
  <si>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</si>
  <si>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</si>
  <si>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</si>
  <si>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</si>
  <si>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</si>
  <si>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</si>
  <si>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</si>
  <si>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</si>
  <si>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</si>
  <si>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</si>
  <si>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</si>
  <si>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</si>
  <si>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</si>
  <si>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</si>
  <si>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</si>
  <si>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</si>
  <si>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</si>
  <si>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</si>
  <si>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</si>
  <si>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</si>
  <si>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</si>
  <si>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</si>
  <si>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</si>
  <si>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</si>
  <si>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</si>
  <si>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</si>
  <si>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</si>
  <si>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</si>
  <si>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</si>
  <si>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</si>
  <si>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</si>
  <si>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</si>
  <si>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</si>
  <si>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</si>
  <si>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</si>
  <si>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</si>
  <si>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</si>
  <si>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</si>
  <si>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</si>
  <si>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</si>
  <si>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</si>
  <si>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</si>
  <si>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</si>
  <si>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</si>
  <si>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</si>
  <si>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</si>
  <si>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</si>
  <si>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</si>
  <si>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</si>
  <si>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</si>
  <si>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</si>
  <si>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</si>
  <si>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</si>
  <si>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</si>
  <si>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</si>
  <si>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</si>
  <si>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</si>
  <si>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</si>
  <si>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</si>
  <si>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</si>
  <si>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</si>
  <si>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</si>
  <si>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</si>
  <si>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</si>
  <si>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</si>
  <si>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</si>
  <si>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</si>
  <si>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</si>
  <si>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</si>
  <si>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</si>
  <si>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</si>
  <si>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</si>
  <si>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</si>
  <si>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</si>
  <si>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</si>
  <si>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</si>
  <si>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</si>
  <si>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</si>
  <si>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</si>
  <si>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</si>
  <si>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</si>
  <si>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</si>
  <si>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</si>
  <si>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</si>
  <si>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</si>
  <si>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</si>
  <si>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</si>
  <si>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</si>
  <si>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</si>
  <si>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</si>
  <si>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</si>
  <si>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</si>
  <si>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</si>
  <si>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</si>
  <si>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</si>
  <si>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</si>
  <si>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</si>
  <si>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</si>
  <si>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</si>
  <si>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</si>
  <si>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</si>
  <si>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</si>
  <si>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</si>
  <si>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</si>
  <si>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</si>
  <si>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</si>
  <si>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</si>
  <si>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</si>
  <si>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</si>
  <si>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</si>
  <si>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</si>
  <si>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</si>
  <si>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</si>
  <si>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</si>
  <si>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</si>
  <si>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</si>
  <si>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</si>
  <si>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</si>
  <si>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</si>
  <si>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</si>
  <si>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</si>
  <si>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</si>
  <si>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</si>
  <si>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</si>
  <si>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</si>
  <si>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</si>
  <si>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</si>
  <si>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</si>
  <si>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</si>
  <si>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</si>
  <si>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</si>
  <si>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</si>
  <si>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</si>
  <si>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</si>
  <si>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</si>
  <si>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</si>
  <si>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</si>
  <si>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</si>
  <si>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</si>
  <si>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</si>
  <si>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</si>
  <si>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</si>
  <si>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</si>
  <si>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</si>
  <si>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</si>
  <si>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</si>
  <si>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</si>
  <si>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</si>
  <si>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</si>
  <si>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</si>
  <si>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</si>
  <si>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</si>
  <si>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</si>
  <si>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</si>
  <si>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</si>
  <si>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</si>
  <si>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</si>
  <si>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</si>
  <si>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</si>
  <si>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</si>
  <si>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</si>
  <si>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</si>
  <si>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</si>
  <si>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</si>
  <si>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</si>
  <si>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</si>
  <si>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</si>
  <si>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</si>
  <si>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</si>
  <si>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</si>
  <si>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</si>
  <si>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</si>
  <si>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</si>
  <si>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</si>
  <si>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</si>
  <si>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</si>
  <si>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</si>
  <si>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</si>
  <si>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</si>
  <si>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</si>
  <si>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</si>
  <si>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</si>
  <si>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</si>
  <si>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</si>
  <si>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</si>
  <si>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</si>
  <si>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</si>
  <si>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</si>
  <si>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</si>
  <si>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</si>
  <si>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</si>
  <si>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</si>
  <si>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</si>
  <si>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</si>
  <si>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</si>
  <si>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</si>
  <si>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</si>
  <si>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</si>
  <si>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</si>
  <si>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</si>
  <si>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</si>
  <si>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</si>
  <si>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</si>
  <si>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</si>
  <si>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</si>
  <si>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</si>
  <si>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</si>
  <si>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13031</t>
  </si>
  <si>
    <t>OUD-TURNHOUT</t>
  </si>
  <si>
    <t>referentietaak LNE (2017); Jaarverslag De Lijn</t>
  </si>
  <si>
    <t>waterkracht</t>
  </si>
  <si>
    <t>Benteltom bvba</t>
  </si>
  <si>
    <t>Beyntel 3 , 2360 Oud-Turnhout</t>
  </si>
  <si>
    <t>WKK-0316 Benteltom</t>
  </si>
  <si>
    <t>interne verbrandingsmotor</t>
  </si>
  <si>
    <t>WKK interne verbrandinsgmotor (gas)</t>
  </si>
  <si>
    <t>IVEKA</t>
  </si>
  <si>
    <t>Smeedeshof</t>
  </si>
  <si>
    <t>WKK-1099</t>
  </si>
  <si>
    <t>Interne verbrandingsmotor</t>
  </si>
  <si>
    <t>Oude Arendonksebaan 38</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</si>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</sst>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126111.82825924491</c:v>
                </c:pt>
                <c:pt idx="1">
                  <c:v>36483.432123458631</c:v>
                </c:pt>
                <c:pt idx="2">
                  <c:v>705.00900000000001</c:v>
                </c:pt>
                <c:pt idx="3">
                  <c:v>29124.106792082075</c:v>
                </c:pt>
                <c:pt idx="4">
                  <c:v>5356.8338253200172</c:v>
                </c:pt>
                <c:pt idx="5">
                  <c:v>138329.40568275156</c:v>
                </c:pt>
                <c:pt idx="6">
                  <c:v>1258.7267720016871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126111.82825924491</c:v>
                </c:pt>
                <c:pt idx="1">
                  <c:v>36483.432123458631</c:v>
                </c:pt>
                <c:pt idx="2">
                  <c:v>705.00900000000001</c:v>
                </c:pt>
                <c:pt idx="3">
                  <c:v>29124.106792082075</c:v>
                </c:pt>
                <c:pt idx="4">
                  <c:v>5356.8338253200172</c:v>
                </c:pt>
                <c:pt idx="5">
                  <c:v>138329.40568275156</c:v>
                </c:pt>
                <c:pt idx="6">
                  <c:v>1258.7267720016871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24239.466879728319</c:v>
                </c:pt>
                <c:pt idx="1">
                  <c:v>6839.0177541812</c:v>
                </c:pt>
                <c:pt idx="2">
                  <c:v>117.92506469742413</c:v>
                </c:pt>
                <c:pt idx="3">
                  <c:v>7059.8220874657382</c:v>
                </c:pt>
                <c:pt idx="4">
                  <c:v>1036.9166633664227</c:v>
                </c:pt>
                <c:pt idx="5">
                  <c:v>34419.846614130409</c:v>
                </c:pt>
                <c:pt idx="6">
                  <c:v>316.23431248024121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24239.466879728319</c:v>
                </c:pt>
                <c:pt idx="1">
                  <c:v>6839.0177541812</c:v>
                </c:pt>
                <c:pt idx="2">
                  <c:v>117.92506469742413</c:v>
                </c:pt>
                <c:pt idx="3">
                  <c:v>7059.8220874657382</c:v>
                </c:pt>
                <c:pt idx="4">
                  <c:v>1036.9166633664227</c:v>
                </c:pt>
                <c:pt idx="5">
                  <c:v>34419.846614130409</c:v>
                </c:pt>
                <c:pt idx="6">
                  <c:v>316.23431248024121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13031</v>
      </c>
      <c r="B6" s="386"/>
      <c r="C6" s="387"/>
    </row>
    <row r="7" spans="1:7" s="384" customFormat="1" ht="15.75" customHeight="1">
      <c r="A7" s="388" t="str">
        <f>txtMunicipality</f>
        <v>OUD-TURNHOUT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14147.093986907459</v>
      </c>
      <c r="D10" s="683">
        <f ca="1">tertiair!C16</f>
        <v>75</v>
      </c>
      <c r="E10" s="683">
        <f ca="1">tertiair!D16</f>
        <v>17032.89836492703</v>
      </c>
      <c r="F10" s="683">
        <f>tertiair!E16</f>
        <v>76.146825729822467</v>
      </c>
      <c r="G10" s="683">
        <f ca="1">tertiair!F16</f>
        <v>4175.3823088688305</v>
      </c>
      <c r="H10" s="683">
        <f>tertiair!G16</f>
        <v>0</v>
      </c>
      <c r="I10" s="683">
        <f>tertiair!H16</f>
        <v>0</v>
      </c>
      <c r="J10" s="683">
        <f>tertiair!I16</f>
        <v>0</v>
      </c>
      <c r="K10" s="683">
        <f>tertiair!J16</f>
        <v>3.6543691048890041E-2</v>
      </c>
      <c r="L10" s="683">
        <f>tertiair!K16</f>
        <v>0</v>
      </c>
      <c r="M10" s="683">
        <f ca="1">tertiair!L16</f>
        <v>0</v>
      </c>
      <c r="N10" s="683">
        <f>tertiair!M16</f>
        <v>0</v>
      </c>
      <c r="O10" s="683">
        <f ca="1">tertiair!N16</f>
        <v>1394.7010979727577</v>
      </c>
      <c r="P10" s="683">
        <f>tertiair!O16</f>
        <v>24.486303829205774</v>
      </c>
      <c r="Q10" s="684">
        <f>tertiair!P16</f>
        <v>262.69569153247511</v>
      </c>
      <c r="R10" s="686">
        <f ca="1">SUM(C10:Q10)</f>
        <v>37188.44112345863</v>
      </c>
      <c r="S10" s="67"/>
    </row>
    <row r="11" spans="1:19" s="445" customFormat="1">
      <c r="A11" s="804" t="s">
        <v>220</v>
      </c>
      <c r="B11" s="809"/>
      <c r="C11" s="683">
        <f>huishoudens!B8</f>
        <v>24516.613555286865</v>
      </c>
      <c r="D11" s="683">
        <f>huishoudens!C8</f>
        <v>0</v>
      </c>
      <c r="E11" s="683">
        <f>huishoudens!D8</f>
        <v>72824.60675639339</v>
      </c>
      <c r="F11" s="683">
        <f>huishoudens!E8</f>
        <v>886.90100929927701</v>
      </c>
      <c r="G11" s="683">
        <f>huishoudens!F8</f>
        <v>19428.990329168853</v>
      </c>
      <c r="H11" s="683">
        <f>huishoudens!G8</f>
        <v>0</v>
      </c>
      <c r="I11" s="683">
        <f>huishoudens!H8</f>
        <v>0</v>
      </c>
      <c r="J11" s="683">
        <f>huishoudens!I8</f>
        <v>0</v>
      </c>
      <c r="K11" s="683">
        <f>huishoudens!J8</f>
        <v>110.72794090762454</v>
      </c>
      <c r="L11" s="683">
        <f>huishoudens!K8</f>
        <v>0</v>
      </c>
      <c r="M11" s="683">
        <f>huishoudens!L8</f>
        <v>0</v>
      </c>
      <c r="N11" s="683">
        <f>huishoudens!M8</f>
        <v>0</v>
      </c>
      <c r="O11" s="683">
        <f>huishoudens!N8</f>
        <v>7008.4463095060173</v>
      </c>
      <c r="P11" s="683">
        <f>huishoudens!O8</f>
        <v>376.95206168353604</v>
      </c>
      <c r="Q11" s="684">
        <f>huishoudens!P8</f>
        <v>958.59029699933717</v>
      </c>
      <c r="R11" s="686">
        <f>SUM(C11:Q11)</f>
        <v>126111.82825924491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1945.1505454232324</v>
      </c>
      <c r="D13" s="683">
        <f>industrie!C18</f>
        <v>0</v>
      </c>
      <c r="E13" s="683">
        <f>industrie!D18</f>
        <v>2766.8747037669177</v>
      </c>
      <c r="F13" s="683">
        <f>industrie!E18</f>
        <v>5.1521824827868921</v>
      </c>
      <c r="G13" s="683">
        <f>industrie!F18</f>
        <v>567.23818943021593</v>
      </c>
      <c r="H13" s="683">
        <f>industrie!G18</f>
        <v>0</v>
      </c>
      <c r="I13" s="683">
        <f>industrie!H18</f>
        <v>0</v>
      </c>
      <c r="J13" s="683">
        <f>industrie!I18</f>
        <v>0</v>
      </c>
      <c r="K13" s="683">
        <f>industrie!J18</f>
        <v>7.1864916081195371E-2</v>
      </c>
      <c r="L13" s="683">
        <f>industrie!K18</f>
        <v>0</v>
      </c>
      <c r="M13" s="683">
        <f>industrie!L18</f>
        <v>0</v>
      </c>
      <c r="N13" s="683">
        <f>industrie!M18</f>
        <v>0</v>
      </c>
      <c r="O13" s="683">
        <f>industrie!N18</f>
        <v>72.346339300783484</v>
      </c>
      <c r="P13" s="683">
        <f>industrie!O18</f>
        <v>0</v>
      </c>
      <c r="Q13" s="684">
        <f>industrie!P18</f>
        <v>0</v>
      </c>
      <c r="R13" s="686">
        <f>SUM(C13:Q13)</f>
        <v>5356.8338253200172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40608.858087617555</v>
      </c>
      <c r="D16" s="719">
        <f t="shared" ref="D16:R16" ca="1" si="0">SUM(D9:D15)</f>
        <v>75</v>
      </c>
      <c r="E16" s="719">
        <f t="shared" ca="1" si="0"/>
        <v>92624.379825087351</v>
      </c>
      <c r="F16" s="719">
        <f t="shared" si="0"/>
        <v>968.20001751188636</v>
      </c>
      <c r="G16" s="719">
        <f t="shared" ca="1" si="0"/>
        <v>24171.610827467899</v>
      </c>
      <c r="H16" s="719">
        <f t="shared" si="0"/>
        <v>0</v>
      </c>
      <c r="I16" s="719">
        <f t="shared" si="0"/>
        <v>0</v>
      </c>
      <c r="J16" s="719">
        <f t="shared" si="0"/>
        <v>0</v>
      </c>
      <c r="K16" s="719">
        <f t="shared" si="0"/>
        <v>110.83634951475463</v>
      </c>
      <c r="L16" s="719">
        <f t="shared" si="0"/>
        <v>0</v>
      </c>
      <c r="M16" s="719">
        <f t="shared" ca="1" si="0"/>
        <v>0</v>
      </c>
      <c r="N16" s="719">
        <f t="shared" si="0"/>
        <v>0</v>
      </c>
      <c r="O16" s="719">
        <f t="shared" ca="1" si="0"/>
        <v>8475.4937467795589</v>
      </c>
      <c r="P16" s="719">
        <f t="shared" si="0"/>
        <v>401.43836551274183</v>
      </c>
      <c r="Q16" s="719">
        <f t="shared" si="0"/>
        <v>1221.2859885318123</v>
      </c>
      <c r="R16" s="719">
        <f t="shared" ca="1" si="0"/>
        <v>168657.10320802353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18.731736030570403</v>
      </c>
      <c r="D19" s="683">
        <f>transport!C54</f>
        <v>0</v>
      </c>
      <c r="E19" s="683">
        <f>transport!D54</f>
        <v>0</v>
      </c>
      <c r="F19" s="683">
        <f>transport!E54</f>
        <v>0</v>
      </c>
      <c r="G19" s="683">
        <f>transport!F54</f>
        <v>0</v>
      </c>
      <c r="H19" s="683">
        <f>transport!G54</f>
        <v>1172.6633055178852</v>
      </c>
      <c r="I19" s="683">
        <f>transport!H54</f>
        <v>0</v>
      </c>
      <c r="J19" s="683">
        <f>transport!I54</f>
        <v>0</v>
      </c>
      <c r="K19" s="683">
        <f>transport!J54</f>
        <v>0</v>
      </c>
      <c r="L19" s="683">
        <f>transport!K54</f>
        <v>0</v>
      </c>
      <c r="M19" s="683">
        <f>transport!L54</f>
        <v>0</v>
      </c>
      <c r="N19" s="683">
        <f>transport!M54</f>
        <v>67.331730453231643</v>
      </c>
      <c r="O19" s="683">
        <f>transport!N54</f>
        <v>0</v>
      </c>
      <c r="P19" s="683">
        <f>transport!O54</f>
        <v>0</v>
      </c>
      <c r="Q19" s="684">
        <f>transport!P54</f>
        <v>0</v>
      </c>
      <c r="R19" s="686">
        <f>SUM(C19:Q19)</f>
        <v>1258.7267720016871</v>
      </c>
      <c r="S19" s="67"/>
    </row>
    <row r="20" spans="1:19" s="445" customFormat="1">
      <c r="A20" s="804" t="s">
        <v>302</v>
      </c>
      <c r="B20" s="809"/>
      <c r="C20" s="683">
        <f>transport!B14</f>
        <v>266.42543951883829</v>
      </c>
      <c r="D20" s="683">
        <f>transport!C14</f>
        <v>0</v>
      </c>
      <c r="E20" s="683">
        <f>transport!D14</f>
        <v>428.11806916564944</v>
      </c>
      <c r="F20" s="683">
        <f>transport!E14</f>
        <v>186.53046033999581</v>
      </c>
      <c r="G20" s="683">
        <f>transport!F14</f>
        <v>0</v>
      </c>
      <c r="H20" s="683">
        <f>transport!G14</f>
        <v>108241.65328026986</v>
      </c>
      <c r="I20" s="683">
        <f>transport!H14</f>
        <v>21469.633001147351</v>
      </c>
      <c r="J20" s="683">
        <f>transport!I14</f>
        <v>0</v>
      </c>
      <c r="K20" s="683">
        <f>transport!J14</f>
        <v>0</v>
      </c>
      <c r="L20" s="683">
        <f>transport!K14</f>
        <v>0</v>
      </c>
      <c r="M20" s="683">
        <f>transport!L14</f>
        <v>0</v>
      </c>
      <c r="N20" s="683">
        <f>transport!M14</f>
        <v>7737.045432309882</v>
      </c>
      <c r="O20" s="683">
        <f>transport!N14</f>
        <v>0</v>
      </c>
      <c r="P20" s="683">
        <f>transport!O14</f>
        <v>0</v>
      </c>
      <c r="Q20" s="684">
        <f>transport!P14</f>
        <v>0</v>
      </c>
      <c r="R20" s="686">
        <f>SUM(C20:Q20)</f>
        <v>138329.40568275156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285.15717554940869</v>
      </c>
      <c r="D22" s="807">
        <f t="shared" ref="D22:R22" si="1">SUM(D18:D21)</f>
        <v>0</v>
      </c>
      <c r="E22" s="807">
        <f t="shared" si="1"/>
        <v>428.11806916564944</v>
      </c>
      <c r="F22" s="807">
        <f t="shared" si="1"/>
        <v>186.53046033999581</v>
      </c>
      <c r="G22" s="807">
        <f t="shared" si="1"/>
        <v>0</v>
      </c>
      <c r="H22" s="807">
        <f t="shared" si="1"/>
        <v>109414.31658578775</v>
      </c>
      <c r="I22" s="807">
        <f t="shared" si="1"/>
        <v>21469.633001147351</v>
      </c>
      <c r="J22" s="807">
        <f t="shared" si="1"/>
        <v>0</v>
      </c>
      <c r="K22" s="807">
        <f t="shared" si="1"/>
        <v>0</v>
      </c>
      <c r="L22" s="807">
        <f t="shared" si="1"/>
        <v>0</v>
      </c>
      <c r="M22" s="807">
        <f t="shared" si="1"/>
        <v>0</v>
      </c>
      <c r="N22" s="807">
        <f t="shared" si="1"/>
        <v>7804.377162763114</v>
      </c>
      <c r="O22" s="807">
        <f t="shared" si="1"/>
        <v>0</v>
      </c>
      <c r="P22" s="807">
        <f t="shared" si="1"/>
        <v>0</v>
      </c>
      <c r="Q22" s="807">
        <f t="shared" si="1"/>
        <v>0</v>
      </c>
      <c r="R22" s="807">
        <f t="shared" si="1"/>
        <v>139588.13245475324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2674.1192649013697</v>
      </c>
      <c r="D24" s="683">
        <f>+landbouw!C8</f>
        <v>17228.571428571428</v>
      </c>
      <c r="E24" s="683">
        <f>+landbouw!D8</f>
        <v>0</v>
      </c>
      <c r="F24" s="683">
        <f>+landbouw!E8</f>
        <v>76.591301185086238</v>
      </c>
      <c r="G24" s="683">
        <f>+landbouw!F8</f>
        <v>8464.8802421011769</v>
      </c>
      <c r="H24" s="683">
        <f>+landbouw!G8</f>
        <v>0</v>
      </c>
      <c r="I24" s="683">
        <f>+landbouw!H8</f>
        <v>0</v>
      </c>
      <c r="J24" s="683">
        <f>+landbouw!I8</f>
        <v>0</v>
      </c>
      <c r="K24" s="683">
        <f>+landbouw!J8</f>
        <v>679.94455532301549</v>
      </c>
      <c r="L24" s="683">
        <f>+landbouw!K8</f>
        <v>0</v>
      </c>
      <c r="M24" s="683">
        <f>+landbouw!L8</f>
        <v>0</v>
      </c>
      <c r="N24" s="683">
        <f>+landbouw!M8</f>
        <v>0</v>
      </c>
      <c r="O24" s="683">
        <f>+landbouw!N8</f>
        <v>0</v>
      </c>
      <c r="P24" s="683">
        <f>+landbouw!O8</f>
        <v>0</v>
      </c>
      <c r="Q24" s="684">
        <f>+landbouw!P8</f>
        <v>0</v>
      </c>
      <c r="R24" s="686">
        <f>SUM(C24:Q24)</f>
        <v>29124.106792082075</v>
      </c>
      <c r="S24" s="67"/>
    </row>
    <row r="25" spans="1:19" s="445" customFormat="1" ht="15" thickBot="1">
      <c r="A25" s="826" t="s">
        <v>696</v>
      </c>
      <c r="B25" s="939"/>
      <c r="C25" s="940">
        <f>IF(Onbekend_ele_kWh="---",0,Onbekend_ele_kWh)/1000+IF(REST_rest_ele_kWh="---",0,REST_rest_ele_kWh)/1000</f>
        <v>493.67659754778299</v>
      </c>
      <c r="D25" s="940"/>
      <c r="E25" s="940">
        <f>IF(onbekend_gas_kWh="---",0,onbekend_gas_kWh)/1000+IF(REST_rest_gas_kWh="---",0,REST_rest_gas_kWh)/1000</f>
        <v>1377.2818964253202</v>
      </c>
      <c r="F25" s="940"/>
      <c r="G25" s="940"/>
      <c r="H25" s="940"/>
      <c r="I25" s="940"/>
      <c r="J25" s="940"/>
      <c r="K25" s="940"/>
      <c r="L25" s="940"/>
      <c r="M25" s="940"/>
      <c r="N25" s="940"/>
      <c r="O25" s="940"/>
      <c r="P25" s="940"/>
      <c r="Q25" s="941"/>
      <c r="R25" s="686">
        <f>SUM(C25:Q25)</f>
        <v>1870.958493973103</v>
      </c>
      <c r="S25" s="67"/>
    </row>
    <row r="26" spans="1:19" s="445" customFormat="1" ht="15.75" thickBot="1">
      <c r="A26" s="691" t="s">
        <v>697</v>
      </c>
      <c r="B26" s="812"/>
      <c r="C26" s="807">
        <f>SUM(C24:C25)</f>
        <v>3167.7958624491525</v>
      </c>
      <c r="D26" s="807">
        <f t="shared" ref="D26:R26" si="2">SUM(D24:D25)</f>
        <v>17228.571428571428</v>
      </c>
      <c r="E26" s="807">
        <f t="shared" si="2"/>
        <v>1377.2818964253202</v>
      </c>
      <c r="F26" s="807">
        <f t="shared" si="2"/>
        <v>76.591301185086238</v>
      </c>
      <c r="G26" s="807">
        <f t="shared" si="2"/>
        <v>8464.8802421011769</v>
      </c>
      <c r="H26" s="807">
        <f t="shared" si="2"/>
        <v>0</v>
      </c>
      <c r="I26" s="807">
        <f t="shared" si="2"/>
        <v>0</v>
      </c>
      <c r="J26" s="807">
        <f t="shared" si="2"/>
        <v>0</v>
      </c>
      <c r="K26" s="807">
        <f t="shared" si="2"/>
        <v>679.94455532301549</v>
      </c>
      <c r="L26" s="807">
        <f t="shared" si="2"/>
        <v>0</v>
      </c>
      <c r="M26" s="807">
        <f t="shared" si="2"/>
        <v>0</v>
      </c>
      <c r="N26" s="807">
        <f t="shared" si="2"/>
        <v>0</v>
      </c>
      <c r="O26" s="807">
        <f t="shared" si="2"/>
        <v>0</v>
      </c>
      <c r="P26" s="807">
        <f t="shared" si="2"/>
        <v>0</v>
      </c>
      <c r="Q26" s="807">
        <f t="shared" si="2"/>
        <v>0</v>
      </c>
      <c r="R26" s="807">
        <f t="shared" si="2"/>
        <v>30995.065286055178</v>
      </c>
      <c r="S26" s="67"/>
    </row>
    <row r="27" spans="1:19" s="445" customFormat="1" ht="17.25" thickTop="1" thickBot="1">
      <c r="A27" s="692" t="s">
        <v>115</v>
      </c>
      <c r="B27" s="799"/>
      <c r="C27" s="693">
        <f ca="1">C22+C16+C26</f>
        <v>44061.811125616114</v>
      </c>
      <c r="D27" s="693">
        <f t="shared" ref="D27:R27" ca="1" si="3">D22+D16+D26</f>
        <v>17303.571428571428</v>
      </c>
      <c r="E27" s="693">
        <f t="shared" ca="1" si="3"/>
        <v>94429.779790678323</v>
      </c>
      <c r="F27" s="693">
        <f t="shared" si="3"/>
        <v>1231.3217790369683</v>
      </c>
      <c r="G27" s="693">
        <f t="shared" ca="1" si="3"/>
        <v>32636.491069569078</v>
      </c>
      <c r="H27" s="693">
        <f t="shared" si="3"/>
        <v>109414.31658578775</v>
      </c>
      <c r="I27" s="693">
        <f t="shared" si="3"/>
        <v>21469.633001147351</v>
      </c>
      <c r="J27" s="693">
        <f t="shared" si="3"/>
        <v>0</v>
      </c>
      <c r="K27" s="693">
        <f t="shared" si="3"/>
        <v>790.78090483777009</v>
      </c>
      <c r="L27" s="693">
        <f t="shared" si="3"/>
        <v>0</v>
      </c>
      <c r="M27" s="693">
        <f t="shared" ca="1" si="3"/>
        <v>0</v>
      </c>
      <c r="N27" s="693">
        <f t="shared" si="3"/>
        <v>7804.377162763114</v>
      </c>
      <c r="O27" s="693">
        <f t="shared" ca="1" si="3"/>
        <v>8475.4937467795589</v>
      </c>
      <c r="P27" s="693">
        <f t="shared" si="3"/>
        <v>401.43836551274183</v>
      </c>
      <c r="Q27" s="693">
        <f t="shared" si="3"/>
        <v>1221.2859885318123</v>
      </c>
      <c r="R27" s="693">
        <f t="shared" ca="1" si="3"/>
        <v>339240.30094883195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2366.3484773763203</v>
      </c>
      <c r="D40" s="683">
        <f ca="1">tertiair!C20</f>
        <v>17.823529411764714</v>
      </c>
      <c r="E40" s="683">
        <f ca="1">tertiair!D20</f>
        <v>3440.6454697152603</v>
      </c>
      <c r="F40" s="683">
        <f>tertiair!E20</f>
        <v>17.285329440669699</v>
      </c>
      <c r="G40" s="683">
        <f ca="1">tertiair!F20</f>
        <v>1114.8270764679778</v>
      </c>
      <c r="H40" s="683">
        <f>tertiair!G20</f>
        <v>0</v>
      </c>
      <c r="I40" s="683">
        <f>tertiair!H20</f>
        <v>0</v>
      </c>
      <c r="J40" s="683">
        <f>tertiair!I20</f>
        <v>0</v>
      </c>
      <c r="K40" s="683">
        <f>tertiair!J20</f>
        <v>1.2936466631307073E-2</v>
      </c>
      <c r="L40" s="683">
        <f>tertiair!K20</f>
        <v>0</v>
      </c>
      <c r="M40" s="683">
        <f ca="1">tertiair!L20</f>
        <v>0</v>
      </c>
      <c r="N40" s="683">
        <f>tertiair!M20</f>
        <v>0</v>
      </c>
      <c r="O40" s="683">
        <f ca="1">tertiair!N20</f>
        <v>0</v>
      </c>
      <c r="P40" s="683">
        <f>tertiair!O20</f>
        <v>0</v>
      </c>
      <c r="Q40" s="766">
        <f>tertiair!P20</f>
        <v>0</v>
      </c>
      <c r="R40" s="845">
        <f t="shared" ca="1" si="4"/>
        <v>6956.9428188786233</v>
      </c>
    </row>
    <row r="41" spans="1:18">
      <c r="A41" s="817" t="s">
        <v>220</v>
      </c>
      <c r="B41" s="824"/>
      <c r="C41" s="683">
        <f ca="1">huishoudens!B12</f>
        <v>4100.8316768565355</v>
      </c>
      <c r="D41" s="683">
        <f ca="1">huishoudens!C12</f>
        <v>0</v>
      </c>
      <c r="E41" s="683">
        <f>huishoudens!D12</f>
        <v>14710.570564791466</v>
      </c>
      <c r="F41" s="683">
        <f>huishoudens!E12</f>
        <v>201.32652911093589</v>
      </c>
      <c r="G41" s="683">
        <f>huishoudens!F12</f>
        <v>5187.5404178880844</v>
      </c>
      <c r="H41" s="683">
        <f>huishoudens!G12</f>
        <v>0</v>
      </c>
      <c r="I41" s="683">
        <f>huishoudens!H12</f>
        <v>0</v>
      </c>
      <c r="J41" s="683">
        <f>huishoudens!I12</f>
        <v>0</v>
      </c>
      <c r="K41" s="683">
        <f>huishoudens!J12</f>
        <v>39.197691081299084</v>
      </c>
      <c r="L41" s="683">
        <f>huishoudens!K12</f>
        <v>0</v>
      </c>
      <c r="M41" s="683">
        <f>huishoudens!L12</f>
        <v>0</v>
      </c>
      <c r="N41" s="683">
        <f>huishoudens!M12</f>
        <v>0</v>
      </c>
      <c r="O41" s="683">
        <f>huishoudens!N12</f>
        <v>0</v>
      </c>
      <c r="P41" s="683">
        <f>huishoudens!O12</f>
        <v>0</v>
      </c>
      <c r="Q41" s="766">
        <f>huishoudens!P12</f>
        <v>0</v>
      </c>
      <c r="R41" s="845">
        <f t="shared" ca="1" si="4"/>
        <v>24239.466879728319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325.36039102375224</v>
      </c>
      <c r="D43" s="683">
        <f ca="1">industrie!C22</f>
        <v>0</v>
      </c>
      <c r="E43" s="683">
        <f>industrie!D22</f>
        <v>558.90869016091744</v>
      </c>
      <c r="F43" s="683">
        <f>industrie!E22</f>
        <v>1.1695454235926246</v>
      </c>
      <c r="G43" s="683">
        <f>industrie!F22</f>
        <v>151.45259657786767</v>
      </c>
      <c r="H43" s="683">
        <f>industrie!G22</f>
        <v>0</v>
      </c>
      <c r="I43" s="683">
        <f>industrie!H22</f>
        <v>0</v>
      </c>
      <c r="J43" s="683">
        <f>industrie!I22</f>
        <v>0</v>
      </c>
      <c r="K43" s="683">
        <f>industrie!J22</f>
        <v>2.5440180292743159E-2</v>
      </c>
      <c r="L43" s="683">
        <f>industrie!K22</f>
        <v>0</v>
      </c>
      <c r="M43" s="683">
        <f>industrie!L22</f>
        <v>0</v>
      </c>
      <c r="N43" s="683">
        <f>industrie!M22</f>
        <v>0</v>
      </c>
      <c r="O43" s="683">
        <f>industrie!N22</f>
        <v>0</v>
      </c>
      <c r="P43" s="683">
        <f>industrie!O22</f>
        <v>0</v>
      </c>
      <c r="Q43" s="766">
        <f>industrie!P22</f>
        <v>0</v>
      </c>
      <c r="R43" s="844">
        <f t="shared" ca="1" si="4"/>
        <v>1036.9166633664227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6792.5405452566083</v>
      </c>
      <c r="D46" s="719">
        <f t="shared" ref="D46:Q46" ca="1" si="5">SUM(D39:D45)</f>
        <v>17.823529411764714</v>
      </c>
      <c r="E46" s="719">
        <f t="shared" ca="1" si="5"/>
        <v>18710.124724667643</v>
      </c>
      <c r="F46" s="719">
        <f t="shared" si="5"/>
        <v>219.78140397519823</v>
      </c>
      <c r="G46" s="719">
        <f t="shared" ca="1" si="5"/>
        <v>6453.8200909339294</v>
      </c>
      <c r="H46" s="719">
        <f t="shared" si="5"/>
        <v>0</v>
      </c>
      <c r="I46" s="719">
        <f t="shared" si="5"/>
        <v>0</v>
      </c>
      <c r="J46" s="719">
        <f t="shared" si="5"/>
        <v>0</v>
      </c>
      <c r="K46" s="719">
        <f t="shared" si="5"/>
        <v>39.236067728223134</v>
      </c>
      <c r="L46" s="719">
        <f t="shared" si="5"/>
        <v>0</v>
      </c>
      <c r="M46" s="719">
        <f t="shared" ca="1" si="5"/>
        <v>0</v>
      </c>
      <c r="N46" s="719">
        <f t="shared" si="5"/>
        <v>0</v>
      </c>
      <c r="O46" s="719">
        <f t="shared" ca="1" si="5"/>
        <v>0</v>
      </c>
      <c r="P46" s="719">
        <f t="shared" si="5"/>
        <v>0</v>
      </c>
      <c r="Q46" s="719">
        <f t="shared" si="5"/>
        <v>0</v>
      </c>
      <c r="R46" s="719">
        <f ca="1">SUM(R39:R45)</f>
        <v>32233.326361973363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3.1332099069658481</v>
      </c>
      <c r="D49" s="683">
        <f ca="1">transport!C58</f>
        <v>0</v>
      </c>
      <c r="E49" s="683">
        <f>transport!D58</f>
        <v>0</v>
      </c>
      <c r="F49" s="683">
        <f>transport!E58</f>
        <v>0</v>
      </c>
      <c r="G49" s="683">
        <f>transport!F58</f>
        <v>0</v>
      </c>
      <c r="H49" s="683">
        <f>transport!G58</f>
        <v>313.10110257327534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316.23431248024121</v>
      </c>
    </row>
    <row r="50" spans="1:18">
      <c r="A50" s="820" t="s">
        <v>302</v>
      </c>
      <c r="B50" s="830"/>
      <c r="C50" s="689">
        <f ca="1">transport!B18</f>
        <v>44.564306544028042</v>
      </c>
      <c r="D50" s="689">
        <f>transport!C18</f>
        <v>0</v>
      </c>
      <c r="E50" s="689">
        <f>transport!D18</f>
        <v>86.479849971461192</v>
      </c>
      <c r="F50" s="689">
        <f>transport!E18</f>
        <v>42.34241449717905</v>
      </c>
      <c r="G50" s="689">
        <f>transport!F18</f>
        <v>0</v>
      </c>
      <c r="H50" s="689">
        <f>transport!G18</f>
        <v>28900.521425832056</v>
      </c>
      <c r="I50" s="689">
        <f>transport!H18</f>
        <v>5345.9386172856903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34419.846614130409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47.697516450993888</v>
      </c>
      <c r="D52" s="719">
        <f t="shared" ref="D52:Q52" ca="1" si="6">SUM(D48:D51)</f>
        <v>0</v>
      </c>
      <c r="E52" s="719">
        <f t="shared" si="6"/>
        <v>86.479849971461192</v>
      </c>
      <c r="F52" s="719">
        <f t="shared" si="6"/>
        <v>42.34241449717905</v>
      </c>
      <c r="G52" s="719">
        <f t="shared" si="6"/>
        <v>0</v>
      </c>
      <c r="H52" s="719">
        <f t="shared" si="6"/>
        <v>29213.622528405333</v>
      </c>
      <c r="I52" s="719">
        <f t="shared" si="6"/>
        <v>5345.9386172856903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34736.080926610652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447.29313714026671</v>
      </c>
      <c r="D54" s="689">
        <f ca="1">+landbouw!C12</f>
        <v>4094.3193277310938</v>
      </c>
      <c r="E54" s="689">
        <f>+landbouw!D12</f>
        <v>0</v>
      </c>
      <c r="F54" s="689">
        <f>+landbouw!E12</f>
        <v>17.386225369014575</v>
      </c>
      <c r="G54" s="689">
        <f>+landbouw!F12</f>
        <v>2260.1230246410146</v>
      </c>
      <c r="H54" s="689">
        <f>+landbouw!G12</f>
        <v>0</v>
      </c>
      <c r="I54" s="689">
        <f>+landbouw!H12</f>
        <v>0</v>
      </c>
      <c r="J54" s="689">
        <f>+landbouw!I12</f>
        <v>0</v>
      </c>
      <c r="K54" s="689">
        <f>+landbouw!J12</f>
        <v>240.70037258434746</v>
      </c>
      <c r="L54" s="689">
        <f>+landbouw!K12</f>
        <v>0</v>
      </c>
      <c r="M54" s="689">
        <f>+landbouw!L12</f>
        <v>0</v>
      </c>
      <c r="N54" s="689">
        <f>+landbouw!M12</f>
        <v>0</v>
      </c>
      <c r="O54" s="689">
        <f>+landbouw!N12</f>
        <v>0</v>
      </c>
      <c r="P54" s="689">
        <f>+landbouw!O12</f>
        <v>0</v>
      </c>
      <c r="Q54" s="690">
        <f>+landbouw!P12</f>
        <v>0</v>
      </c>
      <c r="R54" s="718">
        <f ca="1">SUM(C54:Q54)</f>
        <v>7059.8220874657382</v>
      </c>
    </row>
    <row r="55" spans="1:18" ht="15" thickBot="1">
      <c r="A55" s="820" t="s">
        <v>696</v>
      </c>
      <c r="B55" s="830"/>
      <c r="C55" s="689">
        <f ca="1">C25*'EF ele_warmte'!B12</f>
        <v>82.576030526456435</v>
      </c>
      <c r="D55" s="689"/>
      <c r="E55" s="689">
        <f>E25*EF_CO2_aardgas</f>
        <v>278.21094307791469</v>
      </c>
      <c r="F55" s="689"/>
      <c r="G55" s="689"/>
      <c r="H55" s="689"/>
      <c r="I55" s="689"/>
      <c r="J55" s="689"/>
      <c r="K55" s="689"/>
      <c r="L55" s="689"/>
      <c r="M55" s="689"/>
      <c r="N55" s="689"/>
      <c r="O55" s="689"/>
      <c r="P55" s="689"/>
      <c r="Q55" s="690"/>
      <c r="R55" s="718">
        <f ca="1">SUM(C55:Q55)</f>
        <v>360.78697360437116</v>
      </c>
    </row>
    <row r="56" spans="1:18" ht="15.75" thickBot="1">
      <c r="A56" s="818" t="s">
        <v>697</v>
      </c>
      <c r="B56" s="831"/>
      <c r="C56" s="719">
        <f ca="1">SUM(C54:C55)</f>
        <v>529.86916766672311</v>
      </c>
      <c r="D56" s="719">
        <f t="shared" ref="D56:Q56" ca="1" si="7">SUM(D54:D55)</f>
        <v>4094.3193277310938</v>
      </c>
      <c r="E56" s="719">
        <f t="shared" si="7"/>
        <v>278.21094307791469</v>
      </c>
      <c r="F56" s="719">
        <f t="shared" si="7"/>
        <v>17.386225369014575</v>
      </c>
      <c r="G56" s="719">
        <f t="shared" si="7"/>
        <v>2260.1230246410146</v>
      </c>
      <c r="H56" s="719">
        <f t="shared" si="7"/>
        <v>0</v>
      </c>
      <c r="I56" s="719">
        <f t="shared" si="7"/>
        <v>0</v>
      </c>
      <c r="J56" s="719">
        <f t="shared" si="7"/>
        <v>0</v>
      </c>
      <c r="K56" s="719">
        <f t="shared" si="7"/>
        <v>240.70037258434746</v>
      </c>
      <c r="L56" s="719">
        <f t="shared" si="7"/>
        <v>0</v>
      </c>
      <c r="M56" s="719">
        <f t="shared" si="7"/>
        <v>0</v>
      </c>
      <c r="N56" s="719">
        <f t="shared" si="7"/>
        <v>0</v>
      </c>
      <c r="O56" s="719">
        <f t="shared" si="7"/>
        <v>0</v>
      </c>
      <c r="P56" s="719">
        <f t="shared" si="7"/>
        <v>0</v>
      </c>
      <c r="Q56" s="720">
        <f t="shared" si="7"/>
        <v>0</v>
      </c>
      <c r="R56" s="721">
        <f ca="1">SUM(R54:R55)</f>
        <v>7420.6090610701094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7370.1072293743255</v>
      </c>
      <c r="D61" s="727">
        <f t="shared" ref="D61:Q61" ca="1" si="8">D46+D52+D56</f>
        <v>4112.1428571428587</v>
      </c>
      <c r="E61" s="727">
        <f t="shared" ca="1" si="8"/>
        <v>19074.815517717019</v>
      </c>
      <c r="F61" s="727">
        <f t="shared" si="8"/>
        <v>279.51004384139185</v>
      </c>
      <c r="G61" s="727">
        <f t="shared" ca="1" si="8"/>
        <v>8713.9431155749444</v>
      </c>
      <c r="H61" s="727">
        <f t="shared" si="8"/>
        <v>29213.622528405333</v>
      </c>
      <c r="I61" s="727">
        <f t="shared" si="8"/>
        <v>5345.9386172856903</v>
      </c>
      <c r="J61" s="727">
        <f t="shared" si="8"/>
        <v>0</v>
      </c>
      <c r="K61" s="727">
        <f t="shared" si="8"/>
        <v>279.9364403125706</v>
      </c>
      <c r="L61" s="727">
        <f t="shared" si="8"/>
        <v>0</v>
      </c>
      <c r="M61" s="727">
        <f t="shared" ca="1" si="8"/>
        <v>0</v>
      </c>
      <c r="N61" s="727">
        <f t="shared" si="8"/>
        <v>0</v>
      </c>
      <c r="O61" s="727">
        <f t="shared" ca="1" si="8"/>
        <v>0</v>
      </c>
      <c r="P61" s="727">
        <f t="shared" si="8"/>
        <v>0</v>
      </c>
      <c r="Q61" s="727">
        <f t="shared" si="8"/>
        <v>0</v>
      </c>
      <c r="R61" s="727">
        <f ca="1">R46+R52+R56</f>
        <v>74390.016349654121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0.16726745998621884</v>
      </c>
      <c r="D63" s="773">
        <f t="shared" ca="1" si="9"/>
        <v>0.23764705882352952</v>
      </c>
      <c r="E63" s="965">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4766.5078804801733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6858.7886325824438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12112.5</v>
      </c>
      <c r="D76" s="948">
        <f>'lokale energieproductie'!C8</f>
        <v>14250.000000000004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2878.5000000000009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11625.296513062618</v>
      </c>
      <c r="C78" s="745">
        <f>SUM(C72:C77)</f>
        <v>12112.5</v>
      </c>
      <c r="D78" s="746">
        <f t="shared" ref="D78:H78" si="10">SUM(D76:D77)</f>
        <v>14250.000000000004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2878.5000000000009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17303.571428571428</v>
      </c>
      <c r="D87" s="769">
        <f>'lokale energieproductie'!C17</f>
        <v>20357.142857142862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4112.1428571428587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17303.571428571428</v>
      </c>
      <c r="D90" s="745">
        <f t="shared" ref="D90:H90" si="12">SUM(D87:D89)</f>
        <v>20357.142857142862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4112.1428571428587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24516.613555286865</v>
      </c>
      <c r="C4" s="449">
        <f>huishoudens!C8</f>
        <v>0</v>
      </c>
      <c r="D4" s="449">
        <f>huishoudens!D8</f>
        <v>72824.60675639339</v>
      </c>
      <c r="E4" s="449">
        <f>huishoudens!E8</f>
        <v>886.90100929927701</v>
      </c>
      <c r="F4" s="449">
        <f>huishoudens!F8</f>
        <v>19428.990329168853</v>
      </c>
      <c r="G4" s="449">
        <f>huishoudens!G8</f>
        <v>0</v>
      </c>
      <c r="H4" s="449">
        <f>huishoudens!H8</f>
        <v>0</v>
      </c>
      <c r="I4" s="449">
        <f>huishoudens!I8</f>
        <v>0</v>
      </c>
      <c r="J4" s="449">
        <f>huishoudens!J8</f>
        <v>110.72794090762454</v>
      </c>
      <c r="K4" s="449">
        <f>huishoudens!K8</f>
        <v>0</v>
      </c>
      <c r="L4" s="449">
        <f>huishoudens!L8</f>
        <v>0</v>
      </c>
      <c r="M4" s="449">
        <f>huishoudens!M8</f>
        <v>0</v>
      </c>
      <c r="N4" s="449">
        <f>huishoudens!N8</f>
        <v>7008.4463095060173</v>
      </c>
      <c r="O4" s="449">
        <f>huishoudens!O8</f>
        <v>376.95206168353604</v>
      </c>
      <c r="P4" s="450">
        <f>huishoudens!P8</f>
        <v>958.59029699933717</v>
      </c>
      <c r="Q4" s="451">
        <f>SUM(B4:P4)</f>
        <v>126111.82825924491</v>
      </c>
    </row>
    <row r="5" spans="1:17">
      <c r="A5" s="448" t="s">
        <v>155</v>
      </c>
      <c r="B5" s="449">
        <f ca="1">tertiair!B16</f>
        <v>13442.084986907459</v>
      </c>
      <c r="C5" s="449">
        <f ca="1">tertiair!C16</f>
        <v>75</v>
      </c>
      <c r="D5" s="449">
        <f ca="1">tertiair!D16</f>
        <v>17032.89836492703</v>
      </c>
      <c r="E5" s="449">
        <f>tertiair!E16</f>
        <v>76.146825729822467</v>
      </c>
      <c r="F5" s="449">
        <f ca="1">tertiair!F16</f>
        <v>4175.3823088688305</v>
      </c>
      <c r="G5" s="449">
        <f>tertiair!G16</f>
        <v>0</v>
      </c>
      <c r="H5" s="449">
        <f>tertiair!H16</f>
        <v>0</v>
      </c>
      <c r="I5" s="449">
        <f>tertiair!I16</f>
        <v>0</v>
      </c>
      <c r="J5" s="449">
        <f>tertiair!J16</f>
        <v>3.6543691048890041E-2</v>
      </c>
      <c r="K5" s="449">
        <f>tertiair!K16</f>
        <v>0</v>
      </c>
      <c r="L5" s="449">
        <f ca="1">tertiair!L16</f>
        <v>0</v>
      </c>
      <c r="M5" s="449">
        <f>tertiair!M16</f>
        <v>0</v>
      </c>
      <c r="N5" s="449">
        <f ca="1">tertiair!N16</f>
        <v>1394.7010979727577</v>
      </c>
      <c r="O5" s="449">
        <f>tertiair!O16</f>
        <v>24.486303829205774</v>
      </c>
      <c r="P5" s="450">
        <f>tertiair!P16</f>
        <v>262.69569153247511</v>
      </c>
      <c r="Q5" s="448">
        <f t="shared" ref="Q5:Q14" ca="1" si="0">SUM(B5:P5)</f>
        <v>36483.432123458631</v>
      </c>
    </row>
    <row r="6" spans="1:17">
      <c r="A6" s="448" t="s">
        <v>193</v>
      </c>
      <c r="B6" s="449">
        <f>'openbare verlichting'!B8</f>
        <v>705.00900000000001</v>
      </c>
      <c r="C6" s="449"/>
      <c r="D6" s="449"/>
      <c r="E6" s="449"/>
      <c r="F6" s="449"/>
      <c r="G6" s="449"/>
      <c r="H6" s="449"/>
      <c r="I6" s="449"/>
      <c r="J6" s="449"/>
      <c r="K6" s="449"/>
      <c r="L6" s="449"/>
      <c r="M6" s="449"/>
      <c r="N6" s="449"/>
      <c r="O6" s="449"/>
      <c r="P6" s="450"/>
      <c r="Q6" s="448">
        <f t="shared" si="0"/>
        <v>705.00900000000001</v>
      </c>
    </row>
    <row r="7" spans="1:17">
      <c r="A7" s="448" t="s">
        <v>111</v>
      </c>
      <c r="B7" s="449">
        <f>landbouw!B8</f>
        <v>2674.1192649013697</v>
      </c>
      <c r="C7" s="449">
        <f>landbouw!C8</f>
        <v>17228.571428571428</v>
      </c>
      <c r="D7" s="449">
        <f>landbouw!D8</f>
        <v>0</v>
      </c>
      <c r="E7" s="449">
        <f>landbouw!E8</f>
        <v>76.591301185086238</v>
      </c>
      <c r="F7" s="449">
        <f>landbouw!F8</f>
        <v>8464.8802421011769</v>
      </c>
      <c r="G7" s="449">
        <f>landbouw!G8</f>
        <v>0</v>
      </c>
      <c r="H7" s="449">
        <f>landbouw!H8</f>
        <v>0</v>
      </c>
      <c r="I7" s="449">
        <f>landbouw!I8</f>
        <v>0</v>
      </c>
      <c r="J7" s="449">
        <f>landbouw!J8</f>
        <v>679.94455532301549</v>
      </c>
      <c r="K7" s="449">
        <f>landbouw!K8</f>
        <v>0</v>
      </c>
      <c r="L7" s="449">
        <f>landbouw!L8</f>
        <v>0</v>
      </c>
      <c r="M7" s="449">
        <f>landbouw!M8</f>
        <v>0</v>
      </c>
      <c r="N7" s="449">
        <f>landbouw!N8</f>
        <v>0</v>
      </c>
      <c r="O7" s="449">
        <f>landbouw!O8</f>
        <v>0</v>
      </c>
      <c r="P7" s="450">
        <f>landbouw!P8</f>
        <v>0</v>
      </c>
      <c r="Q7" s="448">
        <f t="shared" si="0"/>
        <v>29124.106792082075</v>
      </c>
    </row>
    <row r="8" spans="1:17">
      <c r="A8" s="448" t="s">
        <v>617</v>
      </c>
      <c r="B8" s="449">
        <f>industrie!B18</f>
        <v>1945.1505454232324</v>
      </c>
      <c r="C8" s="449">
        <f>industrie!C18</f>
        <v>0</v>
      </c>
      <c r="D8" s="449">
        <f>industrie!D18</f>
        <v>2766.8747037669177</v>
      </c>
      <c r="E8" s="449">
        <f>industrie!E18</f>
        <v>5.1521824827868921</v>
      </c>
      <c r="F8" s="449">
        <f>industrie!F18</f>
        <v>567.23818943021593</v>
      </c>
      <c r="G8" s="449">
        <f>industrie!G18</f>
        <v>0</v>
      </c>
      <c r="H8" s="449">
        <f>industrie!H18</f>
        <v>0</v>
      </c>
      <c r="I8" s="449">
        <f>industrie!I18</f>
        <v>0</v>
      </c>
      <c r="J8" s="449">
        <f>industrie!J18</f>
        <v>7.1864916081195371E-2</v>
      </c>
      <c r="K8" s="449">
        <f>industrie!K18</f>
        <v>0</v>
      </c>
      <c r="L8" s="449">
        <f>industrie!L18</f>
        <v>0</v>
      </c>
      <c r="M8" s="449">
        <f>industrie!M18</f>
        <v>0</v>
      </c>
      <c r="N8" s="449">
        <f>industrie!N18</f>
        <v>72.346339300783484</v>
      </c>
      <c r="O8" s="449">
        <f>industrie!O18</f>
        <v>0</v>
      </c>
      <c r="P8" s="450">
        <f>industrie!P18</f>
        <v>0</v>
      </c>
      <c r="Q8" s="448">
        <f t="shared" si="0"/>
        <v>5356.8338253200172</v>
      </c>
    </row>
    <row r="9" spans="1:17" s="454" customFormat="1">
      <c r="A9" s="452" t="s">
        <v>543</v>
      </c>
      <c r="B9" s="453">
        <f>transport!B14</f>
        <v>266.42543951883829</v>
      </c>
      <c r="C9" s="453">
        <f>transport!C14</f>
        <v>0</v>
      </c>
      <c r="D9" s="453">
        <f>transport!D14</f>
        <v>428.11806916564944</v>
      </c>
      <c r="E9" s="453">
        <f>transport!E14</f>
        <v>186.53046033999581</v>
      </c>
      <c r="F9" s="453">
        <f>transport!F14</f>
        <v>0</v>
      </c>
      <c r="G9" s="453">
        <f>transport!G14</f>
        <v>108241.65328026986</v>
      </c>
      <c r="H9" s="453">
        <f>transport!H14</f>
        <v>21469.633001147351</v>
      </c>
      <c r="I9" s="453">
        <f>transport!I14</f>
        <v>0</v>
      </c>
      <c r="J9" s="453">
        <f>transport!J14</f>
        <v>0</v>
      </c>
      <c r="K9" s="453">
        <f>transport!K14</f>
        <v>0</v>
      </c>
      <c r="L9" s="453">
        <f>transport!L14</f>
        <v>0</v>
      </c>
      <c r="M9" s="453">
        <f>transport!M14</f>
        <v>7737.045432309882</v>
      </c>
      <c r="N9" s="453">
        <f>transport!N14</f>
        <v>0</v>
      </c>
      <c r="O9" s="453">
        <f>transport!O14</f>
        <v>0</v>
      </c>
      <c r="P9" s="453">
        <f>transport!P14</f>
        <v>0</v>
      </c>
      <c r="Q9" s="452">
        <f>SUM(B9:P9)</f>
        <v>138329.40568275156</v>
      </c>
    </row>
    <row r="10" spans="1:17">
      <c r="A10" s="448" t="s">
        <v>533</v>
      </c>
      <c r="B10" s="449">
        <f>transport!B54</f>
        <v>18.731736030570403</v>
      </c>
      <c r="C10" s="449">
        <f>transport!C54</f>
        <v>0</v>
      </c>
      <c r="D10" s="449">
        <f>transport!D54</f>
        <v>0</v>
      </c>
      <c r="E10" s="449">
        <f>transport!E54</f>
        <v>0</v>
      </c>
      <c r="F10" s="449">
        <f>transport!F54</f>
        <v>0</v>
      </c>
      <c r="G10" s="449">
        <f>transport!G54</f>
        <v>1172.6633055178852</v>
      </c>
      <c r="H10" s="449">
        <f>transport!H54</f>
        <v>0</v>
      </c>
      <c r="I10" s="449">
        <f>transport!I54</f>
        <v>0</v>
      </c>
      <c r="J10" s="449">
        <f>transport!J54</f>
        <v>0</v>
      </c>
      <c r="K10" s="449">
        <f>transport!K54</f>
        <v>0</v>
      </c>
      <c r="L10" s="449">
        <f>transport!L54</f>
        <v>0</v>
      </c>
      <c r="M10" s="449">
        <f>transport!M54</f>
        <v>67.331730453231643</v>
      </c>
      <c r="N10" s="449">
        <f>transport!N54</f>
        <v>0</v>
      </c>
      <c r="O10" s="449">
        <f>transport!O54</f>
        <v>0</v>
      </c>
      <c r="P10" s="450">
        <f>transport!P54</f>
        <v>0</v>
      </c>
      <c r="Q10" s="448">
        <f t="shared" si="0"/>
        <v>1258.7267720016871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493.67659754778299</v>
      </c>
      <c r="C14" s="456"/>
      <c r="D14" s="456">
        <f>'SEAP template'!E25</f>
        <v>1377.2818964253202</v>
      </c>
      <c r="E14" s="456"/>
      <c r="F14" s="456"/>
      <c r="G14" s="456"/>
      <c r="H14" s="456"/>
      <c r="I14" s="456"/>
      <c r="J14" s="456"/>
      <c r="K14" s="456"/>
      <c r="L14" s="456"/>
      <c r="M14" s="456"/>
      <c r="N14" s="456"/>
      <c r="O14" s="456"/>
      <c r="P14" s="457"/>
      <c r="Q14" s="448">
        <f t="shared" si="0"/>
        <v>1870.958493973103</v>
      </c>
    </row>
    <row r="15" spans="1:17" s="460" customFormat="1">
      <c r="A15" s="458" t="s">
        <v>537</v>
      </c>
      <c r="B15" s="459">
        <f ca="1">SUM(B4:B14)</f>
        <v>44061.811125616114</v>
      </c>
      <c r="C15" s="459">
        <f t="shared" ref="C15:Q15" ca="1" si="1">SUM(C4:C14)</f>
        <v>17303.571428571428</v>
      </c>
      <c r="D15" s="459">
        <f t="shared" ca="1" si="1"/>
        <v>94429.779790678323</v>
      </c>
      <c r="E15" s="459">
        <f t="shared" si="1"/>
        <v>1231.3217790369686</v>
      </c>
      <c r="F15" s="459">
        <f t="shared" ca="1" si="1"/>
        <v>32636.491069569078</v>
      </c>
      <c r="G15" s="459">
        <f t="shared" si="1"/>
        <v>109414.31658578775</v>
      </c>
      <c r="H15" s="459">
        <f t="shared" si="1"/>
        <v>21469.633001147351</v>
      </c>
      <c r="I15" s="459">
        <f t="shared" si="1"/>
        <v>0</v>
      </c>
      <c r="J15" s="459">
        <f t="shared" si="1"/>
        <v>790.78090483777009</v>
      </c>
      <c r="K15" s="459">
        <f t="shared" si="1"/>
        <v>0</v>
      </c>
      <c r="L15" s="459">
        <f t="shared" ca="1" si="1"/>
        <v>0</v>
      </c>
      <c r="M15" s="459">
        <f t="shared" si="1"/>
        <v>7804.377162763114</v>
      </c>
      <c r="N15" s="459">
        <f t="shared" ca="1" si="1"/>
        <v>8475.4937467795589</v>
      </c>
      <c r="O15" s="459">
        <f t="shared" si="1"/>
        <v>401.43836551274183</v>
      </c>
      <c r="P15" s="459">
        <f t="shared" si="1"/>
        <v>1221.2859885318123</v>
      </c>
      <c r="Q15" s="459">
        <f t="shared" ca="1" si="1"/>
        <v>339240.30094883201</v>
      </c>
    </row>
    <row r="17" spans="1:17">
      <c r="A17" s="461" t="s">
        <v>538</v>
      </c>
      <c r="B17" s="778">
        <f ca="1">huishoudens!B10</f>
        <v>0.16726745998621881</v>
      </c>
      <c r="C17" s="778">
        <f ca="1">huishoudens!C10</f>
        <v>0.23764705882352952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4100.8316768565355</v>
      </c>
      <c r="C22" s="449">
        <f t="shared" ref="C22:C32" ca="1" si="3">C4*$C$17</f>
        <v>0</v>
      </c>
      <c r="D22" s="449">
        <f t="shared" ref="D22:D32" si="4">D4*$D$17</f>
        <v>14710.570564791466</v>
      </c>
      <c r="E22" s="449">
        <f t="shared" ref="E22:E32" si="5">E4*$E$17</f>
        <v>201.32652911093589</v>
      </c>
      <c r="F22" s="449">
        <f t="shared" ref="F22:F32" si="6">F4*$F$17</f>
        <v>5187.5404178880844</v>
      </c>
      <c r="G22" s="449">
        <f t="shared" ref="G22:G32" si="7">G4*$G$17</f>
        <v>0</v>
      </c>
      <c r="H22" s="449">
        <f t="shared" ref="H22:H32" si="8">H4*$H$17</f>
        <v>0</v>
      </c>
      <c r="I22" s="449">
        <f t="shared" ref="I22:I32" si="9">I4*$I$17</f>
        <v>0</v>
      </c>
      <c r="J22" s="449">
        <f t="shared" ref="J22:J32" si="10">J4*$J$17</f>
        <v>39.197691081299084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24239.466879728319</v>
      </c>
    </row>
    <row r="23" spans="1:17">
      <c r="A23" s="448" t="s">
        <v>155</v>
      </c>
      <c r="B23" s="449">
        <f t="shared" ca="1" si="2"/>
        <v>2248.4234126788961</v>
      </c>
      <c r="C23" s="449">
        <f t="shared" ca="1" si="3"/>
        <v>17.823529411764714</v>
      </c>
      <c r="D23" s="449">
        <f t="shared" ca="1" si="4"/>
        <v>3440.6454697152603</v>
      </c>
      <c r="E23" s="449">
        <f t="shared" si="5"/>
        <v>17.285329440669699</v>
      </c>
      <c r="F23" s="449">
        <f t="shared" ca="1" si="6"/>
        <v>1114.8270764679778</v>
      </c>
      <c r="G23" s="449">
        <f t="shared" si="7"/>
        <v>0</v>
      </c>
      <c r="H23" s="449">
        <f t="shared" si="8"/>
        <v>0</v>
      </c>
      <c r="I23" s="449">
        <f t="shared" si="9"/>
        <v>0</v>
      </c>
      <c r="J23" s="449">
        <f t="shared" si="10"/>
        <v>1.2936466631307073E-2</v>
      </c>
      <c r="K23" s="449">
        <f t="shared" si="11"/>
        <v>0</v>
      </c>
      <c r="L23" s="449">
        <f t="shared" ca="1" si="12"/>
        <v>0</v>
      </c>
      <c r="M23" s="449">
        <f t="shared" si="13"/>
        <v>0</v>
      </c>
      <c r="N23" s="449">
        <f t="shared" ca="1" si="14"/>
        <v>0</v>
      </c>
      <c r="O23" s="449">
        <f t="shared" si="15"/>
        <v>0</v>
      </c>
      <c r="P23" s="450">
        <f t="shared" si="16"/>
        <v>0</v>
      </c>
      <c r="Q23" s="448">
        <f t="shared" ref="Q23:Q31" ca="1" si="17">SUM(B23:P23)</f>
        <v>6839.0177541812</v>
      </c>
    </row>
    <row r="24" spans="1:17">
      <c r="A24" s="448" t="s">
        <v>193</v>
      </c>
      <c r="B24" s="449">
        <f t="shared" ca="1" si="2"/>
        <v>117.92506469742413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117.92506469742413</v>
      </c>
    </row>
    <row r="25" spans="1:17">
      <c r="A25" s="448" t="s">
        <v>111</v>
      </c>
      <c r="B25" s="449">
        <f t="shared" ca="1" si="2"/>
        <v>447.29313714026671</v>
      </c>
      <c r="C25" s="449">
        <f t="shared" ca="1" si="3"/>
        <v>4094.3193277310938</v>
      </c>
      <c r="D25" s="449">
        <f t="shared" si="4"/>
        <v>0</v>
      </c>
      <c r="E25" s="449">
        <f t="shared" si="5"/>
        <v>17.386225369014575</v>
      </c>
      <c r="F25" s="449">
        <f t="shared" si="6"/>
        <v>2260.1230246410146</v>
      </c>
      <c r="G25" s="449">
        <f t="shared" si="7"/>
        <v>0</v>
      </c>
      <c r="H25" s="449">
        <f t="shared" si="8"/>
        <v>0</v>
      </c>
      <c r="I25" s="449">
        <f t="shared" si="9"/>
        <v>0</v>
      </c>
      <c r="J25" s="449">
        <f t="shared" si="10"/>
        <v>240.70037258434746</v>
      </c>
      <c r="K25" s="449">
        <f t="shared" si="11"/>
        <v>0</v>
      </c>
      <c r="L25" s="449">
        <f t="shared" si="12"/>
        <v>0</v>
      </c>
      <c r="M25" s="449">
        <f t="shared" si="13"/>
        <v>0</v>
      </c>
      <c r="N25" s="449">
        <f t="shared" si="14"/>
        <v>0</v>
      </c>
      <c r="O25" s="449">
        <f t="shared" si="15"/>
        <v>0</v>
      </c>
      <c r="P25" s="450">
        <f t="shared" si="16"/>
        <v>0</v>
      </c>
      <c r="Q25" s="448">
        <f t="shared" ca="1" si="17"/>
        <v>7059.8220874657382</v>
      </c>
    </row>
    <row r="26" spans="1:17">
      <c r="A26" s="448" t="s">
        <v>617</v>
      </c>
      <c r="B26" s="449">
        <f t="shared" ca="1" si="2"/>
        <v>325.36039102375224</v>
      </c>
      <c r="C26" s="449">
        <f t="shared" ca="1" si="3"/>
        <v>0</v>
      </c>
      <c r="D26" s="449">
        <f t="shared" si="4"/>
        <v>558.90869016091744</v>
      </c>
      <c r="E26" s="449">
        <f t="shared" si="5"/>
        <v>1.1695454235926246</v>
      </c>
      <c r="F26" s="449">
        <f t="shared" si="6"/>
        <v>151.45259657786767</v>
      </c>
      <c r="G26" s="449">
        <f t="shared" si="7"/>
        <v>0</v>
      </c>
      <c r="H26" s="449">
        <f t="shared" si="8"/>
        <v>0</v>
      </c>
      <c r="I26" s="449">
        <f t="shared" si="9"/>
        <v>0</v>
      </c>
      <c r="J26" s="449">
        <f t="shared" si="10"/>
        <v>2.5440180292743159E-2</v>
      </c>
      <c r="K26" s="449">
        <f t="shared" si="11"/>
        <v>0</v>
      </c>
      <c r="L26" s="449">
        <f t="shared" si="12"/>
        <v>0</v>
      </c>
      <c r="M26" s="449">
        <f t="shared" si="13"/>
        <v>0</v>
      </c>
      <c r="N26" s="449">
        <f t="shared" si="14"/>
        <v>0</v>
      </c>
      <c r="O26" s="449">
        <f t="shared" si="15"/>
        <v>0</v>
      </c>
      <c r="P26" s="450">
        <f t="shared" si="16"/>
        <v>0</v>
      </c>
      <c r="Q26" s="448">
        <f t="shared" ca="1" si="17"/>
        <v>1036.9166633664227</v>
      </c>
    </row>
    <row r="27" spans="1:17" s="454" customFormat="1">
      <c r="A27" s="452" t="s">
        <v>543</v>
      </c>
      <c r="B27" s="772">
        <f t="shared" ca="1" si="2"/>
        <v>44.564306544028042</v>
      </c>
      <c r="C27" s="453">
        <f t="shared" ca="1" si="3"/>
        <v>0</v>
      </c>
      <c r="D27" s="453">
        <f t="shared" si="4"/>
        <v>86.479849971461192</v>
      </c>
      <c r="E27" s="453">
        <f t="shared" si="5"/>
        <v>42.34241449717905</v>
      </c>
      <c r="F27" s="453">
        <f t="shared" si="6"/>
        <v>0</v>
      </c>
      <c r="G27" s="453">
        <f t="shared" si="7"/>
        <v>28900.521425832056</v>
      </c>
      <c r="H27" s="453">
        <f t="shared" si="8"/>
        <v>5345.9386172856903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34419.846614130409</v>
      </c>
    </row>
    <row r="28" spans="1:17" ht="16.5" customHeight="1">
      <c r="A28" s="448" t="s">
        <v>533</v>
      </c>
      <c r="B28" s="449">
        <f t="shared" ca="1" si="2"/>
        <v>3.1332099069658481</v>
      </c>
      <c r="C28" s="449">
        <f t="shared" ca="1" si="3"/>
        <v>0</v>
      </c>
      <c r="D28" s="449">
        <f t="shared" si="4"/>
        <v>0</v>
      </c>
      <c r="E28" s="449">
        <f t="shared" si="5"/>
        <v>0</v>
      </c>
      <c r="F28" s="449">
        <f t="shared" si="6"/>
        <v>0</v>
      </c>
      <c r="G28" s="449">
        <f t="shared" si="7"/>
        <v>313.10110257327534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316.23431248024121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82.576030526456435</v>
      </c>
      <c r="C32" s="449">
        <f t="shared" ca="1" si="3"/>
        <v>0</v>
      </c>
      <c r="D32" s="449">
        <f t="shared" si="4"/>
        <v>278.21094307791469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360.78697360437116</v>
      </c>
    </row>
    <row r="33" spans="1:17" s="460" customFormat="1">
      <c r="A33" s="458" t="s">
        <v>537</v>
      </c>
      <c r="B33" s="459">
        <f ca="1">SUM(B22:B32)</f>
        <v>7370.1072293743255</v>
      </c>
      <c r="C33" s="459">
        <f t="shared" ref="C33:Q33" ca="1" si="19">SUM(C22:C32)</f>
        <v>4112.1428571428587</v>
      </c>
      <c r="D33" s="459">
        <f t="shared" ca="1" si="19"/>
        <v>19074.815517717019</v>
      </c>
      <c r="E33" s="459">
        <f t="shared" si="19"/>
        <v>279.51004384139185</v>
      </c>
      <c r="F33" s="459">
        <f t="shared" ca="1" si="19"/>
        <v>8713.9431155749444</v>
      </c>
      <c r="G33" s="459">
        <f t="shared" si="19"/>
        <v>29213.622528405333</v>
      </c>
      <c r="H33" s="459">
        <f t="shared" si="19"/>
        <v>5345.9386172856903</v>
      </c>
      <c r="I33" s="459">
        <f t="shared" si="19"/>
        <v>0</v>
      </c>
      <c r="J33" s="459">
        <f t="shared" si="19"/>
        <v>279.9364403125706</v>
      </c>
      <c r="K33" s="459">
        <f t="shared" si="19"/>
        <v>0</v>
      </c>
      <c r="L33" s="459">
        <f t="shared" ca="1" si="19"/>
        <v>0</v>
      </c>
      <c r="M33" s="459">
        <f t="shared" si="19"/>
        <v>0</v>
      </c>
      <c r="N33" s="459">
        <f t="shared" ca="1" si="19"/>
        <v>0</v>
      </c>
      <c r="O33" s="459">
        <f t="shared" si="19"/>
        <v>0</v>
      </c>
      <c r="P33" s="459">
        <f t="shared" si="19"/>
        <v>0</v>
      </c>
      <c r="Q33" s="459">
        <f t="shared" ca="1" si="19"/>
        <v>74390.016349654121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4766.5078804801733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6858.7886325824438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12112.5</v>
      </c>
      <c r="D8" s="1016">
        <f>'SEAP template'!D76</f>
        <v>14250.000000000004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2878.5000000000009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11625.296513062618</v>
      </c>
      <c r="C10" s="1018">
        <f>SUM(C4:C9)</f>
        <v>12112.5</v>
      </c>
      <c r="D10" s="1018">
        <f t="shared" ref="D10:H10" si="0">SUM(D8:D9)</f>
        <v>14250.000000000004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2878.5000000000009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0.16726745998621881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17303.571428571428</v>
      </c>
      <c r="D17" s="1017">
        <f>'SEAP template'!D87</f>
        <v>20357.142857142862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4112.1428571428587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17303.571428571428</v>
      </c>
      <c r="D20" s="1018">
        <f t="shared" ref="D20:H20" si="2">SUM(D17:D19)</f>
        <v>20357.142857142862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4112.1428571428587</v>
      </c>
    </row>
    <row r="21" spans="1:16">
      <c r="B21" s="883"/>
    </row>
    <row r="22" spans="1:16">
      <c r="A22" s="461" t="s">
        <v>755</v>
      </c>
      <c r="B22" s="778" t="s">
        <v>753</v>
      </c>
      <c r="C22" s="778">
        <f ca="1">'EF ele_warmte'!B22</f>
        <v>0.23764705882352952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0.16726745998621881</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0.16726745998621881</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0.16726745998621881</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5539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1775.4</v>
      </c>
      <c r="C14" s="326"/>
      <c r="D14" s="326"/>
      <c r="E14" s="326"/>
      <c r="F14" s="326"/>
    </row>
    <row r="15" spans="1:6">
      <c r="A15" s="1312" t="s">
        <v>183</v>
      </c>
      <c r="B15" s="1313">
        <v>2928</v>
      </c>
      <c r="C15" s="326"/>
      <c r="D15" s="326"/>
      <c r="E15" s="326"/>
      <c r="F15" s="326"/>
    </row>
    <row r="16" spans="1:6">
      <c r="A16" s="1312" t="s">
        <v>6</v>
      </c>
      <c r="B16" s="1313">
        <v>1014</v>
      </c>
      <c r="C16" s="326"/>
      <c r="D16" s="326"/>
      <c r="E16" s="326"/>
      <c r="F16" s="326"/>
    </row>
    <row r="17" spans="1:6">
      <c r="A17" s="1312" t="s">
        <v>7</v>
      </c>
      <c r="B17" s="1313">
        <v>139</v>
      </c>
      <c r="C17" s="326"/>
      <c r="D17" s="326"/>
      <c r="E17" s="326"/>
      <c r="F17" s="326"/>
    </row>
    <row r="18" spans="1:6">
      <c r="A18" s="1312" t="s">
        <v>8</v>
      </c>
      <c r="B18" s="1313">
        <v>671</v>
      </c>
      <c r="C18" s="326"/>
      <c r="D18" s="326"/>
      <c r="E18" s="326"/>
      <c r="F18" s="326"/>
    </row>
    <row r="19" spans="1:6">
      <c r="A19" s="1312" t="s">
        <v>9</v>
      </c>
      <c r="B19" s="1313">
        <v>761</v>
      </c>
      <c r="C19" s="326"/>
      <c r="D19" s="326"/>
      <c r="E19" s="326"/>
      <c r="F19" s="326"/>
    </row>
    <row r="20" spans="1:6">
      <c r="A20" s="1312" t="s">
        <v>10</v>
      </c>
      <c r="B20" s="1313">
        <v>458</v>
      </c>
      <c r="C20" s="326"/>
      <c r="D20" s="326"/>
      <c r="E20" s="326"/>
      <c r="F20" s="326"/>
    </row>
    <row r="21" spans="1:6">
      <c r="A21" s="1312" t="s">
        <v>11</v>
      </c>
      <c r="B21" s="1313">
        <v>7965</v>
      </c>
      <c r="C21" s="326"/>
      <c r="D21" s="326"/>
      <c r="E21" s="326"/>
      <c r="F21" s="326"/>
    </row>
    <row r="22" spans="1:6">
      <c r="A22" s="1312" t="s">
        <v>12</v>
      </c>
      <c r="B22" s="1313">
        <v>8498</v>
      </c>
      <c r="C22" s="326"/>
      <c r="D22" s="326"/>
      <c r="E22" s="326"/>
      <c r="F22" s="326"/>
    </row>
    <row r="23" spans="1:6">
      <c r="A23" s="1312" t="s">
        <v>13</v>
      </c>
      <c r="B23" s="1313">
        <v>81</v>
      </c>
      <c r="C23" s="326"/>
      <c r="D23" s="326"/>
      <c r="E23" s="326"/>
      <c r="F23" s="326"/>
    </row>
    <row r="24" spans="1:6">
      <c r="A24" s="1312" t="s">
        <v>14</v>
      </c>
      <c r="B24" s="1313">
        <v>9</v>
      </c>
      <c r="C24" s="326"/>
      <c r="D24" s="326"/>
      <c r="E24" s="326"/>
      <c r="F24" s="326"/>
    </row>
    <row r="25" spans="1:6">
      <c r="A25" s="1312" t="s">
        <v>15</v>
      </c>
      <c r="B25" s="1313">
        <v>836</v>
      </c>
      <c r="C25" s="326"/>
      <c r="D25" s="326"/>
      <c r="E25" s="326"/>
      <c r="F25" s="326"/>
    </row>
    <row r="26" spans="1:6">
      <c r="A26" s="1312" t="s">
        <v>16</v>
      </c>
      <c r="B26" s="1313">
        <v>5</v>
      </c>
      <c r="C26" s="326"/>
      <c r="D26" s="326"/>
      <c r="E26" s="326"/>
      <c r="F26" s="326"/>
    </row>
    <row r="27" spans="1:6">
      <c r="A27" s="1312" t="s">
        <v>17</v>
      </c>
      <c r="B27" s="1313">
        <v>0</v>
      </c>
      <c r="C27" s="326"/>
      <c r="D27" s="326"/>
      <c r="E27" s="326"/>
      <c r="F27" s="326"/>
    </row>
    <row r="28" spans="1:6" s="43" customFormat="1">
      <c r="A28" s="1314" t="s">
        <v>18</v>
      </c>
      <c r="B28" s="1315">
        <v>302489</v>
      </c>
      <c r="C28" s="332"/>
      <c r="D28" s="332"/>
      <c r="E28" s="332"/>
      <c r="F28" s="332"/>
    </row>
    <row r="29" spans="1:6">
      <c r="A29" s="1314" t="s">
        <v>684</v>
      </c>
      <c r="B29" s="1315">
        <v>53</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12856.371037646</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344849.488305673</v>
      </c>
      <c r="E38" s="1313">
        <v>2</v>
      </c>
      <c r="F38" s="1313">
        <v>6665.4688111468004</v>
      </c>
    </row>
    <row r="39" spans="1:6">
      <c r="A39" s="1312" t="s">
        <v>29</v>
      </c>
      <c r="B39" s="1312" t="s">
        <v>30</v>
      </c>
      <c r="C39" s="1313">
        <v>4263</v>
      </c>
      <c r="D39" s="1313">
        <v>80299113.530532002</v>
      </c>
      <c r="E39" s="1313">
        <v>5473</v>
      </c>
      <c r="F39" s="1313">
        <v>19265443.494102702</v>
      </c>
    </row>
    <row r="40" spans="1:6">
      <c r="A40" s="1312" t="s">
        <v>29</v>
      </c>
      <c r="B40" s="1312" t="s">
        <v>28</v>
      </c>
      <c r="C40" s="1313">
        <v>1</v>
      </c>
      <c r="D40" s="1313">
        <v>348291.51530786301</v>
      </c>
      <c r="E40" s="1313">
        <v>1</v>
      </c>
      <c r="F40" s="1313">
        <v>66918.460308579204</v>
      </c>
    </row>
    <row r="41" spans="1:6">
      <c r="A41" s="1312" t="s">
        <v>31</v>
      </c>
      <c r="B41" s="1312" t="s">
        <v>32</v>
      </c>
      <c r="C41" s="1313">
        <v>75</v>
      </c>
      <c r="D41" s="1313">
        <v>1571777.65365833</v>
      </c>
      <c r="E41" s="1313">
        <v>123</v>
      </c>
      <c r="F41" s="1313">
        <v>838834.70923709299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151555.81965327699</v>
      </c>
      <c r="E44" s="1313">
        <v>12</v>
      </c>
      <c r="F44" s="1313">
        <v>81587.546535564295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25453</v>
      </c>
    </row>
    <row r="48" spans="1:6">
      <c r="A48" s="1312" t="s">
        <v>31</v>
      </c>
      <c r="B48" s="1312" t="s">
        <v>28</v>
      </c>
      <c r="C48" s="1313">
        <v>1</v>
      </c>
      <c r="D48" s="1313">
        <v>28572.2350956675</v>
      </c>
      <c r="E48" s="1313">
        <v>0</v>
      </c>
      <c r="F48" s="1313">
        <v>0</v>
      </c>
    </row>
    <row r="49" spans="1:6">
      <c r="A49" s="1312" t="s">
        <v>31</v>
      </c>
      <c r="B49" s="1312" t="s">
        <v>39</v>
      </c>
      <c r="C49" s="1313">
        <v>5</v>
      </c>
      <c r="D49" s="1313">
        <v>317466.53034427302</v>
      </c>
      <c r="E49" s="1313">
        <v>7</v>
      </c>
      <c r="F49" s="1313">
        <v>76954.785460843195</v>
      </c>
    </row>
    <row r="50" spans="1:6">
      <c r="A50" s="1312" t="s">
        <v>31</v>
      </c>
      <c r="B50" s="1312" t="s">
        <v>40</v>
      </c>
      <c r="C50" s="1313">
        <v>11</v>
      </c>
      <c r="D50" s="1313">
        <v>994719.34903020004</v>
      </c>
      <c r="E50" s="1313">
        <v>13</v>
      </c>
      <c r="F50" s="1313">
        <v>922320.50418973202</v>
      </c>
    </row>
    <row r="51" spans="1:6">
      <c r="A51" s="1312" t="s">
        <v>41</v>
      </c>
      <c r="B51" s="1312" t="s">
        <v>42</v>
      </c>
      <c r="C51" s="1313">
        <v>9</v>
      </c>
      <c r="D51" s="1313">
        <v>34544610.232490703</v>
      </c>
      <c r="E51" s="1313">
        <v>69</v>
      </c>
      <c r="F51" s="1313">
        <v>2674119.2649013698</v>
      </c>
    </row>
    <row r="52" spans="1:6">
      <c r="A52" s="1312" t="s">
        <v>41</v>
      </c>
      <c r="B52" s="1312" t="s">
        <v>28</v>
      </c>
      <c r="C52" s="1313">
        <v>0</v>
      </c>
      <c r="D52" s="1313">
        <v>0</v>
      </c>
      <c r="E52" s="1313">
        <v>0</v>
      </c>
      <c r="F52" s="1313">
        <v>0</v>
      </c>
    </row>
    <row r="53" spans="1:6">
      <c r="A53" s="1312" t="s">
        <v>43</v>
      </c>
      <c r="B53" s="1312" t="s">
        <v>44</v>
      </c>
      <c r="C53" s="1313">
        <v>66</v>
      </c>
      <c r="D53" s="1313">
        <v>1377281.8964253201</v>
      </c>
      <c r="E53" s="1313">
        <v>127</v>
      </c>
      <c r="F53" s="1313">
        <v>493676.59754778299</v>
      </c>
    </row>
    <row r="54" spans="1:6">
      <c r="A54" s="1312" t="s">
        <v>45</v>
      </c>
      <c r="B54" s="1312" t="s">
        <v>46</v>
      </c>
      <c r="C54" s="1313">
        <v>0</v>
      </c>
      <c r="D54" s="1313">
        <v>0</v>
      </c>
      <c r="E54" s="1313">
        <v>1</v>
      </c>
      <c r="F54" s="1313">
        <v>705009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46</v>
      </c>
      <c r="D57" s="1313">
        <v>2668782.4134764299</v>
      </c>
      <c r="E57" s="1313">
        <v>95</v>
      </c>
      <c r="F57" s="1313">
        <v>3613117.3786499798</v>
      </c>
    </row>
    <row r="58" spans="1:6">
      <c r="A58" s="1312" t="s">
        <v>48</v>
      </c>
      <c r="B58" s="1312" t="s">
        <v>50</v>
      </c>
      <c r="C58" s="1313">
        <v>36</v>
      </c>
      <c r="D58" s="1313">
        <v>3047363.7706553899</v>
      </c>
      <c r="E58" s="1313">
        <v>42</v>
      </c>
      <c r="F58" s="1313">
        <v>710667.47698638495</v>
      </c>
    </row>
    <row r="59" spans="1:6">
      <c r="A59" s="1312" t="s">
        <v>48</v>
      </c>
      <c r="B59" s="1312" t="s">
        <v>51</v>
      </c>
      <c r="C59" s="1313">
        <v>88</v>
      </c>
      <c r="D59" s="1313">
        <v>3864733.2977142702</v>
      </c>
      <c r="E59" s="1313">
        <v>141</v>
      </c>
      <c r="F59" s="1313">
        <v>3572915.6419176599</v>
      </c>
    </row>
    <row r="60" spans="1:6">
      <c r="A60" s="1312" t="s">
        <v>48</v>
      </c>
      <c r="B60" s="1312" t="s">
        <v>52</v>
      </c>
      <c r="C60" s="1313">
        <v>39</v>
      </c>
      <c r="D60" s="1313">
        <v>2171818.7073566299</v>
      </c>
      <c r="E60" s="1313">
        <v>55</v>
      </c>
      <c r="F60" s="1313">
        <v>1839405.93797671</v>
      </c>
    </row>
    <row r="61" spans="1:6">
      <c r="A61" s="1312" t="s">
        <v>48</v>
      </c>
      <c r="B61" s="1312" t="s">
        <v>53</v>
      </c>
      <c r="C61" s="1313">
        <v>146</v>
      </c>
      <c r="D61" s="1313">
        <v>5340103.4352168096</v>
      </c>
      <c r="E61" s="1313">
        <v>284</v>
      </c>
      <c r="F61" s="1313">
        <v>3122653.8728104602</v>
      </c>
    </row>
    <row r="62" spans="1:6">
      <c r="A62" s="1312" t="s">
        <v>48</v>
      </c>
      <c r="B62" s="1312" t="s">
        <v>54</v>
      </c>
      <c r="C62" s="1313">
        <v>9</v>
      </c>
      <c r="D62" s="1313">
        <v>1935878.7354110701</v>
      </c>
      <c r="E62" s="1313">
        <v>9</v>
      </c>
      <c r="F62" s="1313">
        <v>530824.67856626306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26168.2934355906</v>
      </c>
      <c r="E65" s="1313">
        <v>0</v>
      </c>
      <c r="F65" s="1313">
        <v>0</v>
      </c>
    </row>
    <row r="66" spans="1:6">
      <c r="A66" s="1312" t="s">
        <v>55</v>
      </c>
      <c r="B66" s="1312" t="s">
        <v>57</v>
      </c>
      <c r="C66" s="1313">
        <v>0</v>
      </c>
      <c r="D66" s="1313">
        <v>0</v>
      </c>
      <c r="E66" s="1313">
        <v>6</v>
      </c>
      <c r="F66" s="1313">
        <v>163051.09325819</v>
      </c>
    </row>
    <row r="67" spans="1:6">
      <c r="A67" s="1314" t="s">
        <v>55</v>
      </c>
      <c r="B67" s="1314" t="s">
        <v>58</v>
      </c>
      <c r="C67" s="1313">
        <v>0</v>
      </c>
      <c r="D67" s="1313">
        <v>0</v>
      </c>
      <c r="E67" s="1313">
        <v>0</v>
      </c>
      <c r="F67" s="1313">
        <v>0</v>
      </c>
    </row>
    <row r="68" spans="1:6">
      <c r="A68" s="1307" t="s">
        <v>55</v>
      </c>
      <c r="B68" s="1307" t="s">
        <v>59</v>
      </c>
      <c r="C68" s="1316">
        <v>4</v>
      </c>
      <c r="D68" s="1316">
        <v>84315.2398542882</v>
      </c>
      <c r="E68" s="1316">
        <v>7</v>
      </c>
      <c r="F68" s="1316">
        <v>56494.493382446402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40564609</v>
      </c>
      <c r="E73" s="447"/>
      <c r="F73" s="326"/>
    </row>
    <row r="74" spans="1:6">
      <c r="A74" s="1312" t="s">
        <v>63</v>
      </c>
      <c r="B74" s="1312" t="s">
        <v>638</v>
      </c>
      <c r="C74" s="1326" t="s">
        <v>640</v>
      </c>
      <c r="D74" s="1327">
        <v>2007572.1619871636</v>
      </c>
      <c r="E74" s="447"/>
      <c r="F74" s="326"/>
    </row>
    <row r="75" spans="1:6">
      <c r="A75" s="1312" t="s">
        <v>64</v>
      </c>
      <c r="B75" s="1312" t="s">
        <v>637</v>
      </c>
      <c r="C75" s="1326" t="s">
        <v>641</v>
      </c>
      <c r="D75" s="1327">
        <v>15590923</v>
      </c>
      <c r="E75" s="447"/>
      <c r="F75" s="326"/>
    </row>
    <row r="76" spans="1:6">
      <c r="A76" s="1312" t="s">
        <v>64</v>
      </c>
      <c r="B76" s="1312" t="s">
        <v>638</v>
      </c>
      <c r="C76" s="1326" t="s">
        <v>642</v>
      </c>
      <c r="D76" s="1327">
        <v>16571.3</v>
      </c>
      <c r="E76" s="447"/>
      <c r="F76" s="326"/>
    </row>
    <row r="77" spans="1:6">
      <c r="A77" s="1312" t="s">
        <v>65</v>
      </c>
      <c r="B77" s="1312" t="s">
        <v>637</v>
      </c>
      <c r="C77" s="1326" t="s">
        <v>643</v>
      </c>
      <c r="D77" s="1327">
        <v>64310280</v>
      </c>
      <c r="E77" s="447"/>
      <c r="F77" s="326"/>
    </row>
    <row r="78" spans="1:6">
      <c r="A78" s="1307" t="s">
        <v>65</v>
      </c>
      <c r="B78" s="1307" t="s">
        <v>638</v>
      </c>
      <c r="C78" s="1307" t="s">
        <v>644</v>
      </c>
      <c r="D78" s="1328">
        <v>19993387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349387.67602567299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4766.5078804801733</v>
      </c>
      <c r="C90" s="326"/>
      <c r="D90" s="326"/>
      <c r="E90" s="326"/>
      <c r="F90" s="326"/>
    </row>
    <row r="91" spans="1:6">
      <c r="A91" s="1312" t="s">
        <v>67</v>
      </c>
      <c r="B91" s="1313">
        <v>5184.2516008755838</v>
      </c>
      <c r="C91" s="326"/>
      <c r="D91" s="326"/>
      <c r="E91" s="326"/>
      <c r="F91" s="326"/>
    </row>
    <row r="92" spans="1:6">
      <c r="A92" s="1307" t="s">
        <v>68</v>
      </c>
      <c r="B92" s="1308">
        <v>1674.5370317068598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2401</v>
      </c>
      <c r="C97" s="326"/>
      <c r="D97" s="326"/>
      <c r="E97" s="326"/>
      <c r="F97" s="326"/>
    </row>
    <row r="98" spans="1:6">
      <c r="A98" s="1312" t="s">
        <v>71</v>
      </c>
      <c r="B98" s="1313">
        <v>5</v>
      </c>
      <c r="C98" s="326"/>
      <c r="D98" s="326"/>
      <c r="E98" s="326"/>
      <c r="F98" s="326"/>
    </row>
    <row r="99" spans="1:6">
      <c r="A99" s="1312" t="s">
        <v>72</v>
      </c>
      <c r="B99" s="1313">
        <v>47</v>
      </c>
      <c r="C99" s="326"/>
      <c r="D99" s="326"/>
      <c r="E99" s="326"/>
      <c r="F99" s="326"/>
    </row>
    <row r="100" spans="1:6">
      <c r="A100" s="1312" t="s">
        <v>73</v>
      </c>
      <c r="B100" s="1313">
        <v>151</v>
      </c>
      <c r="C100" s="326"/>
      <c r="D100" s="326"/>
      <c r="E100" s="326"/>
      <c r="F100" s="326"/>
    </row>
    <row r="101" spans="1:6">
      <c r="A101" s="1312" t="s">
        <v>74</v>
      </c>
      <c r="B101" s="1313">
        <v>98</v>
      </c>
      <c r="C101" s="326"/>
      <c r="D101" s="326"/>
      <c r="E101" s="326"/>
      <c r="F101" s="326"/>
    </row>
    <row r="102" spans="1:6">
      <c r="A102" s="1312" t="s">
        <v>75</v>
      </c>
      <c r="B102" s="1313">
        <v>50</v>
      </c>
      <c r="C102" s="326"/>
      <c r="D102" s="326"/>
      <c r="E102" s="326"/>
      <c r="F102" s="326"/>
    </row>
    <row r="103" spans="1:6">
      <c r="A103" s="1312" t="s">
        <v>76</v>
      </c>
      <c r="B103" s="1313">
        <v>89</v>
      </c>
      <c r="C103" s="326"/>
      <c r="D103" s="326"/>
      <c r="E103" s="326"/>
      <c r="F103" s="326"/>
    </row>
    <row r="104" spans="1:6">
      <c r="A104" s="1312" t="s">
        <v>77</v>
      </c>
      <c r="B104" s="1313">
        <v>1664</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53</v>
      </c>
      <c r="C123" s="1313">
        <v>31</v>
      </c>
      <c r="D123" s="326"/>
      <c r="E123" s="326"/>
      <c r="F123" s="326"/>
    </row>
    <row r="124" spans="1:6" s="43" customFormat="1">
      <c r="A124" s="1314" t="s">
        <v>88</v>
      </c>
      <c r="B124" s="1335">
        <v>2</v>
      </c>
      <c r="C124" s="1335">
        <v>2</v>
      </c>
      <c r="D124" s="332"/>
      <c r="E124" s="332"/>
      <c r="F124" s="332"/>
    </row>
    <row r="125" spans="1:6">
      <c r="A125" s="1307" t="s">
        <v>786</v>
      </c>
      <c r="B125" s="1335">
        <v>1</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157</v>
      </c>
      <c r="C129" s="326"/>
      <c r="D129" s="326"/>
      <c r="E129" s="326"/>
      <c r="F129" s="326"/>
    </row>
    <row r="130" spans="1:6">
      <c r="A130" s="1312" t="s">
        <v>290</v>
      </c>
      <c r="B130" s="1313">
        <v>4</v>
      </c>
      <c r="C130" s="326"/>
      <c r="D130" s="326"/>
      <c r="E130" s="326"/>
      <c r="F130" s="326"/>
    </row>
    <row r="131" spans="1:6">
      <c r="A131" s="1312" t="s">
        <v>291</v>
      </c>
      <c r="B131" s="1313">
        <v>2</v>
      </c>
      <c r="C131" s="326"/>
      <c r="D131" s="326"/>
      <c r="E131" s="326"/>
      <c r="F131" s="326"/>
    </row>
    <row r="132" spans="1:6">
      <c r="A132" s="1307" t="s">
        <v>292</v>
      </c>
      <c r="B132" s="1308">
        <v>36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44061.811125616114</v>
      </c>
      <c r="C3" s="43" t="s">
        <v>169</v>
      </c>
      <c r="D3" s="43"/>
      <c r="E3" s="154"/>
      <c r="F3" s="43"/>
      <c r="G3" s="43"/>
      <c r="H3" s="43"/>
      <c r="I3" s="43"/>
      <c r="J3" s="43"/>
      <c r="K3" s="96"/>
    </row>
    <row r="4" spans="1:11">
      <c r="A4" s="354" t="s">
        <v>170</v>
      </c>
      <c r="B4" s="49">
        <f>IF(ISERROR('SEAP template'!B78+'SEAP template'!C78),0,'SEAP template'!B78+'SEAP template'!C78)</f>
        <v>23737.796513062618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2878.5000000000009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0.16726745998621881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4112.1428571428587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17303.571428571428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705.00900000000001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705.00900000000001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0.16726745998621881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117.92506469742413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19332.361954411281</v>
      </c>
      <c r="C5" s="17">
        <f>IF(ISERROR('Eigen informatie GS &amp; warmtenet'!B59),0,'Eigen informatie GS &amp; warmtenet'!B59)</f>
        <v>0</v>
      </c>
      <c r="D5" s="30">
        <f>(SUM(HH_hh_gas_kWh,HH_rest_gas_kWh)/1000)*0.903</f>
        <v>72824.60675639339</v>
      </c>
      <c r="E5" s="17">
        <f>B32*B41</f>
        <v>886.90100929927701</v>
      </c>
      <c r="F5" s="17">
        <f>B36*B45</f>
        <v>19428.990329168853</v>
      </c>
      <c r="G5" s="18"/>
      <c r="H5" s="17"/>
      <c r="I5" s="17"/>
      <c r="J5" s="17">
        <f>B35*B44+C35*C44</f>
        <v>110.72794090762454</v>
      </c>
      <c r="K5" s="17"/>
      <c r="L5" s="17"/>
      <c r="M5" s="17"/>
      <c r="N5" s="17">
        <f>B34*B43+C34*C43</f>
        <v>7008.4463095060173</v>
      </c>
      <c r="O5" s="17">
        <f>B52*B53*B54</f>
        <v>376.95206168353604</v>
      </c>
      <c r="P5" s="17">
        <f>B60*B61*B62/1000-B60*B61*B62/1000/B63</f>
        <v>958.59029699933717</v>
      </c>
    </row>
    <row r="6" spans="1:16">
      <c r="A6" s="16" t="s">
        <v>603</v>
      </c>
      <c r="B6" s="780">
        <f>kWh_PV_kleiner_dan_10kW</f>
        <v>5184.2516008755838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24516.613555286865</v>
      </c>
      <c r="C8" s="21">
        <f>C5</f>
        <v>0</v>
      </c>
      <c r="D8" s="21">
        <f>D5</f>
        <v>72824.60675639339</v>
      </c>
      <c r="E8" s="21">
        <f>E5</f>
        <v>886.90100929927701</v>
      </c>
      <c r="F8" s="21">
        <f>F5</f>
        <v>19428.990329168853</v>
      </c>
      <c r="G8" s="21"/>
      <c r="H8" s="21"/>
      <c r="I8" s="21"/>
      <c r="J8" s="21">
        <f>J5</f>
        <v>110.72794090762454</v>
      </c>
      <c r="K8" s="21"/>
      <c r="L8" s="21">
        <f>L5</f>
        <v>0</v>
      </c>
      <c r="M8" s="21">
        <f>M5</f>
        <v>0</v>
      </c>
      <c r="N8" s="21">
        <f>N5</f>
        <v>7008.4463095060173</v>
      </c>
      <c r="O8" s="21">
        <f>O5</f>
        <v>376.95206168353604</v>
      </c>
      <c r="P8" s="21">
        <f>P5</f>
        <v>958.59029699933717</v>
      </c>
    </row>
    <row r="9" spans="1:16">
      <c r="B9" s="19"/>
      <c r="C9" s="19"/>
      <c r="D9" s="254"/>
      <c r="E9" s="19"/>
      <c r="F9" s="19"/>
      <c r="G9" s="19"/>
      <c r="H9" s="19"/>
      <c r="I9" s="19"/>
      <c r="J9" s="19"/>
      <c r="K9" s="19"/>
      <c r="L9" s="19"/>
      <c r="M9" s="19"/>
      <c r="N9" s="19"/>
      <c r="O9" s="19"/>
      <c r="P9" s="19"/>
    </row>
    <row r="10" spans="1:16">
      <c r="A10" s="24" t="s">
        <v>213</v>
      </c>
      <c r="B10" s="25">
        <f ca="1">'EF ele_warmte'!B12</f>
        <v>0.16726745998621881</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4100.8316768565355</v>
      </c>
      <c r="C12" s="23">
        <f ca="1">C10*C8</f>
        <v>0</v>
      </c>
      <c r="D12" s="23">
        <f>D8*D10</f>
        <v>14710.570564791466</v>
      </c>
      <c r="E12" s="23">
        <f>E10*E8</f>
        <v>201.32652911093589</v>
      </c>
      <c r="F12" s="23">
        <f>F10*F8</f>
        <v>5187.5404178880844</v>
      </c>
      <c r="G12" s="23"/>
      <c r="H12" s="23"/>
      <c r="I12" s="23"/>
      <c r="J12" s="23">
        <f>J10*J8</f>
        <v>39.197691081299084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5539</v>
      </c>
      <c r="C26" s="36"/>
      <c r="D26" s="225"/>
    </row>
    <row r="27" spans="1:5" s="15" customFormat="1">
      <c r="A27" s="227" t="s">
        <v>866</v>
      </c>
      <c r="B27" s="37">
        <f>SUM(HH_hh_gas_aantal,HH_rest_gas_aantal)</f>
        <v>4264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4050.8</v>
      </c>
      <c r="C31" s="34" t="s">
        <v>110</v>
      </c>
      <c r="D31" s="171"/>
    </row>
    <row r="32" spans="1:5">
      <c r="A32" s="168" t="s">
        <v>72</v>
      </c>
      <c r="B32" s="33">
        <f>IF((B21*($B$26-($B$27-0.05*$B$27)-$B$60))&lt;0,0,(B21*($B$26-($B$27-0.05*$B$27)-$B$60)))</f>
        <v>22.180827615165558</v>
      </c>
      <c r="C32" s="34" t="s">
        <v>110</v>
      </c>
      <c r="D32" s="171"/>
    </row>
    <row r="33" spans="1:6">
      <c r="A33" s="168" t="s">
        <v>73</v>
      </c>
      <c r="B33" s="33">
        <f>IF((B22*($B$26-($B$27-0.05*$B$27)-$B$60))&lt;0,0,B22*($B$26-($B$27-0.05*$B$27)-$B$60))</f>
        <v>360.1727108590303</v>
      </c>
      <c r="C33" s="34" t="s">
        <v>110</v>
      </c>
      <c r="D33" s="171"/>
    </row>
    <row r="34" spans="1:6">
      <c r="A34" s="168" t="s">
        <v>74</v>
      </c>
      <c r="B34" s="33">
        <f>IF((B24*($B$26-($B$27-0.05*$B$27)-$B$60))&lt;0,0,B24*($B$26-($B$27-0.05*$B$27)-$B$60))</f>
        <v>69.049928670047507</v>
      </c>
      <c r="C34" s="33">
        <f>B26*C24</f>
        <v>1134.9740005884482</v>
      </c>
      <c r="D34" s="230"/>
    </row>
    <row r="35" spans="1:6">
      <c r="A35" s="168" t="s">
        <v>76</v>
      </c>
      <c r="B35" s="33">
        <f>IF((B19*($B$26-($B$27-0.05*$B$27)-$B$60))&lt;0,0,B19*($B$26-($B$27-0.05*$B$27)-$B$60))</f>
        <v>9.641952883772019</v>
      </c>
      <c r="C35" s="33">
        <f>B35/2</f>
        <v>4.8209764418860095</v>
      </c>
      <c r="D35" s="230"/>
    </row>
    <row r="36" spans="1:6">
      <c r="A36" s="168" t="s">
        <v>77</v>
      </c>
      <c r="B36" s="33">
        <f>IF((B18*($B$26-($B$27-0.05*$B$27)-$B$60))&lt;0,0,B18*($B$26-($B$27-0.05*$B$27)-$B$60))</f>
        <v>936.15457997198416</v>
      </c>
      <c r="C36" s="34" t="s">
        <v>110</v>
      </c>
      <c r="D36" s="171"/>
    </row>
    <row r="37" spans="1:6">
      <c r="A37" s="168" t="s">
        <v>78</v>
      </c>
      <c r="B37" s="33">
        <f>B60</f>
        <v>91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13389.584986907459</v>
      </c>
      <c r="C5" s="17">
        <f>IF(ISERROR('Eigen informatie GS &amp; warmtenet'!B60),0,'Eigen informatie GS &amp; warmtenet'!B60)</f>
        <v>0</v>
      </c>
      <c r="D5" s="30">
        <f>SUM(D6:D12)</f>
        <v>17182.89836492703</v>
      </c>
      <c r="E5" s="17">
        <f>SUM(E6:E12)</f>
        <v>76.146825729822467</v>
      </c>
      <c r="F5" s="17">
        <f>SUM(F6:F12)</f>
        <v>4175.3823088688305</v>
      </c>
      <c r="G5" s="18"/>
      <c r="H5" s="17"/>
      <c r="I5" s="17"/>
      <c r="J5" s="17">
        <f>SUM(J6:J12)</f>
        <v>3.6543691048890041E-2</v>
      </c>
      <c r="K5" s="17"/>
      <c r="L5" s="17"/>
      <c r="M5" s="17"/>
      <c r="N5" s="17">
        <f>SUM(N6:N12)</f>
        <v>1394.7010979727577</v>
      </c>
      <c r="O5" s="17">
        <f>B38*B39*B40</f>
        <v>24.486303829205774</v>
      </c>
      <c r="P5" s="17">
        <f>B46*B47*B48/1000-B46*B47*B48/1000/B49</f>
        <v>262.69569153247511</v>
      </c>
      <c r="R5" s="32"/>
    </row>
    <row r="6" spans="1:18">
      <c r="A6" s="32" t="s">
        <v>53</v>
      </c>
      <c r="B6" s="37">
        <f>B26</f>
        <v>3122.6538728104601</v>
      </c>
      <c r="C6" s="33"/>
      <c r="D6" s="37">
        <f>IF(ISERROR(TER_kantoor_gas_kWh/1000),0,TER_kantoor_gas_kWh/1000)*0.903</f>
        <v>4822.1134020007794</v>
      </c>
      <c r="E6" s="33">
        <f>$C$26*'E Balans VL '!I12/100/3.6*1000000</f>
        <v>0.74403637867421313</v>
      </c>
      <c r="F6" s="33">
        <f>$C$26*('E Balans VL '!L12+'E Balans VL '!N12)/100/3.6*1000000</f>
        <v>271.2330788360444</v>
      </c>
      <c r="G6" s="34"/>
      <c r="H6" s="33"/>
      <c r="I6" s="33"/>
      <c r="J6" s="33">
        <f>$C$26*('E Balans VL '!D12+'E Balans VL '!E12)/100/3.6*1000000</f>
        <v>0</v>
      </c>
      <c r="K6" s="33"/>
      <c r="L6" s="33"/>
      <c r="M6" s="33"/>
      <c r="N6" s="33">
        <f>$C$26*'E Balans VL '!Y12/100/3.6*1000000</f>
        <v>4.173863760909553</v>
      </c>
      <c r="O6" s="33"/>
      <c r="P6" s="33"/>
      <c r="R6" s="32"/>
    </row>
    <row r="7" spans="1:18">
      <c r="A7" s="32" t="s">
        <v>52</v>
      </c>
      <c r="B7" s="37">
        <f t="shared" ref="B7:B12" si="0">B27</f>
        <v>1839.40593797671</v>
      </c>
      <c r="C7" s="33"/>
      <c r="D7" s="37">
        <f>IF(ISERROR(TER_horeca_gas_kWh/1000),0,TER_horeca_gas_kWh/1000)*0.903</f>
        <v>1961.1522927430369</v>
      </c>
      <c r="E7" s="33">
        <f>$C$27*'E Balans VL '!I9/100/3.6*1000000</f>
        <v>0</v>
      </c>
      <c r="F7" s="33">
        <f>$C$27*('E Balans VL '!L9+'E Balans VL '!N9)/100/3.6*1000000</f>
        <v>149.87829545277765</v>
      </c>
      <c r="G7" s="34"/>
      <c r="H7" s="33"/>
      <c r="I7" s="33"/>
      <c r="J7" s="33">
        <f>$C$27*('E Balans VL '!D9+'E Balans VL '!E9)/100/3.6*1000000</f>
        <v>0</v>
      </c>
      <c r="K7" s="33"/>
      <c r="L7" s="33"/>
      <c r="M7" s="33"/>
      <c r="N7" s="33">
        <f>$C$27*'E Balans VL '!Y9/100/3.6*1000000</f>
        <v>0.509481199953988</v>
      </c>
      <c r="O7" s="33"/>
      <c r="P7" s="33"/>
      <c r="R7" s="32"/>
    </row>
    <row r="8" spans="1:18">
      <c r="A8" s="6" t="s">
        <v>51</v>
      </c>
      <c r="B8" s="37">
        <f t="shared" si="0"/>
        <v>3572.9156419176597</v>
      </c>
      <c r="C8" s="33"/>
      <c r="D8" s="37">
        <f>IF(ISERROR(TER_handel_gas_kWh/1000),0,TER_handel_gas_kWh/1000)*0.903</f>
        <v>3489.8541678359861</v>
      </c>
      <c r="E8" s="33">
        <f>$C$28*'E Balans VL '!I13/100/3.6*1000000</f>
        <v>28.560510634869029</v>
      </c>
      <c r="F8" s="33">
        <f>$C$28*('E Balans VL '!L13+'E Balans VL '!N13)/100/3.6*1000000</f>
        <v>354.94695848501954</v>
      </c>
      <c r="G8" s="34"/>
      <c r="H8" s="33"/>
      <c r="I8" s="33"/>
      <c r="J8" s="33">
        <f>$C$28*('E Balans VL '!D13+'E Balans VL '!E13)/100/3.6*1000000</f>
        <v>0</v>
      </c>
      <c r="K8" s="33"/>
      <c r="L8" s="33"/>
      <c r="M8" s="33"/>
      <c r="N8" s="33">
        <f>$C$28*'E Balans VL '!Y13/100/3.6*1000000</f>
        <v>1.3346966663515845</v>
      </c>
      <c r="O8" s="33"/>
      <c r="P8" s="33"/>
      <c r="R8" s="32"/>
    </row>
    <row r="9" spans="1:18">
      <c r="A9" s="32" t="s">
        <v>50</v>
      </c>
      <c r="B9" s="37">
        <f t="shared" si="0"/>
        <v>710.66747698638494</v>
      </c>
      <c r="C9" s="33"/>
      <c r="D9" s="37">
        <f>IF(ISERROR(TER_gezond_gas_kWh/1000),0,TER_gezond_gas_kWh/1000)*0.903</f>
        <v>2751.7694849018171</v>
      </c>
      <c r="E9" s="33">
        <f>$C$29*'E Balans VL '!I10/100/3.6*1000000</f>
        <v>0</v>
      </c>
      <c r="F9" s="33">
        <f>$C$29*('E Balans VL '!L10+'E Balans VL '!N10)/100/3.6*1000000</f>
        <v>64.788921348935602</v>
      </c>
      <c r="G9" s="34"/>
      <c r="H9" s="33"/>
      <c r="I9" s="33"/>
      <c r="J9" s="33">
        <f>$C$29*('E Balans VL '!D10+'E Balans VL '!E10)/100/3.6*1000000</f>
        <v>0</v>
      </c>
      <c r="K9" s="33"/>
      <c r="L9" s="33"/>
      <c r="M9" s="33"/>
      <c r="N9" s="33">
        <f>$C$29*'E Balans VL '!Y10/100/3.6*1000000</f>
        <v>5.1943423849732149</v>
      </c>
      <c r="O9" s="33"/>
      <c r="P9" s="33"/>
      <c r="R9" s="32"/>
    </row>
    <row r="10" spans="1:18">
      <c r="A10" s="32" t="s">
        <v>49</v>
      </c>
      <c r="B10" s="37">
        <f t="shared" si="0"/>
        <v>3613.1173786499799</v>
      </c>
      <c r="C10" s="33"/>
      <c r="D10" s="37">
        <f>IF(ISERROR(TER_ander_gas_kWh/1000),0,TER_ander_gas_kWh/1000)*0.903</f>
        <v>2409.9105193692162</v>
      </c>
      <c r="E10" s="33">
        <f>$C$30*'E Balans VL '!I14/100/3.6*1000000</f>
        <v>46.842278716279218</v>
      </c>
      <c r="F10" s="33">
        <f>$C$30*('E Balans VL '!L14+'E Balans VL '!N14)/100/3.6*1000000</f>
        <v>3313.73592753404</v>
      </c>
      <c r="G10" s="34"/>
      <c r="H10" s="33"/>
      <c r="I10" s="33"/>
      <c r="J10" s="33">
        <f>$C$30*('E Balans VL '!D14+'E Balans VL '!E14)/100/3.6*1000000</f>
        <v>3.6543691048890041E-2</v>
      </c>
      <c r="K10" s="33"/>
      <c r="L10" s="33"/>
      <c r="M10" s="33"/>
      <c r="N10" s="33">
        <f>$C$30*'E Balans VL '!Y14/100/3.6*1000000</f>
        <v>1381.8170158954106</v>
      </c>
      <c r="O10" s="33"/>
      <c r="P10" s="33"/>
      <c r="R10" s="32"/>
    </row>
    <row r="11" spans="1:18">
      <c r="A11" s="32" t="s">
        <v>54</v>
      </c>
      <c r="B11" s="37">
        <f t="shared" si="0"/>
        <v>530.82467856626306</v>
      </c>
      <c r="C11" s="33"/>
      <c r="D11" s="37">
        <f>IF(ISERROR(TER_onderwijs_gas_kWh/1000),0,TER_onderwijs_gas_kWh/1000)*0.903</f>
        <v>1748.0984980761962</v>
      </c>
      <c r="E11" s="33">
        <f>$C$31*'E Balans VL '!I11/100/3.6*1000000</f>
        <v>0</v>
      </c>
      <c r="F11" s="33">
        <f>$C$31*('E Balans VL '!L11+'E Balans VL '!N11)/100/3.6*1000000</f>
        <v>20.799127212012998</v>
      </c>
      <c r="G11" s="34"/>
      <c r="H11" s="33"/>
      <c r="I11" s="33"/>
      <c r="J11" s="33">
        <f>$C$31*('E Balans VL '!D11+'E Balans VL '!E11)/100/3.6*1000000</f>
        <v>0</v>
      </c>
      <c r="K11" s="33"/>
      <c r="L11" s="33"/>
      <c r="M11" s="33"/>
      <c r="N11" s="33">
        <f>$C$31*'E Balans VL '!Y11/100/3.6*1000000</f>
        <v>1.6716980651588165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52.5</v>
      </c>
      <c r="C13" s="243">
        <f ca="1">'lokale energieproductie'!O39+'lokale energieproductie'!O32</f>
        <v>75</v>
      </c>
      <c r="D13" s="304">
        <f ca="1">('lokale energieproductie'!P32+'lokale energieproductie'!P39)*(-1)</f>
        <v>-150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13442.084986907459</v>
      </c>
      <c r="C16" s="21">
        <f t="shared" ca="1" si="1"/>
        <v>75</v>
      </c>
      <c r="D16" s="21">
        <f t="shared" ca="1" si="1"/>
        <v>17032.89836492703</v>
      </c>
      <c r="E16" s="21">
        <f t="shared" si="1"/>
        <v>76.146825729822467</v>
      </c>
      <c r="F16" s="21">
        <f t="shared" ca="1" si="1"/>
        <v>4175.3823088688305</v>
      </c>
      <c r="G16" s="21">
        <f t="shared" si="1"/>
        <v>0</v>
      </c>
      <c r="H16" s="21">
        <f t="shared" si="1"/>
        <v>0</v>
      </c>
      <c r="I16" s="21">
        <f t="shared" si="1"/>
        <v>0</v>
      </c>
      <c r="J16" s="21">
        <f t="shared" si="1"/>
        <v>3.6543691048890041E-2</v>
      </c>
      <c r="K16" s="21">
        <f t="shared" si="1"/>
        <v>0</v>
      </c>
      <c r="L16" s="21">
        <f t="shared" ca="1" si="1"/>
        <v>0</v>
      </c>
      <c r="M16" s="21">
        <f t="shared" si="1"/>
        <v>0</v>
      </c>
      <c r="N16" s="21">
        <f t="shared" ca="1" si="1"/>
        <v>1394.7010979727577</v>
      </c>
      <c r="O16" s="21">
        <f>O5</f>
        <v>24.486303829205774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0.16726745998621881</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2248.4234126788961</v>
      </c>
      <c r="C20" s="23">
        <f t="shared" ref="C20:P20" ca="1" si="2">C16*C18</f>
        <v>17.823529411764714</v>
      </c>
      <c r="D20" s="23">
        <f t="shared" ca="1" si="2"/>
        <v>3440.6454697152603</v>
      </c>
      <c r="E20" s="23">
        <f t="shared" si="2"/>
        <v>17.285329440669699</v>
      </c>
      <c r="F20" s="23">
        <f t="shared" ca="1" si="2"/>
        <v>1114.8270764679778</v>
      </c>
      <c r="G20" s="23">
        <f t="shared" si="2"/>
        <v>0</v>
      </c>
      <c r="H20" s="23">
        <f t="shared" si="2"/>
        <v>0</v>
      </c>
      <c r="I20" s="23">
        <f t="shared" si="2"/>
        <v>0</v>
      </c>
      <c r="J20" s="23">
        <f t="shared" si="2"/>
        <v>1.2936466631307073E-2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3122.6538728104601</v>
      </c>
      <c r="C26" s="39">
        <f>IF(ISERROR(B26*3.6/1000000/'E Balans VL '!Z12*100),0,B26*3.6/1000000/'E Balans VL '!Z12*100)</f>
        <v>8.9588645753257312E-2</v>
      </c>
      <c r="D26" s="233" t="s">
        <v>841</v>
      </c>
      <c r="F26" s="6"/>
    </row>
    <row r="27" spans="1:18" ht="30">
      <c r="A27" s="228" t="s">
        <v>52</v>
      </c>
      <c r="B27" s="33">
        <f>IF(ISERROR(TER_horeca_ele_kWh/1000),0,TER_horeca_ele_kWh/1000)</f>
        <v>1839.40593797671</v>
      </c>
      <c r="C27" s="39">
        <f>IF(ISERROR(B27*3.6/1000000/'E Balans VL '!Z9*100),0,B27*3.6/1000000/'E Balans VL '!Z9*100)</f>
        <v>0.13475553023128517</v>
      </c>
      <c r="D27" s="233" t="s">
        <v>841</v>
      </c>
      <c r="F27" s="6"/>
    </row>
    <row r="28" spans="1:18" ht="30">
      <c r="A28" s="168" t="s">
        <v>51</v>
      </c>
      <c r="B28" s="33">
        <f>IF(ISERROR(TER_handel_ele_kWh/1000),0,TER_handel_ele_kWh/1000)</f>
        <v>3572.9156419176597</v>
      </c>
      <c r="C28" s="39">
        <f>IF(ISERROR(B28*3.6/1000000/'E Balans VL '!Z13*100),0,B28*3.6/1000000/'E Balans VL '!Z13*100)</f>
        <v>0.11040610691572979</v>
      </c>
      <c r="D28" s="233" t="s">
        <v>841</v>
      </c>
      <c r="F28" s="6"/>
    </row>
    <row r="29" spans="1:18" ht="30">
      <c r="A29" s="228" t="s">
        <v>50</v>
      </c>
      <c r="B29" s="33">
        <f>IF(ISERROR(TER_gezond_ele_kWh/1000),0,TER_gezond_ele_kWh/1000)</f>
        <v>710.66747698638494</v>
      </c>
      <c r="C29" s="39">
        <f>IF(ISERROR(B29*3.6/1000000/'E Balans VL '!Z10*100),0,B29*3.6/1000000/'E Balans VL '!Z10*100)</f>
        <v>6.9649782607000804E-2</v>
      </c>
      <c r="D29" s="233" t="s">
        <v>841</v>
      </c>
      <c r="F29" s="6"/>
    </row>
    <row r="30" spans="1:18" ht="30">
      <c r="A30" s="228" t="s">
        <v>49</v>
      </c>
      <c r="B30" s="33">
        <f>IF(ISERROR(TER_ander_ele_kWh/1000),0,TER_ander_ele_kWh/1000)</f>
        <v>3613.1173786499799</v>
      </c>
      <c r="C30" s="39">
        <f>IF(ISERROR(B30*3.6/1000000/'E Balans VL '!Z14*100),0,B30*3.6/1000000/'E Balans VL '!Z14*100)</f>
        <v>0.14966699405688755</v>
      </c>
      <c r="D30" s="233" t="s">
        <v>841</v>
      </c>
      <c r="F30" s="6"/>
    </row>
    <row r="31" spans="1:18" ht="30">
      <c r="A31" s="228" t="s">
        <v>54</v>
      </c>
      <c r="B31" s="33">
        <f>IF(ISERROR(TER_onderwijs_ele_kWh/1000),0,TER_onderwijs_ele_kWh/1000)</f>
        <v>530.82467856626306</v>
      </c>
      <c r="C31" s="39">
        <f>IF(ISERROR(B31*3.6/1000000/'E Balans VL '!Z11*100),0,B31*3.6/1000000/'E Balans VL '!Z11*100)</f>
        <v>0.16310628526237825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1945.1505454232324</v>
      </c>
      <c r="C5" s="17">
        <f>IF(ISERROR('Eigen informatie GS &amp; warmtenet'!B61),0,'Eigen informatie GS &amp; warmtenet'!B61)</f>
        <v>0</v>
      </c>
      <c r="D5" s="30">
        <f>SUM(D6:D15)</f>
        <v>2766.8747037669177</v>
      </c>
      <c r="E5" s="17">
        <f>SUM(E6:E15)</f>
        <v>5.1521824827868921</v>
      </c>
      <c r="F5" s="17">
        <f>SUM(F6:F15)</f>
        <v>567.23818943021593</v>
      </c>
      <c r="G5" s="18"/>
      <c r="H5" s="17"/>
      <c r="I5" s="17"/>
      <c r="J5" s="17">
        <f>SUM(J6:J15)</f>
        <v>7.1864916081195371E-2</v>
      </c>
      <c r="K5" s="17"/>
      <c r="L5" s="17"/>
      <c r="M5" s="17"/>
      <c r="N5" s="17">
        <f>SUM(N6:N15)</f>
        <v>72.346339300783484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81.5875465355643</v>
      </c>
      <c r="C8" s="33"/>
      <c r="D8" s="37">
        <f>IF( ISERROR(IND_metaal_Gas_kWH/1000),0,IND_metaal_Gas_kWH/1000)*0.903</f>
        <v>136.85490514690912</v>
      </c>
      <c r="E8" s="33">
        <f>C30*'E Balans VL '!I18/100/3.6*1000000</f>
        <v>0.44474644035286703</v>
      </c>
      <c r="F8" s="33">
        <f>C30*'E Balans VL '!L18/100/3.6*1000000+C30*'E Balans VL '!N18/100/3.6*1000000</f>
        <v>5.2542442287675559</v>
      </c>
      <c r="G8" s="34"/>
      <c r="H8" s="33"/>
      <c r="I8" s="33"/>
      <c r="J8" s="40">
        <f>C30*'E Balans VL '!D18/100/3.6*1000000+C30*'E Balans VL '!E18/100/3.6*1000000</f>
        <v>6.68301525316672E-2</v>
      </c>
      <c r="K8" s="33"/>
      <c r="L8" s="33"/>
      <c r="M8" s="33"/>
      <c r="N8" s="33">
        <f>C30*'E Balans VL '!Y18/100/3.6*1000000</f>
        <v>1.762645030103243</v>
      </c>
      <c r="O8" s="33"/>
      <c r="P8" s="33"/>
      <c r="R8" s="32"/>
    </row>
    <row r="9" spans="1:18">
      <c r="A9" s="6" t="s">
        <v>32</v>
      </c>
      <c r="B9" s="37">
        <f t="shared" si="0"/>
        <v>838.83470923709297</v>
      </c>
      <c r="C9" s="33"/>
      <c r="D9" s="37">
        <f>IF( ISERROR(IND_andere_gas_kWh/1000),0,IND_andere_gas_kWh/1000)*0.903</f>
        <v>1419.3152212534719</v>
      </c>
      <c r="E9" s="33">
        <f>C31*'E Balans VL '!I19/100/3.6*1000000</f>
        <v>2.7079012954344073</v>
      </c>
      <c r="F9" s="33">
        <f>C31*'E Balans VL '!L19/100/3.6*1000000+C31*'E Balans VL '!N19/100/3.6*1000000</f>
        <v>542.39710789669186</v>
      </c>
      <c r="G9" s="34"/>
      <c r="H9" s="33"/>
      <c r="I9" s="33"/>
      <c r="J9" s="40">
        <f>C31*'E Balans VL '!D19/100/3.6*1000000+C31*'E Balans VL '!E19/100/3.6*1000000</f>
        <v>0</v>
      </c>
      <c r="K9" s="33"/>
      <c r="L9" s="33"/>
      <c r="M9" s="33"/>
      <c r="N9" s="33">
        <f>C31*'E Balans VL '!Y19/100/3.6*1000000</f>
        <v>33.896341661205888</v>
      </c>
      <c r="O9" s="33"/>
      <c r="P9" s="33"/>
      <c r="R9" s="32"/>
    </row>
    <row r="10" spans="1:18">
      <c r="A10" s="6" t="s">
        <v>40</v>
      </c>
      <c r="B10" s="37">
        <f t="shared" si="0"/>
        <v>922.32050418973199</v>
      </c>
      <c r="C10" s="33"/>
      <c r="D10" s="37">
        <f>IF( ISERROR(IND_voed_gas_kWh/1000),0,IND_voed_gas_kWh/1000)*0.903</f>
        <v>898.2315721742707</v>
      </c>
      <c r="E10" s="33">
        <f>C32*'E Balans VL '!I20/100/3.6*1000000</f>
        <v>1.9334098131504982</v>
      </c>
      <c r="F10" s="33">
        <f>C32*'E Balans VL '!L20/100/3.6*1000000+C32*'E Balans VL '!N20/100/3.6*1000000</f>
        <v>17.969990847977193</v>
      </c>
      <c r="G10" s="34"/>
      <c r="H10" s="33"/>
      <c r="I10" s="33"/>
      <c r="J10" s="40">
        <f>C32*'E Balans VL '!D20/100/3.6*1000000+C32*'E Balans VL '!E20/100/3.6*1000000</f>
        <v>0</v>
      </c>
      <c r="K10" s="33"/>
      <c r="L10" s="33"/>
      <c r="M10" s="33"/>
      <c r="N10" s="33">
        <f>C32*'E Balans VL '!Y20/100/3.6*1000000</f>
        <v>36.687352609474345</v>
      </c>
      <c r="O10" s="33"/>
      <c r="P10" s="33"/>
      <c r="R10" s="32"/>
    </row>
    <row r="11" spans="1:18">
      <c r="A11" s="6" t="s">
        <v>39</v>
      </c>
      <c r="B11" s="37">
        <f t="shared" si="0"/>
        <v>76.954785460843198</v>
      </c>
      <c r="C11" s="33"/>
      <c r="D11" s="37">
        <f>IF( ISERROR(IND_textiel_gas_kWh/1000),0,IND_textiel_gas_kWh/1000)*0.903</f>
        <v>286.6722769008785</v>
      </c>
      <c r="E11" s="33">
        <f>C33*'E Balans VL '!I21/100/3.6*1000000</f>
        <v>6.6124933849119716E-2</v>
      </c>
      <c r="F11" s="33">
        <f>C33*'E Balans VL '!L21/100/3.6*1000000+C33*'E Balans VL '!N21/100/3.6*1000000</f>
        <v>1.6134369471844743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25.452999999999999</v>
      </c>
      <c r="C13" s="33"/>
      <c r="D13" s="37">
        <f>IF( ISERROR(IND_papier_gas_kWh/1000),0,IND_papier_gas_kWh/1000)*0.903</f>
        <v>0</v>
      </c>
      <c r="E13" s="33">
        <f>C35*'E Balans VL '!I23/100/3.6*1000000</f>
        <v>0</v>
      </c>
      <c r="F13" s="33">
        <f>C35*'E Balans VL '!L23/100/3.6*1000000+C35*'E Balans VL '!N23/100/3.6*1000000</f>
        <v>3.4095095947863068E-3</v>
      </c>
      <c r="G13" s="34"/>
      <c r="H13" s="33"/>
      <c r="I13" s="33"/>
      <c r="J13" s="40">
        <f>C35*'E Balans VL '!D23/100/3.6*1000000+C35*'E Balans VL '!E23/100/3.6*1000000</f>
        <v>5.0347635495281689E-3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25.800728291387756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1945.1505454232324</v>
      </c>
      <c r="C18" s="21">
        <f>C5+C16</f>
        <v>0</v>
      </c>
      <c r="D18" s="21">
        <f>MAX((D5+D16),0)</f>
        <v>2766.8747037669177</v>
      </c>
      <c r="E18" s="21">
        <f>MAX((E5+E16),0)</f>
        <v>5.1521824827868921</v>
      </c>
      <c r="F18" s="21">
        <f>MAX((F5+F16),0)</f>
        <v>567.23818943021593</v>
      </c>
      <c r="G18" s="21"/>
      <c r="H18" s="21"/>
      <c r="I18" s="21"/>
      <c r="J18" s="21">
        <f>MAX((J5+J16),0)</f>
        <v>7.1864916081195371E-2</v>
      </c>
      <c r="K18" s="21"/>
      <c r="L18" s="21">
        <f>MAX((L5+L16),0)</f>
        <v>0</v>
      </c>
      <c r="M18" s="21"/>
      <c r="N18" s="21">
        <f>MAX((N5+N16),0)</f>
        <v>72.346339300783484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0.16726745998621881</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325.36039102375224</v>
      </c>
      <c r="C22" s="23">
        <f ca="1">C18*C20</f>
        <v>0</v>
      </c>
      <c r="D22" s="23">
        <f>D18*D20</f>
        <v>558.90869016091744</v>
      </c>
      <c r="E22" s="23">
        <f>E18*E20</f>
        <v>1.1695454235926246</v>
      </c>
      <c r="F22" s="23">
        <f>F18*F20</f>
        <v>151.45259657786767</v>
      </c>
      <c r="G22" s="23"/>
      <c r="H22" s="23"/>
      <c r="I22" s="23"/>
      <c r="J22" s="23">
        <f>J18*J20</f>
        <v>2.5440180292743159E-2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81.5875465355643</v>
      </c>
      <c r="C30" s="39">
        <f>IF(ISERROR(B30*3.6/1000000/'E Balans VL '!Z18*100),0,B30*3.6/1000000/'E Balans VL '!Z18*100)</f>
        <v>4.9129783360016875E-3</v>
      </c>
      <c r="D30" s="233" t="s">
        <v>841</v>
      </c>
    </row>
    <row r="31" spans="1:18" ht="30">
      <c r="A31" s="6" t="s">
        <v>32</v>
      </c>
      <c r="B31" s="37">
        <f>IF( ISERROR(IND_ander_ele_kWh/1000),0,IND_ander_ele_kWh/1000)</f>
        <v>838.83470923709297</v>
      </c>
      <c r="C31" s="39">
        <f>IF(ISERROR(B31*3.6/1000000/'E Balans VL '!Z19*100),0,B31*3.6/1000000/'E Balans VL '!Z19*100)</f>
        <v>3.4175862642016018E-2</v>
      </c>
      <c r="D31" s="233" t="s">
        <v>841</v>
      </c>
    </row>
    <row r="32" spans="1:18" ht="30">
      <c r="A32" s="168" t="s">
        <v>40</v>
      </c>
      <c r="B32" s="37">
        <f>IF( ISERROR(IND_voed_ele_kWh/1000),0,IND_voed_ele_kWh/1000)</f>
        <v>922.32050418973199</v>
      </c>
      <c r="C32" s="39">
        <f>IF(ISERROR(B32*3.6/1000000/'E Balans VL '!Z20*100),0,B32*3.6/1000000/'E Balans VL '!Z20*100)</f>
        <v>2.6667997471182165E-2</v>
      </c>
      <c r="D32" s="233" t="s">
        <v>841</v>
      </c>
    </row>
    <row r="33" spans="1:5" ht="30">
      <c r="A33" s="168" t="s">
        <v>39</v>
      </c>
      <c r="B33" s="37">
        <f>IF( ISERROR(IND_textiel_ele_kWh/1000),0,IND_textiel_ele_kWh/1000)</f>
        <v>76.954785460843198</v>
      </c>
      <c r="C33" s="39">
        <f>IF(ISERROR(B33*3.6/1000000/'E Balans VL '!Z21*100),0,B33*3.6/1000000/'E Balans VL '!Z21*100)</f>
        <v>1.2655489731888941E-2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25.452999999999999</v>
      </c>
      <c r="C35" s="39">
        <f>IF(ISERROR(B35*3.6/1000000/'E Balans VL '!Z22*100),0,B35*3.6/1000000/'E Balans VL '!Z22*100)</f>
        <v>1.0868194484395358E-2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2674.1192649013697</v>
      </c>
      <c r="C5" s="17">
        <f>'Eigen informatie GS &amp; warmtenet'!B62</f>
        <v>0</v>
      </c>
      <c r="D5" s="30">
        <f>IF(ISERROR(SUM(LB_lb_gas_kWh,LB_rest_gas_kWh)/1000),0,SUM(LB_lb_gas_kWh,LB_rest_gas_kWh)/1000)*0.903</f>
        <v>31193.783039939106</v>
      </c>
      <c r="E5" s="17">
        <f>B17*'E Balans VL '!I25/3.6*1000000/100</f>
        <v>76.591301185086238</v>
      </c>
      <c r="F5" s="17">
        <f>B17*('E Balans VL '!L25/3.6*1000000+'E Balans VL '!N25/3.6*1000000)/100</f>
        <v>8464.8802421011769</v>
      </c>
      <c r="G5" s="18"/>
      <c r="H5" s="17"/>
      <c r="I5" s="17"/>
      <c r="J5" s="17">
        <f>('E Balans VL '!D25+'E Balans VL '!E25)/3.6*1000000*landbouw!B17/100</f>
        <v>679.94455532301549</v>
      </c>
      <c r="K5" s="17"/>
      <c r="L5" s="17">
        <f>L6*(-1)</f>
        <v>0</v>
      </c>
      <c r="M5" s="17"/>
      <c r="N5" s="17">
        <f>N6*(-1)</f>
        <v>0</v>
      </c>
      <c r="O5" s="17"/>
      <c r="P5" s="17"/>
      <c r="R5" s="32"/>
    </row>
    <row r="6" spans="1:18">
      <c r="A6" s="16" t="s">
        <v>473</v>
      </c>
      <c r="B6" s="17" t="s">
        <v>210</v>
      </c>
      <c r="C6" s="17">
        <f>'lokale energieproductie'!O40+'lokale energieproductie'!O33</f>
        <v>17228.571428571428</v>
      </c>
      <c r="D6" s="304">
        <f>('lokale energieproductie'!P33+'lokale energieproductie'!P40)*(-1)</f>
        <v>-34457.142857142862</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2674.1192649013697</v>
      </c>
      <c r="C8" s="21">
        <f>C5+C6</f>
        <v>17228.571428571428</v>
      </c>
      <c r="D8" s="21">
        <f>MAX((D5+D6),0)</f>
        <v>0</v>
      </c>
      <c r="E8" s="21">
        <f>MAX((E5+E6),0)</f>
        <v>76.591301185086238</v>
      </c>
      <c r="F8" s="21">
        <f>MAX((F5+F6),0)</f>
        <v>8464.8802421011769</v>
      </c>
      <c r="G8" s="21"/>
      <c r="H8" s="21"/>
      <c r="I8" s="21"/>
      <c r="J8" s="21">
        <f>MAX((J5+J6),0)</f>
        <v>679.94455532301549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0.16726745998621881</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447.29313714026671</v>
      </c>
      <c r="C12" s="23">
        <f ca="1">C8*C10</f>
        <v>4094.3193277310938</v>
      </c>
      <c r="D12" s="23">
        <f>D8*D10</f>
        <v>0</v>
      </c>
      <c r="E12" s="23">
        <f>E8*E10</f>
        <v>17.386225369014575</v>
      </c>
      <c r="F12" s="23">
        <f>F8*F10</f>
        <v>2260.1230246410146</v>
      </c>
      <c r="G12" s="23"/>
      <c r="H12" s="23"/>
      <c r="I12" s="23"/>
      <c r="J12" s="23">
        <f>J8*J10</f>
        <v>240.70037258434746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0.37030485445691091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262.01794455555745</v>
      </c>
      <c r="C26" s="243">
        <f>B26*'GWP N2O_CH4'!B5</f>
        <v>5502.376835666706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124.52558759600855</v>
      </c>
      <c r="C27" s="243">
        <f>B27*'GWP N2O_CH4'!B5</f>
        <v>2615.0373395161796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6.1101616652051316</v>
      </c>
      <c r="C28" s="243">
        <f>B28*'GWP N2O_CH4'!B4</f>
        <v>1894.1501162135908</v>
      </c>
      <c r="D28" s="50"/>
    </row>
    <row r="29" spans="1:4">
      <c r="A29" s="41" t="s">
        <v>272</v>
      </c>
      <c r="B29" s="243">
        <f>B34*'ha_N2O bodem landbouw'!B4</f>
        <v>11.578630565162616</v>
      </c>
      <c r="C29" s="243">
        <f>B29*'GWP N2O_CH4'!B4</f>
        <v>3589.3754752004111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2.6304576384384264E-3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9.5913158226781795E-4</v>
      </c>
      <c r="C5" s="434" t="s">
        <v>210</v>
      </c>
      <c r="D5" s="419">
        <f>SUM(D6:D11)</f>
        <v>1.541225048996338E-3</v>
      </c>
      <c r="E5" s="419">
        <f>SUM(E6:E11)</f>
        <v>6.7150965722398491E-4</v>
      </c>
      <c r="F5" s="432" t="s">
        <v>210</v>
      </c>
      <c r="G5" s="419">
        <f>SUM(G6:G11)</f>
        <v>0.38966995180897152</v>
      </c>
      <c r="H5" s="419">
        <f>SUM(H6:H11)</f>
        <v>7.7290678804130472E-2</v>
      </c>
      <c r="I5" s="434" t="s">
        <v>210</v>
      </c>
      <c r="J5" s="434" t="s">
        <v>210</v>
      </c>
      <c r="K5" s="434" t="s">
        <v>210</v>
      </c>
      <c r="L5" s="434" t="s">
        <v>210</v>
      </c>
      <c r="M5" s="419">
        <f>SUM(M6:M11)</f>
        <v>2.7853363556315576E-2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2.8444737075210432E-4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4.7425519517483184E-4</v>
      </c>
      <c r="E6" s="886">
        <f>vkm_GW_PW*SUMIFS(TableVerdeelsleutelVkm[LPG],TableVerdeelsleutelVkm[Voertuigtype],"Lichte voertuigen")*SUMIFS(TableECFTransport[EnergieConsumptieFactor (PJ per km)],TableECFTransport[Index],CONCATENATE($A6,"_LPG_LPG"))</f>
        <v>1.8802289589400014E-4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5.6505603434067082E-2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2.3258304834698672E-2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4.8932805414421748E-3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4.8843885857525394E-7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1.9362024222177684E-2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1.4286371317644818E-7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1.1117346868625522E-3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1.3641955392671405E-4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3.1150766973963369E-4</v>
      </c>
      <c r="E8" s="422">
        <f>vkm_NGW_PW*SUMIFS(TableVerdeelsleutelVkm[LPG],TableVerdeelsleutelVkm[Voertuigtype],"Lichte voertuigen")*SUMIFS(TableECFTransport[EnergieConsumptieFactor (PJ per km)],TableECFTransport[Index],CONCATENATE($A8,"_LPG_LPG"))</f>
        <v>1.182499151766986E-4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3.2551846289664343E-2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1.5134237760575351E-2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2.9419683438996532E-3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4.0317688252343176E-9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2.0581299565457925E-4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1.4233896208974771E-9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1.1817427401129491E-5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5.3290783024743395E-4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7.554621840818724E-4</v>
      </c>
      <c r="E10" s="422">
        <f>vkm_SW_PW*SUMIFS(TableVerdeelsleutelVkm[LPG],TableVerdeelsleutelVkm[Voertuigtype],"Lichte voertuigen")*SUMIFS(TableECFTransport[EnergieConsumptieFactor (PJ per km)],TableECFTransport[Index],CONCATENATE($A10,"_LPG_LPG"))</f>
        <v>3.6523684615328623E-4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9.958072578449563E-2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3.8896527495248925E-2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8.4752011602120033E-3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4.8643567141651586E-6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0.1814639390829122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1.4644265047309027E-6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1.0419361396498066E-2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266.42543951883829</v>
      </c>
      <c r="C14" s="21"/>
      <c r="D14" s="21">
        <f t="shared" ref="D14:M14" si="0">((D5)*10^9/3600)+D12</f>
        <v>428.11806916564944</v>
      </c>
      <c r="E14" s="21">
        <f t="shared" si="0"/>
        <v>186.53046033999581</v>
      </c>
      <c r="F14" s="21"/>
      <c r="G14" s="21">
        <f t="shared" si="0"/>
        <v>108241.65328026986</v>
      </c>
      <c r="H14" s="21">
        <f t="shared" si="0"/>
        <v>21469.633001147351</v>
      </c>
      <c r="I14" s="21"/>
      <c r="J14" s="21"/>
      <c r="K14" s="21"/>
      <c r="L14" s="21"/>
      <c r="M14" s="21">
        <f t="shared" si="0"/>
        <v>7737.045432309882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0.16726745998621881</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44.564306544028042</v>
      </c>
      <c r="C18" s="23"/>
      <c r="D18" s="23">
        <f t="shared" ref="D18:M18" si="1">D14*D16</f>
        <v>86.479849971461192</v>
      </c>
      <c r="E18" s="23">
        <f t="shared" si="1"/>
        <v>42.34241449717905</v>
      </c>
      <c r="F18" s="23"/>
      <c r="G18" s="23">
        <f t="shared" si="1"/>
        <v>28900.521425832056</v>
      </c>
      <c r="H18" s="23">
        <f t="shared" si="1"/>
        <v>5345.9386172856903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6.7434249710053448E-5</v>
      </c>
      <c r="C50" s="315">
        <f t="shared" ref="C50:P50" si="2">SUM(C51:C52)</f>
        <v>0</v>
      </c>
      <c r="D50" s="315">
        <f t="shared" si="2"/>
        <v>0</v>
      </c>
      <c r="E50" s="315">
        <f t="shared" si="2"/>
        <v>0</v>
      </c>
      <c r="F50" s="315">
        <f t="shared" si="2"/>
        <v>0</v>
      </c>
      <c r="G50" s="315">
        <f t="shared" si="2"/>
        <v>4.2215878998643867E-3</v>
      </c>
      <c r="H50" s="315">
        <f t="shared" si="2"/>
        <v>0</v>
      </c>
      <c r="I50" s="315">
        <f t="shared" si="2"/>
        <v>0</v>
      </c>
      <c r="J50" s="315">
        <f t="shared" si="2"/>
        <v>0</v>
      </c>
      <c r="K50" s="315">
        <f t="shared" si="2"/>
        <v>0</v>
      </c>
      <c r="L50" s="315">
        <f t="shared" si="2"/>
        <v>0</v>
      </c>
      <c r="M50" s="315">
        <f t="shared" si="2"/>
        <v>2.4239422963163394E-4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6.7434249710053448E-5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4.2215878998643867E-3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2.4239422963163394E-4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18.731736030570403</v>
      </c>
      <c r="C54" s="21">
        <f t="shared" ref="C54:P54" si="3">(C50)*10^9/3600</f>
        <v>0</v>
      </c>
      <c r="D54" s="21">
        <f t="shared" si="3"/>
        <v>0</v>
      </c>
      <c r="E54" s="21">
        <f t="shared" si="3"/>
        <v>0</v>
      </c>
      <c r="F54" s="21">
        <f t="shared" si="3"/>
        <v>0</v>
      </c>
      <c r="G54" s="21">
        <f t="shared" si="3"/>
        <v>1172.6633055178852</v>
      </c>
      <c r="H54" s="21">
        <f t="shared" si="3"/>
        <v>0</v>
      </c>
      <c r="I54" s="21">
        <f t="shared" si="3"/>
        <v>0</v>
      </c>
      <c r="J54" s="21">
        <f t="shared" si="3"/>
        <v>0</v>
      </c>
      <c r="K54" s="21">
        <f t="shared" si="3"/>
        <v>0</v>
      </c>
      <c r="L54" s="21">
        <f t="shared" si="3"/>
        <v>0</v>
      </c>
      <c r="M54" s="21">
        <f t="shared" si="3"/>
        <v>67.331730453231643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0.16726745998621881</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3.1332099069658481</v>
      </c>
      <c r="C58" s="23">
        <f t="shared" ref="C58:P58" ca="1" si="4">C54*C56</f>
        <v>0</v>
      </c>
      <c r="D58" s="23">
        <f t="shared" si="4"/>
        <v>0</v>
      </c>
      <c r="E58" s="23">
        <f t="shared" si="4"/>
        <v>0</v>
      </c>
      <c r="F58" s="23">
        <f t="shared" si="4"/>
        <v>0</v>
      </c>
      <c r="G58" s="23">
        <f t="shared" si="4"/>
        <v>313.10110257327534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4766.5078804801733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6858.7886325824438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12112.5</v>
      </c>
      <c r="C8" s="545">
        <f>B49</f>
        <v>14250.000000000004</v>
      </c>
      <c r="D8" s="546"/>
      <c r="E8" s="546">
        <f>E49</f>
        <v>0</v>
      </c>
      <c r="F8" s="547"/>
      <c r="G8" s="548"/>
      <c r="H8" s="546">
        <f>I49</f>
        <v>0</v>
      </c>
      <c r="I8" s="546">
        <f>G49+F49</f>
        <v>0</v>
      </c>
      <c r="J8" s="546">
        <f>H49+D49+C49</f>
        <v>0</v>
      </c>
      <c r="K8" s="546"/>
      <c r="L8" s="546"/>
      <c r="M8" s="546"/>
      <c r="N8" s="549"/>
      <c r="O8" s="550">
        <f>C8*$C$12+D8*$D$12+E8*$E$12+F8*$F$12+G8*$G$12+H8*$H$12+I8*$I$12+J8*$J$12</f>
        <v>2878.5000000000009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23737.796513062618</v>
      </c>
      <c r="C10" s="560">
        <f t="shared" ref="C10:L10" si="0">SUM(C8:C9)</f>
        <v>14250.000000000004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2878.5000000000009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17303.571428571428</v>
      </c>
      <c r="C17" s="576">
        <f>B50</f>
        <v>20357.142857142862</v>
      </c>
      <c r="D17" s="577"/>
      <c r="E17" s="577">
        <f>E50</f>
        <v>0</v>
      </c>
      <c r="F17" s="578"/>
      <c r="G17" s="579"/>
      <c r="H17" s="576">
        <f>I50</f>
        <v>0</v>
      </c>
      <c r="I17" s="577">
        <f>G50+F50</f>
        <v>0</v>
      </c>
      <c r="J17" s="577">
        <f>H50+D50+C50</f>
        <v>0</v>
      </c>
      <c r="K17" s="577"/>
      <c r="L17" s="577"/>
      <c r="M17" s="577"/>
      <c r="N17" s="962"/>
      <c r="O17" s="580">
        <f>C17*$C$22+E17*$E$22+H17*$H$22+I17*$I$22+J17*$J$22+D17*$D$22+F17*$F$22+G17*$G$22+K17*$K$22+L17*$L$22</f>
        <v>4112.1428571428587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17303.571428571428</v>
      </c>
      <c r="C20" s="559">
        <f>SUM(C17:C19)</f>
        <v>20357.142857142862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4112.1428571428587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13031</v>
      </c>
      <c r="C28" s="787">
        <v>2360</v>
      </c>
      <c r="D28" s="637" t="s">
        <v>874</v>
      </c>
      <c r="E28" s="636" t="s">
        <v>875</v>
      </c>
      <c r="F28" s="636" t="s">
        <v>876</v>
      </c>
      <c r="G28" s="636" t="s">
        <v>877</v>
      </c>
      <c r="H28" s="636" t="s">
        <v>878</v>
      </c>
      <c r="I28" s="636" t="s">
        <v>875</v>
      </c>
      <c r="J28" s="786">
        <v>40480</v>
      </c>
      <c r="K28" s="786">
        <v>40499</v>
      </c>
      <c r="L28" s="636" t="s">
        <v>879</v>
      </c>
      <c r="M28" s="636">
        <v>2680</v>
      </c>
      <c r="N28" s="636">
        <v>12060</v>
      </c>
      <c r="O28" s="636">
        <v>17228.571428571428</v>
      </c>
      <c r="P28" s="636">
        <v>34457.142857142862</v>
      </c>
      <c r="Q28" s="636">
        <v>0</v>
      </c>
      <c r="R28" s="636">
        <v>0</v>
      </c>
      <c r="S28" s="636">
        <v>0</v>
      </c>
      <c r="T28" s="636">
        <v>0</v>
      </c>
      <c r="U28" s="636">
        <v>0</v>
      </c>
      <c r="V28" s="636">
        <v>0</v>
      </c>
      <c r="W28" s="636">
        <v>0</v>
      </c>
      <c r="X28" s="636">
        <v>10</v>
      </c>
      <c r="Y28" s="636" t="s">
        <v>111</v>
      </c>
      <c r="Z28" s="638" t="s">
        <v>111</v>
      </c>
    </row>
    <row r="29" spans="1:26" s="590" customFormat="1" ht="51">
      <c r="A29" s="589"/>
      <c r="B29" s="787">
        <v>13031</v>
      </c>
      <c r="C29" s="787">
        <v>2360</v>
      </c>
      <c r="D29" s="637" t="s">
        <v>880</v>
      </c>
      <c r="E29" s="636"/>
      <c r="F29" s="636" t="s">
        <v>881</v>
      </c>
      <c r="G29" s="636" t="s">
        <v>882</v>
      </c>
      <c r="H29" s="636" t="s">
        <v>878</v>
      </c>
      <c r="I29" s="636" t="s">
        <v>883</v>
      </c>
      <c r="J29" s="786">
        <v>43608</v>
      </c>
      <c r="K29" s="786">
        <v>43608</v>
      </c>
      <c r="L29" s="636" t="s">
        <v>884</v>
      </c>
      <c r="M29" s="636">
        <v>20</v>
      </c>
      <c r="N29" s="636">
        <v>52.5</v>
      </c>
      <c r="O29" s="636">
        <v>75</v>
      </c>
      <c r="P29" s="636">
        <v>150</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2700</v>
      </c>
      <c r="N30" s="594">
        <f>SUM(N28:N29)</f>
        <v>12112.5</v>
      </c>
      <c r="O30" s="594">
        <f>SUM(O28:O29)</f>
        <v>17303.571428571428</v>
      </c>
      <c r="P30" s="594">
        <f>SUM(P28:P29)</f>
        <v>34607.142857142862</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20</v>
      </c>
      <c r="N32" s="594">
        <f ca="1">SUMIF($Z$28:AD29,"tertiair",N28:N29)</f>
        <v>52.5</v>
      </c>
      <c r="O32" s="594">
        <f ca="1">SUMIF($Z$28:AE29,"tertiair",O28:O29)</f>
        <v>75</v>
      </c>
      <c r="P32" s="594">
        <f ca="1">SUMIF($Z$28:AF29,"tertiair",P28:P29)</f>
        <v>150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2680</v>
      </c>
      <c r="N33" s="599">
        <f>SUMIF($Z$28:$Z$29,"landbouw",N28:N29)</f>
        <v>12060</v>
      </c>
      <c r="O33" s="599">
        <f>SUMIF($Z$28:$Z$29,"landbouw",O28:O29)</f>
        <v>17228.571428571428</v>
      </c>
      <c r="P33" s="599">
        <f>SUMIF($Z$28:$Z$29,"landbouw",P28:P29)</f>
        <v>34457.142857142862</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14250.000000000004</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20357.142857142862</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2021-06-29T14:13:27Z</dcterms:modified>
</cp:coreProperties>
</file>