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17" i="19"/>
  <c r="C19" i="19" s="1"/>
  <c r="D39" i="14" s="1"/>
  <c r="C22" i="59"/>
  <c r="C20" i="16"/>
  <c r="C22" i="16" s="1"/>
  <c r="D43" i="14" s="1"/>
  <c r="C17" i="49"/>
  <c r="C29" i="20"/>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<sst xmlns="http://schemas.openxmlformats.org/spreadsheetml/2006/main" count="2455" uniqueCount="891">
  <si>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</si>
  <si>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</si>
  <si>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</si>
  <si>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</si>
  <si>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</si>
  <si>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</si>
  <si>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</si>
  <si>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</si>
  <si>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</si>
  <si>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</si>
  <si>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</si>
  <si>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</si>
  <si>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</si>
  <si>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</si>
  <si>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</si>
  <si>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</si>
  <si>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</si>
  <si>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</si>
  <si>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</si>
  <si>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</si>
  <si>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</si>
  <si>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</si>
  <si>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</si>
  <si>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</si>
  <si>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</si>
  <si>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</si>
  <si>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</si>
  <si>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</si>
  <si>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</si>
  <si>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</si>
  <si>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</si>
  <si>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</si>
  <si>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</si>
  <si>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</si>
  <si>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</si>
  <si>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</si>
  <si>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</si>
  <si>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</si>
  <si>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</si>
  <si>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</si>
  <si>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</si>
  <si>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</si>
  <si>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</si>
  <si>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</si>
  <si>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</si>
  <si>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</si>
  <si>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</si>
  <si>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</si>
  <si>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</si>
  <si>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</si>
  <si>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</si>
  <si>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</si>
  <si>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</si>
  <si>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</si>
  <si>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</si>
  <si>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</si>
  <si>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</si>
  <si>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</si>
  <si>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</si>
  <si>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</si>
  <si>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</si>
  <si>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</si>
  <si>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</si>
  <si>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</si>
  <si>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</si>
  <si>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</si>
  <si>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</si>
  <si>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</si>
  <si>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</si>
  <si>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</si>
  <si>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</si>
  <si>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</si>
  <si>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</si>
  <si>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</si>
  <si>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</si>
  <si>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</si>
  <si>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</si>
  <si>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</si>
  <si>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</si>
  <si>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</si>
  <si>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</si>
  <si>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</si>
  <si>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</si>
  <si>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</si>
  <si>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</si>
  <si>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</si>
  <si>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</si>
  <si>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</si>
  <si>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</si>
  <si>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</si>
  <si>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</si>
  <si>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</si>
  <si>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</si>
  <si>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</si>
  <si>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</si>
  <si>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</si>
  <si>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</si>
  <si>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</si>
  <si>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</si>
  <si>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</si>
  <si>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</si>
  <si>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</si>
  <si>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</si>
  <si>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</si>
  <si>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</si>
  <si>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</si>
  <si>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</si>
  <si>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</si>
  <si>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</si>
  <si>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</si>
  <si>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</si>
  <si>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</si>
  <si>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</si>
  <si>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</si>
  <si>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</si>
  <si>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</si>
  <si>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</si>
  <si>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</si>
  <si>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</si>
  <si>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</si>
  <si>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</si>
  <si>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</si>
  <si>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</si>
  <si>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</si>
  <si>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</si>
  <si>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</si>
  <si>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</si>
  <si>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</si>
  <si>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</si>
  <si>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</si>
  <si>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</si>
  <si>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</si>
  <si>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</si>
  <si>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</si>
  <si>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</si>
  <si>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</si>
  <si>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</si>
  <si>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</si>
  <si>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</si>
  <si>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</si>
  <si>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</si>
  <si>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</si>
  <si>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</si>
  <si>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</si>
  <si>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</si>
  <si>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</si>
  <si>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</si>
  <si>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</si>
  <si>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</si>
  <si>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</si>
  <si>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</si>
  <si>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</si>
  <si>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</si>
  <si>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</si>
  <si>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</si>
  <si>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</si>
  <si>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</si>
  <si>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</si>
  <si>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</si>
  <si>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</si>
  <si>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</si>
  <si>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</si>
  <si>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</si>
  <si>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</si>
  <si>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</si>
  <si>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</si>
  <si>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</si>
  <si>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</si>
  <si>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</si>
  <si>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</si>
  <si>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</si>
  <si>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</si>
  <si>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</si>
  <si>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</si>
  <si>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</si>
  <si>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</si>
  <si>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</si>
  <si>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</si>
  <si>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</si>
  <si>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</si>
  <si>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</si>
  <si>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</si>
  <si>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</si>
  <si>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</si>
  <si>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</si>
  <si>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</si>
  <si>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</si>
  <si>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</si>
  <si>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</si>
  <si>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</si>
  <si>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</si>
  <si>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</si>
  <si>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</si>
  <si>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</si>
  <si>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</si>
  <si>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</si>
  <si>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</si>
  <si>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</si>
  <si>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</si>
  <si>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</si>
  <si>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</si>
  <si>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</si>
  <si>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</si>
  <si>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</si>
  <si>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</si>
  <si>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</si>
  <si>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</si>
  <si>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</si>
  <si>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</si>
  <si>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</si>
  <si>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</si>
  <si>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</si>
  <si>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</si>
  <si>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</si>
  <si>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</si>
  <si>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</si>
  <si>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</si>
  <si>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</si>
  <si>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</si>
  <si>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</si>
  <si>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</si>
  <si>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</si>
  <si>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</si>
  <si>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</si>
  <si>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</si>
  <si>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</si>
  <si>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</si>
  <si>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</si>
  <si>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</si>
  <si>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</si>
  <si>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</si>
  <si>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</si>
  <si>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</si>
  <si>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</si>
  <si>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</si>
  <si>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</si>
  <si>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</si>
  <si>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</si>
  <si>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</si>
  <si>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</si>
  <si>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</si>
  <si>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</si>
  <si>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</si>
  <si>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</si>
  <si>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</si>
  <si>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</si>
  <si>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</si>
  <si>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</si>
  <si>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</si>
  <si>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</si>
  <si>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</si>
  <si>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</si>
  <si>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</si>
  <si>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</si>
  <si>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</si>
  <si>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</si>
  <si>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</si>
  <si>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</si>
  <si>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</si>
  <si>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</si>
  <si>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</si>
  <si>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</si>
  <si>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</si>
  <si>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</si>
  <si>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</si>
  <si>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</si>
  <si>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</si>
  <si>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</si>
  <si>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</si>
  <si>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</si>
  <si>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</si>
  <si>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</si>
  <si>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</si>
  <si>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</si>
  <si>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</si>
  <si>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</si>
  <si>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</si>
  <si>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</si>
  <si>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</si>
  <si>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</si>
  <si>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</si>
  <si>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</si>
  <si>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</si>
  <si>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</si>
  <si>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</si>
  <si>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</si>
  <si>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</si>
  <si>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</si>
  <si>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</si>
  <si>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</si>
  <si>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</si>
  <si>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</si>
  <si>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</si>
  <si>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</si>
  <si>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</si>
  <si>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</si>
  <si>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</si>
  <si>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</si>
  <si>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</si>
  <si>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</si>
  <si>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</si>
  <si>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</si>
  <si>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</si>
  <si>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</si>
  <si>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</si>
  <si>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</si>
  <si>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</si>
  <si>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</si>
  <si>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</si>
  <si>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</si>
  <si>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</si>
  <si>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</si>
  <si>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</si>
  <si>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</si>
  <si>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</si>
  <si>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</si>
  <si>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</si>
  <si>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</si>
  <si>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</si>
  <si>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</si>
  <si>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</si>
  <si>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</si>
  <si>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</si>
  <si>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</si>
  <si>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</si>
  <si>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</si>
  <si>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</si>
  <si>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</si>
  <si>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</si>
  <si>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</si>
  <si>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</si>
  <si>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</si>
  <si>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</si>
  <si>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</si>
  <si>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</si>
  <si>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</si>
  <si>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</si>
  <si>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</si>
  <si>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</si>
  <si>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</si>
  <si>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</si>
  <si>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</si>
  <si>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</si>
  <si>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</si>
  <si>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</si>
  <si>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</si>
  <si>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</si>
  <si>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</si>
  <si>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</si>
  <si>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</si>
  <si>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</si>
  <si>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</si>
  <si>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</si>
  <si>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</si>
  <si>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</si>
  <si>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</si>
  <si>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</si>
  <si>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</si>
  <si>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</si>
  <si>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</si>
  <si>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</si>
  <si>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</si>
  <si>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</si>
  <si>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</si>
  <si>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</si>
  <si>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</si>
  <si>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</si>
  <si>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</si>
  <si>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</si>
  <si>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</si>
  <si>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</si>
  <si>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</si>
  <si>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</si>
  <si>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</si>
  <si>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</si>
  <si>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</si>
  <si>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</si>
  <si>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</si>
  <si>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</si>
  <si>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</si>
  <si>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</si>
  <si>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</si>
  <si>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</si>
  <si>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</si>
  <si>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</si>
  <si>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</si>
  <si>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</si>
  <si>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</si>
  <si>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</si>
  <si>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</si>
  <si>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</si>
  <si>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</si>
  <si>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</si>
  <si>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</si>
  <si>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</si>
  <si>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</si>
  <si>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</si>
  <si>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</si>
  <si>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</si>
  <si>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</si>
  <si>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</si>
  <si>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</si>
  <si>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</si>
  <si>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</si>
  <si>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</si>
  <si>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</si>
  <si>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</si>
  <si>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</si>
  <si>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</si>
  <si>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</si>
  <si>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</si>
  <si>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</si>
  <si>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</si>
  <si>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</si>
  <si>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</si>
  <si>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</si>
  <si>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</si>
  <si>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</si>
  <si>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</si>
  <si>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</si>
  <si>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</si>
  <si>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</si>
  <si>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</si>
  <si>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</si>
  <si>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</si>
  <si>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</si>
  <si>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</si>
  <si>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</si>
  <si>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</si>
  <si>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</si>
  <si>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</si>
  <si>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</si>
  <si>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</si>
  <si>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</si>
  <si>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</si>
  <si>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</si>
  <si>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</si>
  <si>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</si>
  <si>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</si>
  <si>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</si>
  <si>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</si>
  <si>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</si>
  <si>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</si>
  <si>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</si>
  <si>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</si>
  <si>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</si>
  <si>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</si>
  <si>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</si>
  <si>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</si>
  <si>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</si>
  <si>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</si>
  <si>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</si>
  <si>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</si>
  <si>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</si>
  <si>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</si>
  <si>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</si>
  <si>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</si>
  <si>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</si>
  <si>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</si>
  <si>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</si>
  <si>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</si>
  <si>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</si>
  <si>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</si>
  <si>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</si>
  <si>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</si>
  <si>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</si>
  <si>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</si>
  <si>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</si>
  <si>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</si>
  <si>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</si>
  <si>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</si>
  <si>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</si>
  <si>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</si>
  <si>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</si>
  <si>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</si>
  <si>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</si>
  <si>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</si>
  <si>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</si>
  <si>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</si>
  <si>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</si>
  <si>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</si>
  <si>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</si>
  <si>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</si>
  <si>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</si>
  <si>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</si>
  <si>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</si>
  <si>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</si>
  <si>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</si>
  <si>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</si>
  <si>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</si>
  <si>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</si>
  <si>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</si>
  <si>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</si>
  <si>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</si>
  <si>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</si>
  <si>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</si>
  <si>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</si>
  <si>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</si>
  <si>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</si>
  <si>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</si>
  <si>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</si>
  <si>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</si>
  <si>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</si>
  <si>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</si>
  <si>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</si>
  <si>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</si>
  <si>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</si>
  <si>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</si>
  <si>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</si>
  <si>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</si>
  <si>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</si>
  <si>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</si>
  <si>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</si>
  <si>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</si>
  <si>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</si>
  <si>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</si>
  <si>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</si>
  <si>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</si>
  <si>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</si>
  <si>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</si>
  <si>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</si>
  <si>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</si>
  <si>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</si>
  <si>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</si>
  <si>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</si>
  <si>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</si>
  <si>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</si>
  <si>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</si>
  <si>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</si>
  <si>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</si>
  <si>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</si>
  <si>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</si>
  <si>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</si>
  <si>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</si>
  <si>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</si>
  <si>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</si>
  <si>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</si>
  <si>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</si>
  <si>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</si>
  <si>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</si>
  <si>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</si>
  <si>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</si>
  <si>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</si>
  <si>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</si>
  <si>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</si>
  <si>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</si>
  <si>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</si>
  <si>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</si>
  <si>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</si>
  <si>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</si>
  <si>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</si>
  <si>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</si>
  <si>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</si>
  <si>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</si>
  <si>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</si>
  <si>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</si>
  <si>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</si>
  <si>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</si>
  <si>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</si>
  <si>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</si>
  <si>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</si>
  <si>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</si>
  <si>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</si>
  <si>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</si>
  <si>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</si>
  <si>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</si>
  <si>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</si>
  <si>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</si>
  <si>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</si>
  <si>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</si>
  <si>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</si>
  <si>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</si>
  <si>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</si>
  <si>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</si>
  <si>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</si>
  <si>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</si>
  <si>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</si>
  <si>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</si>
  <si>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</si>
  <si>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</si>
  <si>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</si>
  <si>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</si>
  <si>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</si>
  <si>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</si>
  <si>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</si>
  <si>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</si>
  <si>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</si>
  <si>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</si>
  <si>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</si>
  <si>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</si>
  <si>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</si>
  <si>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</si>
  <si>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</si>
  <si>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</si>
  <si>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</si>
  <si>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</si>
  <si>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</si>
  <si>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</si>
  <si>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</si>
  <si>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</si>
  <si>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</si>
  <si>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</si>
  <si>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</si>
  <si>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</si>
  <si>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</si>
  <si>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</si>
  <si>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</si>
  <si>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</si>
  <si>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</si>
  <si>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</si>
  <si>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</si>
  <si>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</si>
  <si>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</si>
  <si>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</si>
  <si>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</si>
  <si>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</si>
  <si>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</si>
  <si>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</si>
  <si>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</si>
  <si>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</si>
  <si>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</si>
  <si>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</si>
  <si>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</si>
  <si>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</si>
  <si>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</si>
  <si>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</si>
  <si>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</si>
  <si>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</si>
  <si>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</si>
  <si>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</si>
  <si>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</si>
  <si>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</si>
  <si>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</si>
  <si>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</si>
  <si>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</si>
  <si>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</si>
  <si>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</si>
  <si>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</si>
  <si>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</si>
  <si>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</si>
  <si>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</si>
  <si>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</si>
  <si>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</si>
  <si>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</si>
  <si>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</si>
  <si>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</si>
  <si>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</si>
  <si>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</si>
  <si>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</si>
  <si>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</si>
  <si>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</si>
  <si>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</si>
  <si>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</si>
  <si>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</si>
  <si>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</si>
  <si>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</si>
  <si>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</si>
  <si>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</si>
  <si>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</si>
  <si>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</si>
  <si>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</si>
  <si>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</si>
  <si>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</si>
  <si>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</si>
  <si>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</si>
  <si>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</si>
  <si>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</si>
  <si>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</si>
  <si>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</si>
  <si>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</si>
  <si>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</si>
  <si>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</si>
  <si>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</si>
  <si>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</si>
  <si>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</si>
  <si>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</si>
  <si>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</si>
  <si>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</si>
  <si>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</si>
  <si>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</si>
  <si>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</si>
  <si>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</si>
  <si>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</si>
  <si>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</si>
  <si>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</si>
  <si>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</si>
  <si>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</si>
  <si>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</si>
  <si>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</si>
  <si>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</si>
  <si>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</si>
  <si>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</si>
  <si>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</si>
  <si>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</si>
  <si>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</si>
  <si>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</si>
  <si>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</si>
  <si>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</si>
  <si>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</si>
  <si>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</si>
  <si>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</si>
  <si>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</si>
  <si>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</si>
  <si>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</si>
  <si>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</si>
  <si>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</si>
  <si>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</si>
  <si>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</si>
  <si>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</si>
  <si>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</si>
  <si>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</si>
  <si>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</si>
  <si>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</si>
  <si>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</si>
  <si>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</si>
  <si>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</si>
  <si>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</si>
  <si>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</si>
  <si>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</si>
  <si>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</si>
  <si>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</si>
  <si>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</si>
  <si>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</si>
  <si>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</si>
  <si>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</si>
  <si>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</si>
  <si>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</si>
  <si>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</si>
  <si>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</si>
  <si>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</si>
  <si>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</si>
  <si>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</si>
  <si>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</si>
  <si>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</si>
  <si>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</si>
  <si>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</si>
  <si>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</si>
  <si>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</si>
  <si>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</si>
  <si>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</si>
  <si>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</si>
  <si>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</si>
  <si>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</si>
  <si>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</si>
  <si>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</si>
  <si>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</si>
  <si>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</si>
  <si>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</si>
  <si>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</si>
  <si>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</si>
  <si>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</si>
  <si>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</si>
  <si>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</si>
  <si>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</si>
  <si>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</si>
  <si>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</si>
  <si>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</si>
  <si>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</si>
  <si>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</si>
  <si>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</si>
  <si>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</si>
  <si>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</si>
  <si>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</si>
  <si>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</si>
  <si>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</si>
  <si>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</si>
  <si>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</si>
  <si>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</si>
  <si>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</si>
  <si>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</si>
  <si>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</si>
  <si>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</si>
  <si>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</si>
  <si>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</si>
  <si>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</si>
  <si>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</si>
  <si>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</si>
  <si>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</si>
  <si>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</si>
  <si>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</si>
  <si>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</si>
  <si>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</si>
  <si>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</si>
  <si>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</si>
  <si>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</si>
  <si>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</si>
  <si>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</si>
  <si>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</si>
  <si>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</si>
  <si>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</si>
  <si>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</si>
  <si>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</si>
  <si>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</si>
  <si>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</si>
  <si>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</si>
  <si>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</si>
  <si>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</si>
  <si>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</si>
  <si>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</si>
  <si>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</si>
  <si>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</si>
  <si>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</si>
  <si>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</si>
  <si>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</si>
  <si>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</si>
  <si>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</si>
  <si>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</si>
  <si>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</si>
  <si>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</si>
  <si>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</si>
  <si>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</si>
  <si>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</si>
  <si>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</si>
  <si>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</si>
  <si>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</si>
  <si>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</si>
  <si>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</si>
  <si>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</si>
  <si>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</si>
  <si>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</si>
  <si>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</si>
  <si>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</si>
  <si>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</si>
  <si>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</si>
  <si>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</si>
  <si>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</si>
  <si>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</si>
  <si>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</si>
  <si>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</si>
  <si>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</si>
  <si>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</si>
  <si>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</si>
  <si>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</si>
  <si>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</si>
  <si>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</si>
  <si>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</si>
  <si>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</si>
  <si>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</si>
  <si>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</si>
  <si>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</si>
  <si>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</si>
  <si>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</si>
  <si>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</si>
  <si>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</si>
  <si>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</si>
  <si>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</si>
  <si>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</si>
  <si>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</si>
  <si>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</si>
  <si>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</si>
  <si>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</si>
  <si>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</si>
  <si>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</si>
  <si>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</si>
  <si>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</si>
  <si>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</si>
  <si>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</si>
  <si>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</si>
  <si>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</si>
  <si>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</si>
  <si>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</si>
  <si>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</si>
  <si>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</si>
  <si>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</si>
  <si>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</si>
  <si>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</si>
  <si>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</si>
  <si>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</si>
  <si>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</si>
  <si>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</si>
  <si>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13017</t>
  </si>
  <si>
    <t>KASTERLEE</t>
  </si>
  <si>
    <t>referentietaak LNE (2017); Jaarverslag De Lijn</t>
  </si>
  <si>
    <t>waterkracht</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</si>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</sst>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155953.94837784651</c:v>
                </c:pt>
                <c:pt idx="1">
                  <c:v>52699.25532066077</c:v>
                </c:pt>
                <c:pt idx="2">
                  <c:v>819.26499999999999</c:v>
                </c:pt>
                <c:pt idx="3">
                  <c:v>19190.765002484412</c:v>
                </c:pt>
                <c:pt idx="4">
                  <c:v>17585.067326539531</c:v>
                </c:pt>
                <c:pt idx="5">
                  <c:v>99039.837035882359</c:v>
                </c:pt>
                <c:pt idx="6">
                  <c:v>1343.9563195216765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155953.94837784651</c:v>
                </c:pt>
                <c:pt idx="1">
                  <c:v>52699.25532066077</c:v>
                </c:pt>
                <c:pt idx="2">
                  <c:v>819.26499999999999</c:v>
                </c:pt>
                <c:pt idx="3">
                  <c:v>19190.765002484412</c:v>
                </c:pt>
                <c:pt idx="4">
                  <c:v>17585.067326539531</c:v>
                </c:pt>
                <c:pt idx="5">
                  <c:v>99039.837035882359</c:v>
                </c:pt>
                <c:pt idx="6">
                  <c:v>1343.9563195216765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31268.194373196839</c:v>
                </c:pt>
                <c:pt idx="1">
                  <c:v>10710.654001669356</c:v>
                </c:pt>
                <c:pt idx="2">
                  <c:v>152.96031220025475</c:v>
                </c:pt>
                <c:pt idx="3">
                  <c:v>4856.3695341925095</c:v>
                </c:pt>
                <c:pt idx="4">
                  <c:v>3351.3467378105775</c:v>
                </c:pt>
                <c:pt idx="5">
                  <c:v>24504.918995899974</c:v>
                </c:pt>
                <c:pt idx="6">
                  <c:v>338.03556732956389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31268.194373196839</c:v>
                </c:pt>
                <c:pt idx="1">
                  <c:v>10710.654001669356</c:v>
                </c:pt>
                <c:pt idx="2">
                  <c:v>152.96031220025475</c:v>
                </c:pt>
                <c:pt idx="3">
                  <c:v>4856.3695341925095</c:v>
                </c:pt>
                <c:pt idx="4">
                  <c:v>3351.3467378105775</c:v>
                </c:pt>
                <c:pt idx="5">
                  <c:v>24504.918995899974</c:v>
                </c:pt>
                <c:pt idx="6">
                  <c:v>338.03556732956389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13017</v>
      </c>
      <c r="B6" s="386"/>
      <c r="C6" s="387"/>
    </row>
    <row r="7" spans="1:7" s="384" customFormat="1" ht="15.75" customHeight="1">
      <c r="A7" s="388" t="str">
        <f>txtMunicipality</f>
        <v>KASTERLEE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22786.83327800746</v>
      </c>
      <c r="D10" s="683">
        <f ca="1">tertiair!C16</f>
        <v>128.57142857142858</v>
      </c>
      <c r="E10" s="683">
        <f ca="1">tertiair!D16</f>
        <v>23900.784578026465</v>
      </c>
      <c r="F10" s="683">
        <f>tertiair!E16</f>
        <v>108.96701617049615</v>
      </c>
      <c r="G10" s="683">
        <f ca="1">tertiair!F16</f>
        <v>6501.5895860627706</v>
      </c>
      <c r="H10" s="683">
        <f>tertiair!G16</f>
        <v>0</v>
      </c>
      <c r="I10" s="683">
        <f>tertiair!H16</f>
        <v>0</v>
      </c>
      <c r="J10" s="683">
        <f>tertiair!I16</f>
        <v>0</v>
      </c>
      <c r="K10" s="683">
        <f>tertiair!J16</f>
        <v>5.7209388929175396E-2</v>
      </c>
      <c r="L10" s="683">
        <f>tertiair!K16</f>
        <v>0</v>
      </c>
      <c r="M10" s="683">
        <f ca="1">tertiair!L16</f>
        <v>0</v>
      </c>
      <c r="N10" s="683">
        <f>tertiair!M16</f>
        <v>0</v>
      </c>
      <c r="O10" s="683">
        <f ca="1">tertiair!N16</f>
        <v>0</v>
      </c>
      <c r="P10" s="683">
        <f>tertiair!O16</f>
        <v>39.178086126729234</v>
      </c>
      <c r="Q10" s="684">
        <f>tertiair!P16</f>
        <v>52.539138306495019</v>
      </c>
      <c r="R10" s="686">
        <f ca="1">SUM(C10:Q10)</f>
        <v>53518.520320660769</v>
      </c>
      <c r="S10" s="67"/>
    </row>
    <row r="11" spans="1:19" s="445" customFormat="1">
      <c r="A11" s="804" t="s">
        <v>220</v>
      </c>
      <c r="B11" s="809"/>
      <c r="C11" s="683">
        <f>huishoudens!B8</f>
        <v>32043.880120084199</v>
      </c>
      <c r="D11" s="683">
        <f>huishoudens!C8</f>
        <v>0</v>
      </c>
      <c r="E11" s="683">
        <f>huishoudens!D8</f>
        <v>66410.750332840063</v>
      </c>
      <c r="F11" s="683">
        <f>huishoudens!E8</f>
        <v>1939.5405338633991</v>
      </c>
      <c r="G11" s="683">
        <f>huishoudens!F8</f>
        <v>42488.748891193412</v>
      </c>
      <c r="H11" s="683">
        <f>huishoudens!G8</f>
        <v>0</v>
      </c>
      <c r="I11" s="683">
        <f>huishoudens!H8</f>
        <v>0</v>
      </c>
      <c r="J11" s="683">
        <f>huishoudens!I8</f>
        <v>0</v>
      </c>
      <c r="K11" s="683">
        <f>huishoudens!J8</f>
        <v>242.1480270850607</v>
      </c>
      <c r="L11" s="683">
        <f>huishoudens!K8</f>
        <v>0</v>
      </c>
      <c r="M11" s="683">
        <f>huishoudens!L8</f>
        <v>0</v>
      </c>
      <c r="N11" s="683">
        <f>huishoudens!M8</f>
        <v>0</v>
      </c>
      <c r="O11" s="683">
        <f>huishoudens!N8</f>
        <v>10309.522009335265</v>
      </c>
      <c r="P11" s="683">
        <f>huishoudens!O8</f>
        <v>686.44954390791293</v>
      </c>
      <c r="Q11" s="684">
        <f>huishoudens!P8</f>
        <v>1832.9089195371939</v>
      </c>
      <c r="R11" s="686">
        <f>SUM(C11:Q11)</f>
        <v>155953.94837784651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12750.528048442431</v>
      </c>
      <c r="D13" s="683">
        <f>industrie!C18</f>
        <v>0</v>
      </c>
      <c r="E13" s="683">
        <f>industrie!D18</f>
        <v>2855.1673336717799</v>
      </c>
      <c r="F13" s="683">
        <f>industrie!E18</f>
        <v>30.537512732195626</v>
      </c>
      <c r="G13" s="683">
        <f>industrie!F18</f>
        <v>1449.3129148072762</v>
      </c>
      <c r="H13" s="683">
        <f>industrie!G18</f>
        <v>0</v>
      </c>
      <c r="I13" s="683">
        <f>industrie!H18</f>
        <v>0</v>
      </c>
      <c r="J13" s="683">
        <f>industrie!I18</f>
        <v>0</v>
      </c>
      <c r="K13" s="683">
        <f>industrie!J18</f>
        <v>0.35520658248115788</v>
      </c>
      <c r="L13" s="683">
        <f>industrie!K18</f>
        <v>0</v>
      </c>
      <c r="M13" s="683">
        <f>industrie!L18</f>
        <v>0</v>
      </c>
      <c r="N13" s="683">
        <f>industrie!M18</f>
        <v>0</v>
      </c>
      <c r="O13" s="683">
        <f>industrie!N18</f>
        <v>499.16631030336902</v>
      </c>
      <c r="P13" s="683">
        <f>industrie!O18</f>
        <v>0</v>
      </c>
      <c r="Q13" s="684">
        <f>industrie!P18</f>
        <v>0</v>
      </c>
      <c r="R13" s="686">
        <f>SUM(C13:Q13)</f>
        <v>17585.067326539531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67581.241446534084</v>
      </c>
      <c r="D16" s="719">
        <f t="shared" ref="D16:R16" ca="1" si="0">SUM(D9:D15)</f>
        <v>128.57142857142858</v>
      </c>
      <c r="E16" s="719">
        <f t="shared" ca="1" si="0"/>
        <v>93166.702244538305</v>
      </c>
      <c r="F16" s="719">
        <f t="shared" si="0"/>
        <v>2079.0450627660907</v>
      </c>
      <c r="G16" s="719">
        <f t="shared" ca="1" si="0"/>
        <v>50439.651392063461</v>
      </c>
      <c r="H16" s="719">
        <f t="shared" si="0"/>
        <v>0</v>
      </c>
      <c r="I16" s="719">
        <f t="shared" si="0"/>
        <v>0</v>
      </c>
      <c r="J16" s="719">
        <f t="shared" si="0"/>
        <v>0</v>
      </c>
      <c r="K16" s="719">
        <f t="shared" si="0"/>
        <v>242.56044305647103</v>
      </c>
      <c r="L16" s="719">
        <f t="shared" si="0"/>
        <v>0</v>
      </c>
      <c r="M16" s="719">
        <f t="shared" ca="1" si="0"/>
        <v>0</v>
      </c>
      <c r="N16" s="719">
        <f t="shared" si="0"/>
        <v>0</v>
      </c>
      <c r="O16" s="719">
        <f t="shared" ca="1" si="0"/>
        <v>10808.688319638635</v>
      </c>
      <c r="P16" s="719">
        <f t="shared" si="0"/>
        <v>725.62763003464215</v>
      </c>
      <c r="Q16" s="719">
        <f t="shared" si="0"/>
        <v>1885.448057843689</v>
      </c>
      <c r="R16" s="719">
        <f t="shared" ca="1" si="0"/>
        <v>227057.53602504684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20.00007910681289</v>
      </c>
      <c r="D19" s="683">
        <f>transport!C54</f>
        <v>0</v>
      </c>
      <c r="E19" s="683">
        <f>transport!D54</f>
        <v>0</v>
      </c>
      <c r="F19" s="683">
        <f>transport!E54</f>
        <v>0</v>
      </c>
      <c r="G19" s="683">
        <f>transport!F54</f>
        <v>0</v>
      </c>
      <c r="H19" s="683">
        <f>transport!G54</f>
        <v>1252.0654165603366</v>
      </c>
      <c r="I19" s="683">
        <f>transport!H54</f>
        <v>0</v>
      </c>
      <c r="J19" s="683">
        <f>transport!I54</f>
        <v>0</v>
      </c>
      <c r="K19" s="683">
        <f>transport!J54</f>
        <v>0</v>
      </c>
      <c r="L19" s="683">
        <f>transport!K54</f>
        <v>0</v>
      </c>
      <c r="M19" s="683">
        <f>transport!L54</f>
        <v>0</v>
      </c>
      <c r="N19" s="683">
        <f>transport!M54</f>
        <v>71.890823854527099</v>
      </c>
      <c r="O19" s="683">
        <f>transport!N54</f>
        <v>0</v>
      </c>
      <c r="P19" s="683">
        <f>transport!O54</f>
        <v>0</v>
      </c>
      <c r="Q19" s="684">
        <f>transport!P54</f>
        <v>0</v>
      </c>
      <c r="R19" s="686">
        <f>SUM(C19:Q19)</f>
        <v>1343.9563195216765</v>
      </c>
      <c r="S19" s="67"/>
    </row>
    <row r="20" spans="1:19" s="445" customFormat="1">
      <c r="A20" s="804" t="s">
        <v>302</v>
      </c>
      <c r="B20" s="809"/>
      <c r="C20" s="683">
        <f>transport!B14</f>
        <v>245.69572237599425</v>
      </c>
      <c r="D20" s="683">
        <f>transport!C14</f>
        <v>0</v>
      </c>
      <c r="E20" s="683">
        <f>transport!D14</f>
        <v>439.38387788801026</v>
      </c>
      <c r="F20" s="683">
        <f>transport!E14</f>
        <v>172.28864289590715</v>
      </c>
      <c r="G20" s="683">
        <f>transport!F14</f>
        <v>0</v>
      </c>
      <c r="H20" s="683">
        <f>transport!G14</f>
        <v>71080.7859671427</v>
      </c>
      <c r="I20" s="683">
        <f>transport!H14</f>
        <v>21496.432230466304</v>
      </c>
      <c r="J20" s="683">
        <f>transport!I14</f>
        <v>0</v>
      </c>
      <c r="K20" s="683">
        <f>transport!J14</f>
        <v>0</v>
      </c>
      <c r="L20" s="683">
        <f>transport!K14</f>
        <v>0</v>
      </c>
      <c r="M20" s="683">
        <f>transport!L14</f>
        <v>0</v>
      </c>
      <c r="N20" s="683">
        <f>transport!M14</f>
        <v>5605.2505951134399</v>
      </c>
      <c r="O20" s="683">
        <f>transport!N14</f>
        <v>0</v>
      </c>
      <c r="P20" s="683">
        <f>transport!O14</f>
        <v>0</v>
      </c>
      <c r="Q20" s="684">
        <f>transport!P14</f>
        <v>0</v>
      </c>
      <c r="R20" s="686">
        <f>SUM(C20:Q20)</f>
        <v>99039.837035882359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265.69580148280716</v>
      </c>
      <c r="D22" s="807">
        <f t="shared" ref="D22:R22" si="1">SUM(D18:D21)</f>
        <v>0</v>
      </c>
      <c r="E22" s="807">
        <f t="shared" si="1"/>
        <v>439.38387788801026</v>
      </c>
      <c r="F22" s="807">
        <f t="shared" si="1"/>
        <v>172.28864289590715</v>
      </c>
      <c r="G22" s="807">
        <f t="shared" si="1"/>
        <v>0</v>
      </c>
      <c r="H22" s="807">
        <f t="shared" si="1"/>
        <v>72332.851383703033</v>
      </c>
      <c r="I22" s="807">
        <f t="shared" si="1"/>
        <v>21496.432230466304</v>
      </c>
      <c r="J22" s="807">
        <f t="shared" si="1"/>
        <v>0</v>
      </c>
      <c r="K22" s="807">
        <f t="shared" si="1"/>
        <v>0</v>
      </c>
      <c r="L22" s="807">
        <f t="shared" si="1"/>
        <v>0</v>
      </c>
      <c r="M22" s="807">
        <f t="shared" si="1"/>
        <v>0</v>
      </c>
      <c r="N22" s="807">
        <f t="shared" si="1"/>
        <v>5677.1414189679672</v>
      </c>
      <c r="O22" s="807">
        <f t="shared" si="1"/>
        <v>0</v>
      </c>
      <c r="P22" s="807">
        <f t="shared" si="1"/>
        <v>0</v>
      </c>
      <c r="Q22" s="807">
        <f t="shared" si="1"/>
        <v>0</v>
      </c>
      <c r="R22" s="807">
        <f t="shared" si="1"/>
        <v>100383.79335540404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4274.7717708734499</v>
      </c>
      <c r="D24" s="683">
        <f>+landbouw!C8</f>
        <v>62.357142857142847</v>
      </c>
      <c r="E24" s="683">
        <f>+landbouw!D8</f>
        <v>112.5399292798499</v>
      </c>
      <c r="F24" s="683">
        <f>+landbouw!E8</f>
        <v>122.43669775609234</v>
      </c>
      <c r="G24" s="683">
        <f>+landbouw!F8</f>
        <v>13531.719238443602</v>
      </c>
      <c r="H24" s="683">
        <f>+landbouw!G8</f>
        <v>0</v>
      </c>
      <c r="I24" s="683">
        <f>+landbouw!H8</f>
        <v>0</v>
      </c>
      <c r="J24" s="683">
        <f>+landbouw!I8</f>
        <v>0</v>
      </c>
      <c r="K24" s="683">
        <f>+landbouw!J8</f>
        <v>1086.9402232742723</v>
      </c>
      <c r="L24" s="683">
        <f>+landbouw!K8</f>
        <v>0</v>
      </c>
      <c r="M24" s="683">
        <f>+landbouw!L8</f>
        <v>0</v>
      </c>
      <c r="N24" s="683">
        <f>+landbouw!M8</f>
        <v>0</v>
      </c>
      <c r="O24" s="683">
        <f>+landbouw!N8</f>
        <v>0</v>
      </c>
      <c r="P24" s="683">
        <f>+landbouw!O8</f>
        <v>0</v>
      </c>
      <c r="Q24" s="684">
        <f>+landbouw!P8</f>
        <v>0</v>
      </c>
      <c r="R24" s="686">
        <f>SUM(C24:Q24)</f>
        <v>19190.765002484412</v>
      </c>
      <c r="S24" s="67"/>
    </row>
    <row r="25" spans="1:19" s="445" customFormat="1" ht="15" thickBot="1">
      <c r="A25" s="826" t="s">
        <v>696</v>
      </c>
      <c r="B25" s="939"/>
      <c r="C25" s="940">
        <f>IF(Onbekend_ele_kWh="---",0,Onbekend_ele_kWh)/1000+IF(REST_rest_ele_kWh="---",0,REST_rest_ele_kWh)/1000</f>
        <v>1053.8158791195301</v>
      </c>
      <c r="D25" s="940"/>
      <c r="E25" s="940">
        <f>IF(onbekend_gas_kWh="---",0,onbekend_gas_kWh)/1000+IF(REST_rest_gas_kWh="---",0,REST_rest_gas_kWh)/1000</f>
        <v>2194.0582404851802</v>
      </c>
      <c r="F25" s="940"/>
      <c r="G25" s="940"/>
      <c r="H25" s="940"/>
      <c r="I25" s="940"/>
      <c r="J25" s="940"/>
      <c r="K25" s="940"/>
      <c r="L25" s="940"/>
      <c r="M25" s="940"/>
      <c r="N25" s="940"/>
      <c r="O25" s="940"/>
      <c r="P25" s="940"/>
      <c r="Q25" s="941"/>
      <c r="R25" s="686">
        <f>SUM(C25:Q25)</f>
        <v>3247.8741196047104</v>
      </c>
      <c r="S25" s="67"/>
    </row>
    <row r="26" spans="1:19" s="445" customFormat="1" ht="15.75" thickBot="1">
      <c r="A26" s="691" t="s">
        <v>697</v>
      </c>
      <c r="B26" s="812"/>
      <c r="C26" s="807">
        <f>SUM(C24:C25)</f>
        <v>5328.58764999298</v>
      </c>
      <c r="D26" s="807">
        <f t="shared" ref="D26:R26" si="2">SUM(D24:D25)</f>
        <v>62.357142857142847</v>
      </c>
      <c r="E26" s="807">
        <f t="shared" si="2"/>
        <v>2306.59816976503</v>
      </c>
      <c r="F26" s="807">
        <f t="shared" si="2"/>
        <v>122.43669775609234</v>
      </c>
      <c r="G26" s="807">
        <f t="shared" si="2"/>
        <v>13531.719238443602</v>
      </c>
      <c r="H26" s="807">
        <f t="shared" si="2"/>
        <v>0</v>
      </c>
      <c r="I26" s="807">
        <f t="shared" si="2"/>
        <v>0</v>
      </c>
      <c r="J26" s="807">
        <f t="shared" si="2"/>
        <v>0</v>
      </c>
      <c r="K26" s="807">
        <f t="shared" si="2"/>
        <v>1086.9402232742723</v>
      </c>
      <c r="L26" s="807">
        <f t="shared" si="2"/>
        <v>0</v>
      </c>
      <c r="M26" s="807">
        <f t="shared" si="2"/>
        <v>0</v>
      </c>
      <c r="N26" s="807">
        <f t="shared" si="2"/>
        <v>0</v>
      </c>
      <c r="O26" s="807">
        <f t="shared" si="2"/>
        <v>0</v>
      </c>
      <c r="P26" s="807">
        <f t="shared" si="2"/>
        <v>0</v>
      </c>
      <c r="Q26" s="807">
        <f t="shared" si="2"/>
        <v>0</v>
      </c>
      <c r="R26" s="807">
        <f t="shared" si="2"/>
        <v>22438.639122089124</v>
      </c>
      <c r="S26" s="67"/>
    </row>
    <row r="27" spans="1:19" s="445" customFormat="1" ht="17.25" thickTop="1" thickBot="1">
      <c r="A27" s="692" t="s">
        <v>115</v>
      </c>
      <c r="B27" s="799"/>
      <c r="C27" s="693">
        <f ca="1">C22+C16+C26</f>
        <v>73175.52489800987</v>
      </c>
      <c r="D27" s="693">
        <f t="shared" ref="D27:R27" ca="1" si="3">D22+D16+D26</f>
        <v>190.92857142857144</v>
      </c>
      <c r="E27" s="693">
        <f t="shared" ca="1" si="3"/>
        <v>95912.684292191349</v>
      </c>
      <c r="F27" s="693">
        <f t="shared" si="3"/>
        <v>2373.7704034180902</v>
      </c>
      <c r="G27" s="693">
        <f t="shared" ca="1" si="3"/>
        <v>63971.370630507066</v>
      </c>
      <c r="H27" s="693">
        <f t="shared" si="3"/>
        <v>72332.851383703033</v>
      </c>
      <c r="I27" s="693">
        <f t="shared" si="3"/>
        <v>21496.432230466304</v>
      </c>
      <c r="J27" s="693">
        <f t="shared" si="3"/>
        <v>0</v>
      </c>
      <c r="K27" s="693">
        <f t="shared" si="3"/>
        <v>1329.5006663307433</v>
      </c>
      <c r="L27" s="693">
        <f t="shared" si="3"/>
        <v>0</v>
      </c>
      <c r="M27" s="693">
        <f t="shared" ca="1" si="3"/>
        <v>0</v>
      </c>
      <c r="N27" s="693">
        <f t="shared" si="3"/>
        <v>5677.1414189679672</v>
      </c>
      <c r="O27" s="693">
        <f t="shared" ca="1" si="3"/>
        <v>10808.688319638635</v>
      </c>
      <c r="P27" s="693">
        <f t="shared" si="3"/>
        <v>725.62763003464215</v>
      </c>
      <c r="Q27" s="693">
        <f t="shared" si="3"/>
        <v>1885.448057843689</v>
      </c>
      <c r="R27" s="693">
        <f t="shared" ca="1" si="3"/>
        <v>349879.96850254002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4254.400141906679</v>
      </c>
      <c r="D40" s="683">
        <f ca="1">tertiair!C20</f>
        <v>20.575502928444113</v>
      </c>
      <c r="E40" s="683">
        <f ca="1">tertiair!D20</f>
        <v>4827.958484761346</v>
      </c>
      <c r="F40" s="683">
        <f>tertiair!E20</f>
        <v>24.735512670702626</v>
      </c>
      <c r="G40" s="683">
        <f ca="1">tertiair!F20</f>
        <v>1735.9244194787598</v>
      </c>
      <c r="H40" s="683">
        <f>tertiair!G20</f>
        <v>0</v>
      </c>
      <c r="I40" s="683">
        <f>tertiair!H20</f>
        <v>0</v>
      </c>
      <c r="J40" s="683">
        <f>tertiair!I20</f>
        <v>0</v>
      </c>
      <c r="K40" s="683">
        <f>tertiair!J20</f>
        <v>2.0252123680928089E-2</v>
      </c>
      <c r="L40" s="683">
        <f>tertiair!K20</f>
        <v>0</v>
      </c>
      <c r="M40" s="683">
        <f ca="1">tertiair!L20</f>
        <v>0</v>
      </c>
      <c r="N40" s="683">
        <f>tertiair!M20</f>
        <v>0</v>
      </c>
      <c r="O40" s="683">
        <f ca="1">tertiair!N20</f>
        <v>0</v>
      </c>
      <c r="P40" s="683">
        <f>tertiair!O20</f>
        <v>0</v>
      </c>
      <c r="Q40" s="766">
        <f>tertiair!P20</f>
        <v>0</v>
      </c>
      <c r="R40" s="845">
        <f t="shared" ca="1" si="4"/>
        <v>10863.614313869612</v>
      </c>
    </row>
    <row r="41" spans="1:18">
      <c r="A41" s="817" t="s">
        <v>220</v>
      </c>
      <c r="B41" s="824"/>
      <c r="C41" s="683">
        <f ca="1">huishoudens!B12</f>
        <v>5982.7307492393984</v>
      </c>
      <c r="D41" s="683">
        <f ca="1">huishoudens!C12</f>
        <v>0</v>
      </c>
      <c r="E41" s="683">
        <f>huishoudens!D12</f>
        <v>13414.971567233693</v>
      </c>
      <c r="F41" s="683">
        <f>huishoudens!E12</f>
        <v>440.27570118699163</v>
      </c>
      <c r="G41" s="683">
        <f>huishoudens!F12</f>
        <v>11344.495953948643</v>
      </c>
      <c r="H41" s="683">
        <f>huishoudens!G12</f>
        <v>0</v>
      </c>
      <c r="I41" s="683">
        <f>huishoudens!H12</f>
        <v>0</v>
      </c>
      <c r="J41" s="683">
        <f>huishoudens!I12</f>
        <v>0</v>
      </c>
      <c r="K41" s="683">
        <f>huishoudens!J12</f>
        <v>85.720401588111486</v>
      </c>
      <c r="L41" s="683">
        <f>huishoudens!K12</f>
        <v>0</v>
      </c>
      <c r="M41" s="683">
        <f>huishoudens!L12</f>
        <v>0</v>
      </c>
      <c r="N41" s="683">
        <f>huishoudens!M12</f>
        <v>0</v>
      </c>
      <c r="O41" s="683">
        <f>huishoudens!N12</f>
        <v>0</v>
      </c>
      <c r="P41" s="683">
        <f>huishoudens!O12</f>
        <v>0</v>
      </c>
      <c r="Q41" s="766">
        <f>huishoudens!P12</f>
        <v>0</v>
      </c>
      <c r="R41" s="845">
        <f t="shared" ca="1" si="4"/>
        <v>31268.194373196839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2380.5786296349279</v>
      </c>
      <c r="D43" s="683">
        <f ca="1">industrie!C22</f>
        <v>0</v>
      </c>
      <c r="E43" s="683">
        <f>industrie!D22</f>
        <v>576.74380140169956</v>
      </c>
      <c r="F43" s="683">
        <f>industrie!E22</f>
        <v>6.9320153902084076</v>
      </c>
      <c r="G43" s="683">
        <f>industrie!F22</f>
        <v>386.96654825354278</v>
      </c>
      <c r="H43" s="683">
        <f>industrie!G22</f>
        <v>0</v>
      </c>
      <c r="I43" s="683">
        <f>industrie!H22</f>
        <v>0</v>
      </c>
      <c r="J43" s="683">
        <f>industrie!I22</f>
        <v>0</v>
      </c>
      <c r="K43" s="683">
        <f>industrie!J22</f>
        <v>0.12574313019832989</v>
      </c>
      <c r="L43" s="683">
        <f>industrie!K22</f>
        <v>0</v>
      </c>
      <c r="M43" s="683">
        <f>industrie!L22</f>
        <v>0</v>
      </c>
      <c r="N43" s="683">
        <f>industrie!M22</f>
        <v>0</v>
      </c>
      <c r="O43" s="683">
        <f>industrie!N22</f>
        <v>0</v>
      </c>
      <c r="P43" s="683">
        <f>industrie!O22</f>
        <v>0</v>
      </c>
      <c r="Q43" s="766">
        <f>industrie!P22</f>
        <v>0</v>
      </c>
      <c r="R43" s="844">
        <f t="shared" ca="1" si="4"/>
        <v>3351.3467378105775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12617.709520781005</v>
      </c>
      <c r="D46" s="719">
        <f t="shared" ref="D46:Q46" ca="1" si="5">SUM(D39:D45)</f>
        <v>20.575502928444113</v>
      </c>
      <c r="E46" s="719">
        <f t="shared" ca="1" si="5"/>
        <v>18819.67385339674</v>
      </c>
      <c r="F46" s="719">
        <f t="shared" si="5"/>
        <v>471.94322924790265</v>
      </c>
      <c r="G46" s="719">
        <f t="shared" ca="1" si="5"/>
        <v>13467.386921680943</v>
      </c>
      <c r="H46" s="719">
        <f t="shared" si="5"/>
        <v>0</v>
      </c>
      <c r="I46" s="719">
        <f t="shared" si="5"/>
        <v>0</v>
      </c>
      <c r="J46" s="719">
        <f t="shared" si="5"/>
        <v>0</v>
      </c>
      <c r="K46" s="719">
        <f t="shared" si="5"/>
        <v>85.866396841990749</v>
      </c>
      <c r="L46" s="719">
        <f t="shared" si="5"/>
        <v>0</v>
      </c>
      <c r="M46" s="719">
        <f t="shared" ca="1" si="5"/>
        <v>0</v>
      </c>
      <c r="N46" s="719">
        <f t="shared" si="5"/>
        <v>0</v>
      </c>
      <c r="O46" s="719">
        <f t="shared" ca="1" si="5"/>
        <v>0</v>
      </c>
      <c r="P46" s="719">
        <f t="shared" si="5"/>
        <v>0</v>
      </c>
      <c r="Q46" s="719">
        <f t="shared" si="5"/>
        <v>0</v>
      </c>
      <c r="R46" s="719">
        <f ca="1">SUM(R39:R45)</f>
        <v>45483.155424877026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3.7341011079539492</v>
      </c>
      <c r="D49" s="683">
        <f ca="1">transport!C58</f>
        <v>0</v>
      </c>
      <c r="E49" s="683">
        <f>transport!D58</f>
        <v>0</v>
      </c>
      <c r="F49" s="683">
        <f>transport!E58</f>
        <v>0</v>
      </c>
      <c r="G49" s="683">
        <f>transport!F58</f>
        <v>0</v>
      </c>
      <c r="H49" s="683">
        <f>transport!G58</f>
        <v>334.30146622160993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338.03556732956389</v>
      </c>
    </row>
    <row r="50" spans="1:18">
      <c r="A50" s="820" t="s">
        <v>302</v>
      </c>
      <c r="B50" s="830"/>
      <c r="C50" s="689">
        <f ca="1">transport!B18</f>
        <v>45.872452016013376</v>
      </c>
      <c r="D50" s="689">
        <f>transport!C18</f>
        <v>0</v>
      </c>
      <c r="E50" s="689">
        <f>transport!D18</f>
        <v>88.755543333378085</v>
      </c>
      <c r="F50" s="689">
        <f>transport!E18</f>
        <v>39.109521937370921</v>
      </c>
      <c r="G50" s="689">
        <f>transport!F18</f>
        <v>0</v>
      </c>
      <c r="H50" s="689">
        <f>transport!G18</f>
        <v>18978.569853227102</v>
      </c>
      <c r="I50" s="689">
        <f>transport!H18</f>
        <v>5352.6116253861101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24504.918995899974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49.606553123967323</v>
      </c>
      <c r="D52" s="719">
        <f t="shared" ref="D52:Q52" ca="1" si="6">SUM(D48:D51)</f>
        <v>0</v>
      </c>
      <c r="E52" s="719">
        <f t="shared" si="6"/>
        <v>88.755543333378085</v>
      </c>
      <c r="F52" s="719">
        <f t="shared" si="6"/>
        <v>39.109521937370921</v>
      </c>
      <c r="G52" s="719">
        <f t="shared" si="6"/>
        <v>0</v>
      </c>
      <c r="H52" s="719">
        <f t="shared" si="6"/>
        <v>19312.87131944871</v>
      </c>
      <c r="I52" s="719">
        <f t="shared" si="6"/>
        <v>5352.6116253861101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24842.954563229538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798.1183434635177</v>
      </c>
      <c r="D54" s="689">
        <f ca="1">+landbouw!C12</f>
        <v>9.9791189202953916</v>
      </c>
      <c r="E54" s="689">
        <f>+landbouw!D12</f>
        <v>22.73306571452968</v>
      </c>
      <c r="F54" s="689">
        <f>+landbouw!E12</f>
        <v>27.793130390632964</v>
      </c>
      <c r="G54" s="689">
        <f>+landbouw!F12</f>
        <v>3612.9690366644418</v>
      </c>
      <c r="H54" s="689">
        <f>+landbouw!G12</f>
        <v>0</v>
      </c>
      <c r="I54" s="689">
        <f>+landbouw!H12</f>
        <v>0</v>
      </c>
      <c r="J54" s="689">
        <f>+landbouw!I12</f>
        <v>0</v>
      </c>
      <c r="K54" s="689">
        <f>+landbouw!J12</f>
        <v>384.77683903909235</v>
      </c>
      <c r="L54" s="689">
        <f>+landbouw!K12</f>
        <v>0</v>
      </c>
      <c r="M54" s="689">
        <f>+landbouw!L12</f>
        <v>0</v>
      </c>
      <c r="N54" s="689">
        <f>+landbouw!M12</f>
        <v>0</v>
      </c>
      <c r="O54" s="689">
        <f>+landbouw!N12</f>
        <v>0</v>
      </c>
      <c r="P54" s="689">
        <f>+landbouw!O12</f>
        <v>0</v>
      </c>
      <c r="Q54" s="690">
        <f>+landbouw!P12</f>
        <v>0</v>
      </c>
      <c r="R54" s="718">
        <f ca="1">SUM(C54:Q54)</f>
        <v>4856.3695341925095</v>
      </c>
    </row>
    <row r="55" spans="1:18" ht="15" thickBot="1">
      <c r="A55" s="820" t="s">
        <v>696</v>
      </c>
      <c r="B55" s="830"/>
      <c r="C55" s="689">
        <f ca="1">C25*'EF ele_warmte'!B12</f>
        <v>196.75197386890599</v>
      </c>
      <c r="D55" s="689"/>
      <c r="E55" s="689">
        <f>E25*EF_CO2_aardgas</f>
        <v>443.19976457800647</v>
      </c>
      <c r="F55" s="689"/>
      <c r="G55" s="689"/>
      <c r="H55" s="689"/>
      <c r="I55" s="689"/>
      <c r="J55" s="689"/>
      <c r="K55" s="689"/>
      <c r="L55" s="689"/>
      <c r="M55" s="689"/>
      <c r="N55" s="689"/>
      <c r="O55" s="689"/>
      <c r="P55" s="689"/>
      <c r="Q55" s="690"/>
      <c r="R55" s="718">
        <f ca="1">SUM(C55:Q55)</f>
        <v>639.95173844691249</v>
      </c>
    </row>
    <row r="56" spans="1:18" ht="15.75" thickBot="1">
      <c r="A56" s="818" t="s">
        <v>697</v>
      </c>
      <c r="B56" s="831"/>
      <c r="C56" s="719">
        <f ca="1">SUM(C54:C55)</f>
        <v>994.87031733242372</v>
      </c>
      <c r="D56" s="719">
        <f t="shared" ref="D56:Q56" ca="1" si="7">SUM(D54:D55)</f>
        <v>9.9791189202953916</v>
      </c>
      <c r="E56" s="719">
        <f t="shared" si="7"/>
        <v>465.93283029253615</v>
      </c>
      <c r="F56" s="719">
        <f t="shared" si="7"/>
        <v>27.793130390632964</v>
      </c>
      <c r="G56" s="719">
        <f t="shared" si="7"/>
        <v>3612.9690366644418</v>
      </c>
      <c r="H56" s="719">
        <f t="shared" si="7"/>
        <v>0</v>
      </c>
      <c r="I56" s="719">
        <f t="shared" si="7"/>
        <v>0</v>
      </c>
      <c r="J56" s="719">
        <f t="shared" si="7"/>
        <v>0</v>
      </c>
      <c r="K56" s="719">
        <f t="shared" si="7"/>
        <v>384.77683903909235</v>
      </c>
      <c r="L56" s="719">
        <f t="shared" si="7"/>
        <v>0</v>
      </c>
      <c r="M56" s="719">
        <f t="shared" si="7"/>
        <v>0</v>
      </c>
      <c r="N56" s="719">
        <f t="shared" si="7"/>
        <v>0</v>
      </c>
      <c r="O56" s="719">
        <f t="shared" si="7"/>
        <v>0</v>
      </c>
      <c r="P56" s="719">
        <f t="shared" si="7"/>
        <v>0</v>
      </c>
      <c r="Q56" s="720">
        <f t="shared" si="7"/>
        <v>0</v>
      </c>
      <c r="R56" s="721">
        <f ca="1">SUM(R54:R55)</f>
        <v>5496.3212726394222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13662.186391237396</v>
      </c>
      <c r="D61" s="727">
        <f t="shared" ref="D61:Q61" ca="1" si="8">D46+D52+D56</f>
        <v>30.554621848739504</v>
      </c>
      <c r="E61" s="727">
        <f t="shared" ca="1" si="8"/>
        <v>19374.362227022651</v>
      </c>
      <c r="F61" s="727">
        <f t="shared" si="8"/>
        <v>538.84588157590656</v>
      </c>
      <c r="G61" s="727">
        <f t="shared" ca="1" si="8"/>
        <v>17080.355958345386</v>
      </c>
      <c r="H61" s="727">
        <f t="shared" si="8"/>
        <v>19312.87131944871</v>
      </c>
      <c r="I61" s="727">
        <f t="shared" si="8"/>
        <v>5352.6116253861101</v>
      </c>
      <c r="J61" s="727">
        <f t="shared" si="8"/>
        <v>0</v>
      </c>
      <c r="K61" s="727">
        <f t="shared" si="8"/>
        <v>470.64323588108311</v>
      </c>
      <c r="L61" s="727">
        <f t="shared" si="8"/>
        <v>0</v>
      </c>
      <c r="M61" s="727">
        <f t="shared" ca="1" si="8"/>
        <v>0</v>
      </c>
      <c r="N61" s="727">
        <f t="shared" si="8"/>
        <v>0</v>
      </c>
      <c r="O61" s="727">
        <f t="shared" ca="1" si="8"/>
        <v>0</v>
      </c>
      <c r="P61" s="727">
        <f t="shared" si="8"/>
        <v>0</v>
      </c>
      <c r="Q61" s="727">
        <f t="shared" si="8"/>
        <v>0</v>
      </c>
      <c r="R61" s="727">
        <f ca="1">R46+R52+R56</f>
        <v>75822.431260745987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0.18670431691852424</v>
      </c>
      <c r="D63" s="773">
        <f t="shared" ca="1" si="9"/>
        <v>0.16003168944345419</v>
      </c>
      <c r="E63" s="965">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9977.806319081019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43.649999999999984</v>
      </c>
      <c r="C76" s="740">
        <f>'lokale energieproductie'!B8*IFERROR(SUM(D76:H76)/SUM(D76:O76),0)</f>
        <v>89.999999999999986</v>
      </c>
      <c r="D76" s="948">
        <f>'lokale energieproductie'!C8</f>
        <v>105.88235294117646</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51.352941176470573</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21.388235294117646</v>
      </c>
      <c r="R76" s="847">
        <v>0</v>
      </c>
    </row>
    <row r="77" spans="1:18" ht="15.75" thickBot="1">
      <c r="A77" s="743" t="s">
        <v>742</v>
      </c>
      <c r="B77" s="740">
        <f>'lokale energieproductie'!B9*IFERROR(SUM(I77:O77)/SUM(D77:O77),0)</f>
        <v>1341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3831.4285714285716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11362.456319081019</v>
      </c>
      <c r="C78" s="745">
        <f>SUM(C72:C77)</f>
        <v>89.999999999999986</v>
      </c>
      <c r="D78" s="746">
        <f t="shared" ref="D78:H78" si="10">SUM(D76:D77)</f>
        <v>105.88235294117646</v>
      </c>
      <c r="E78" s="746">
        <f t="shared" si="10"/>
        <v>0</v>
      </c>
      <c r="F78" s="746">
        <f t="shared" si="10"/>
        <v>0</v>
      </c>
      <c r="G78" s="746">
        <f t="shared" si="10"/>
        <v>0</v>
      </c>
      <c r="H78" s="746">
        <f t="shared" si="10"/>
        <v>0</v>
      </c>
      <c r="I78" s="746">
        <f>SUM(I76:I77)</f>
        <v>0</v>
      </c>
      <c r="J78" s="746">
        <f>SUM(J76:J77)</f>
        <v>3882.7815126050423</v>
      </c>
      <c r="K78" s="746">
        <f t="shared" ref="K78:L78" si="11">SUM(K76:K77)</f>
        <v>0</v>
      </c>
      <c r="L78" s="746">
        <f t="shared" si="11"/>
        <v>0</v>
      </c>
      <c r="M78" s="746">
        <f>SUM(M76:M77)</f>
        <v>0</v>
      </c>
      <c r="N78" s="746">
        <f>SUM(N76:N77)</f>
        <v>0</v>
      </c>
      <c r="O78" s="855">
        <f>SUM(O76:O77)</f>
        <v>0</v>
      </c>
      <c r="P78" s="747">
        <v>0</v>
      </c>
      <c r="Q78" s="747">
        <f>SUM(Q76:Q77)</f>
        <v>21.388235294117646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128.57142857142858</v>
      </c>
      <c r="D87" s="769">
        <f>'lokale energieproductie'!C17</f>
        <v>151.2605042016807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128.57142857142858</v>
      </c>
      <c r="D90" s="745">
        <f t="shared" ref="D90:H90" si="12">SUM(D87:D89)</f>
        <v>151.2605042016807</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30.554621848739504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32043.880120084199</v>
      </c>
      <c r="C4" s="449">
        <f>huishoudens!C8</f>
        <v>0</v>
      </c>
      <c r="D4" s="449">
        <f>huishoudens!D8</f>
        <v>66410.750332840063</v>
      </c>
      <c r="E4" s="449">
        <f>huishoudens!E8</f>
        <v>1939.5405338633991</v>
      </c>
      <c r="F4" s="449">
        <f>huishoudens!F8</f>
        <v>42488.748891193412</v>
      </c>
      <c r="G4" s="449">
        <f>huishoudens!G8</f>
        <v>0</v>
      </c>
      <c r="H4" s="449">
        <f>huishoudens!H8</f>
        <v>0</v>
      </c>
      <c r="I4" s="449">
        <f>huishoudens!I8</f>
        <v>0</v>
      </c>
      <c r="J4" s="449">
        <f>huishoudens!J8</f>
        <v>242.1480270850607</v>
      </c>
      <c r="K4" s="449">
        <f>huishoudens!K8</f>
        <v>0</v>
      </c>
      <c r="L4" s="449">
        <f>huishoudens!L8</f>
        <v>0</v>
      </c>
      <c r="M4" s="449">
        <f>huishoudens!M8</f>
        <v>0</v>
      </c>
      <c r="N4" s="449">
        <f>huishoudens!N8</f>
        <v>10309.522009335265</v>
      </c>
      <c r="O4" s="449">
        <f>huishoudens!O8</f>
        <v>686.44954390791293</v>
      </c>
      <c r="P4" s="450">
        <f>huishoudens!P8</f>
        <v>1832.9089195371939</v>
      </c>
      <c r="Q4" s="451">
        <f>SUM(B4:P4)</f>
        <v>155953.94837784651</v>
      </c>
    </row>
    <row r="5" spans="1:17">
      <c r="A5" s="448" t="s">
        <v>155</v>
      </c>
      <c r="B5" s="449">
        <f ca="1">tertiair!B16</f>
        <v>21967.56827800746</v>
      </c>
      <c r="C5" s="449">
        <f ca="1">tertiair!C16</f>
        <v>128.57142857142858</v>
      </c>
      <c r="D5" s="449">
        <f ca="1">tertiair!D16</f>
        <v>23900.784578026465</v>
      </c>
      <c r="E5" s="449">
        <f>tertiair!E16</f>
        <v>108.96701617049615</v>
      </c>
      <c r="F5" s="449">
        <f ca="1">tertiair!F16</f>
        <v>6501.5895860627706</v>
      </c>
      <c r="G5" s="449">
        <f>tertiair!G16</f>
        <v>0</v>
      </c>
      <c r="H5" s="449">
        <f>tertiair!H16</f>
        <v>0</v>
      </c>
      <c r="I5" s="449">
        <f>tertiair!I16</f>
        <v>0</v>
      </c>
      <c r="J5" s="449">
        <f>tertiair!J16</f>
        <v>5.7209388929175396E-2</v>
      </c>
      <c r="K5" s="449">
        <f>tertiair!K16</f>
        <v>0</v>
      </c>
      <c r="L5" s="449">
        <f ca="1">tertiair!L16</f>
        <v>0</v>
      </c>
      <c r="M5" s="449">
        <f>tertiair!M16</f>
        <v>0</v>
      </c>
      <c r="N5" s="449">
        <f ca="1">tertiair!N16</f>
        <v>0</v>
      </c>
      <c r="O5" s="449">
        <f>tertiair!O16</f>
        <v>39.178086126729234</v>
      </c>
      <c r="P5" s="450">
        <f>tertiair!P16</f>
        <v>52.539138306495019</v>
      </c>
      <c r="Q5" s="448">
        <f t="shared" ref="Q5:Q14" ca="1" si="0">SUM(B5:P5)</f>
        <v>52699.25532066077</v>
      </c>
    </row>
    <row r="6" spans="1:17">
      <c r="A6" s="448" t="s">
        <v>193</v>
      </c>
      <c r="B6" s="449">
        <f>'openbare verlichting'!B8</f>
        <v>819.26499999999999</v>
      </c>
      <c r="C6" s="449"/>
      <c r="D6" s="449"/>
      <c r="E6" s="449"/>
      <c r="F6" s="449"/>
      <c r="G6" s="449"/>
      <c r="H6" s="449"/>
      <c r="I6" s="449"/>
      <c r="J6" s="449"/>
      <c r="K6" s="449"/>
      <c r="L6" s="449"/>
      <c r="M6" s="449"/>
      <c r="N6" s="449"/>
      <c r="O6" s="449"/>
      <c r="P6" s="450"/>
      <c r="Q6" s="448">
        <f t="shared" si="0"/>
        <v>819.26499999999999</v>
      </c>
    </row>
    <row r="7" spans="1:17">
      <c r="A7" s="448" t="s">
        <v>111</v>
      </c>
      <c r="B7" s="449">
        <f>landbouw!B8</f>
        <v>4274.7717708734499</v>
      </c>
      <c r="C7" s="449">
        <f>landbouw!C8</f>
        <v>62.357142857142847</v>
      </c>
      <c r="D7" s="449">
        <f>landbouw!D8</f>
        <v>112.5399292798499</v>
      </c>
      <c r="E7" s="449">
        <f>landbouw!E8</f>
        <v>122.43669775609234</v>
      </c>
      <c r="F7" s="449">
        <f>landbouw!F8</f>
        <v>13531.719238443602</v>
      </c>
      <c r="G7" s="449">
        <f>landbouw!G8</f>
        <v>0</v>
      </c>
      <c r="H7" s="449">
        <f>landbouw!H8</f>
        <v>0</v>
      </c>
      <c r="I7" s="449">
        <f>landbouw!I8</f>
        <v>0</v>
      </c>
      <c r="J7" s="449">
        <f>landbouw!J8</f>
        <v>1086.9402232742723</v>
      </c>
      <c r="K7" s="449">
        <f>landbouw!K8</f>
        <v>0</v>
      </c>
      <c r="L7" s="449">
        <f>landbouw!L8</f>
        <v>0</v>
      </c>
      <c r="M7" s="449">
        <f>landbouw!M8</f>
        <v>0</v>
      </c>
      <c r="N7" s="449">
        <f>landbouw!N8</f>
        <v>0</v>
      </c>
      <c r="O7" s="449">
        <f>landbouw!O8</f>
        <v>0</v>
      </c>
      <c r="P7" s="450">
        <f>landbouw!P8</f>
        <v>0</v>
      </c>
      <c r="Q7" s="448">
        <f t="shared" si="0"/>
        <v>19190.765002484412</v>
      </c>
    </row>
    <row r="8" spans="1:17">
      <c r="A8" s="448" t="s">
        <v>617</v>
      </c>
      <c r="B8" s="449">
        <f>industrie!B18</f>
        <v>12750.528048442431</v>
      </c>
      <c r="C8" s="449">
        <f>industrie!C18</f>
        <v>0</v>
      </c>
      <c r="D8" s="449">
        <f>industrie!D18</f>
        <v>2855.1673336717799</v>
      </c>
      <c r="E8" s="449">
        <f>industrie!E18</f>
        <v>30.537512732195626</v>
      </c>
      <c r="F8" s="449">
        <f>industrie!F18</f>
        <v>1449.3129148072762</v>
      </c>
      <c r="G8" s="449">
        <f>industrie!G18</f>
        <v>0</v>
      </c>
      <c r="H8" s="449">
        <f>industrie!H18</f>
        <v>0</v>
      </c>
      <c r="I8" s="449">
        <f>industrie!I18</f>
        <v>0</v>
      </c>
      <c r="J8" s="449">
        <f>industrie!J18</f>
        <v>0.35520658248115788</v>
      </c>
      <c r="K8" s="449">
        <f>industrie!K18</f>
        <v>0</v>
      </c>
      <c r="L8" s="449">
        <f>industrie!L18</f>
        <v>0</v>
      </c>
      <c r="M8" s="449">
        <f>industrie!M18</f>
        <v>0</v>
      </c>
      <c r="N8" s="449">
        <f>industrie!N18</f>
        <v>499.16631030336902</v>
      </c>
      <c r="O8" s="449">
        <f>industrie!O18</f>
        <v>0</v>
      </c>
      <c r="P8" s="450">
        <f>industrie!P18</f>
        <v>0</v>
      </c>
      <c r="Q8" s="448">
        <f t="shared" si="0"/>
        <v>17585.067326539531</v>
      </c>
    </row>
    <row r="9" spans="1:17" s="454" customFormat="1">
      <c r="A9" s="452" t="s">
        <v>543</v>
      </c>
      <c r="B9" s="453">
        <f>transport!B14</f>
        <v>245.69572237599425</v>
      </c>
      <c r="C9" s="453">
        <f>transport!C14</f>
        <v>0</v>
      </c>
      <c r="D9" s="453">
        <f>transport!D14</f>
        <v>439.38387788801026</v>
      </c>
      <c r="E9" s="453">
        <f>transport!E14</f>
        <v>172.28864289590715</v>
      </c>
      <c r="F9" s="453">
        <f>transport!F14</f>
        <v>0</v>
      </c>
      <c r="G9" s="453">
        <f>transport!G14</f>
        <v>71080.7859671427</v>
      </c>
      <c r="H9" s="453">
        <f>transport!H14</f>
        <v>21496.432230466304</v>
      </c>
      <c r="I9" s="453">
        <f>transport!I14</f>
        <v>0</v>
      </c>
      <c r="J9" s="453">
        <f>transport!J14</f>
        <v>0</v>
      </c>
      <c r="K9" s="453">
        <f>transport!K14</f>
        <v>0</v>
      </c>
      <c r="L9" s="453">
        <f>transport!L14</f>
        <v>0</v>
      </c>
      <c r="M9" s="453">
        <f>transport!M14</f>
        <v>5605.2505951134399</v>
      </c>
      <c r="N9" s="453">
        <f>transport!N14</f>
        <v>0</v>
      </c>
      <c r="O9" s="453">
        <f>transport!O14</f>
        <v>0</v>
      </c>
      <c r="P9" s="453">
        <f>transport!P14</f>
        <v>0</v>
      </c>
      <c r="Q9" s="452">
        <f>SUM(B9:P9)</f>
        <v>99039.837035882359</v>
      </c>
    </row>
    <row r="10" spans="1:17">
      <c r="A10" s="448" t="s">
        <v>533</v>
      </c>
      <c r="B10" s="449">
        <f>transport!B54</f>
        <v>20.00007910681289</v>
      </c>
      <c r="C10" s="449">
        <f>transport!C54</f>
        <v>0</v>
      </c>
      <c r="D10" s="449">
        <f>transport!D54</f>
        <v>0</v>
      </c>
      <c r="E10" s="449">
        <f>transport!E54</f>
        <v>0</v>
      </c>
      <c r="F10" s="449">
        <f>transport!F54</f>
        <v>0</v>
      </c>
      <c r="G10" s="449">
        <f>transport!G54</f>
        <v>1252.0654165603366</v>
      </c>
      <c r="H10" s="449">
        <f>transport!H54</f>
        <v>0</v>
      </c>
      <c r="I10" s="449">
        <f>transport!I54</f>
        <v>0</v>
      </c>
      <c r="J10" s="449">
        <f>transport!J54</f>
        <v>0</v>
      </c>
      <c r="K10" s="449">
        <f>transport!K54</f>
        <v>0</v>
      </c>
      <c r="L10" s="449">
        <f>transport!L54</f>
        <v>0</v>
      </c>
      <c r="M10" s="449">
        <f>transport!M54</f>
        <v>71.890823854527099</v>
      </c>
      <c r="N10" s="449">
        <f>transport!N54</f>
        <v>0</v>
      </c>
      <c r="O10" s="449">
        <f>transport!O54</f>
        <v>0</v>
      </c>
      <c r="P10" s="450">
        <f>transport!P54</f>
        <v>0</v>
      </c>
      <c r="Q10" s="448">
        <f t="shared" si="0"/>
        <v>1343.9563195216765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1053.8158791195301</v>
      </c>
      <c r="C14" s="456"/>
      <c r="D14" s="456">
        <f>'SEAP template'!E25</f>
        <v>2194.0582404851802</v>
      </c>
      <c r="E14" s="456"/>
      <c r="F14" s="456"/>
      <c r="G14" s="456"/>
      <c r="H14" s="456"/>
      <c r="I14" s="456"/>
      <c r="J14" s="456"/>
      <c r="K14" s="456"/>
      <c r="L14" s="456"/>
      <c r="M14" s="456"/>
      <c r="N14" s="456"/>
      <c r="O14" s="456"/>
      <c r="P14" s="457"/>
      <c r="Q14" s="448">
        <f t="shared" si="0"/>
        <v>3247.8741196047104</v>
      </c>
    </row>
    <row r="15" spans="1:17" s="460" customFormat="1">
      <c r="A15" s="458" t="s">
        <v>537</v>
      </c>
      <c r="B15" s="459">
        <f ca="1">SUM(B4:B14)</f>
        <v>73175.524898009884</v>
      </c>
      <c r="C15" s="459">
        <f t="shared" ref="C15:Q15" ca="1" si="1">SUM(C4:C14)</f>
        <v>190.92857142857144</v>
      </c>
      <c r="D15" s="459">
        <f t="shared" ca="1" si="1"/>
        <v>95912.684292191349</v>
      </c>
      <c r="E15" s="459">
        <f t="shared" si="1"/>
        <v>2373.7704034180902</v>
      </c>
      <c r="F15" s="459">
        <f t="shared" ca="1" si="1"/>
        <v>63971.370630507066</v>
      </c>
      <c r="G15" s="459">
        <f t="shared" si="1"/>
        <v>72332.851383703033</v>
      </c>
      <c r="H15" s="459">
        <f t="shared" si="1"/>
        <v>21496.432230466304</v>
      </c>
      <c r="I15" s="459">
        <f t="shared" si="1"/>
        <v>0</v>
      </c>
      <c r="J15" s="459">
        <f t="shared" si="1"/>
        <v>1329.5006663307431</v>
      </c>
      <c r="K15" s="459">
        <f t="shared" si="1"/>
        <v>0</v>
      </c>
      <c r="L15" s="459">
        <f t="shared" ca="1" si="1"/>
        <v>0</v>
      </c>
      <c r="M15" s="459">
        <f t="shared" si="1"/>
        <v>5677.1414189679672</v>
      </c>
      <c r="N15" s="459">
        <f t="shared" ca="1" si="1"/>
        <v>10808.688319638635</v>
      </c>
      <c r="O15" s="459">
        <f t="shared" si="1"/>
        <v>725.62763003464215</v>
      </c>
      <c r="P15" s="459">
        <f t="shared" si="1"/>
        <v>1885.448057843689</v>
      </c>
      <c r="Q15" s="459">
        <f t="shared" ca="1" si="1"/>
        <v>349879.96850253997</v>
      </c>
    </row>
    <row r="17" spans="1:17">
      <c r="A17" s="461" t="s">
        <v>538</v>
      </c>
      <c r="B17" s="778">
        <f ca="1">huishoudens!B10</f>
        <v>0.18670431691852424</v>
      </c>
      <c r="C17" s="778">
        <f ca="1">huishoudens!C10</f>
        <v>0.16003168944345419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5982.7307492393984</v>
      </c>
      <c r="C22" s="449">
        <f t="shared" ref="C22:C32" ca="1" si="3">C4*$C$17</f>
        <v>0</v>
      </c>
      <c r="D22" s="449">
        <f t="shared" ref="D22:D32" si="4">D4*$D$17</f>
        <v>13414.971567233693</v>
      </c>
      <c r="E22" s="449">
        <f t="shared" ref="E22:E32" si="5">E4*$E$17</f>
        <v>440.27570118699163</v>
      </c>
      <c r="F22" s="449">
        <f t="shared" ref="F22:F32" si="6">F4*$F$17</f>
        <v>11344.495953948643</v>
      </c>
      <c r="G22" s="449">
        <f t="shared" ref="G22:G32" si="7">G4*$G$17</f>
        <v>0</v>
      </c>
      <c r="H22" s="449">
        <f t="shared" ref="H22:H32" si="8">H4*$H$17</f>
        <v>0</v>
      </c>
      <c r="I22" s="449">
        <f t="shared" ref="I22:I32" si="9">I4*$I$17</f>
        <v>0</v>
      </c>
      <c r="J22" s="449">
        <f t="shared" ref="J22:J32" si="10">J4*$J$17</f>
        <v>85.720401588111486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31268.194373196839</v>
      </c>
    </row>
    <row r="23" spans="1:17">
      <c r="A23" s="448" t="s">
        <v>155</v>
      </c>
      <c r="B23" s="449">
        <f t="shared" ca="1" si="2"/>
        <v>4101.4398297064245</v>
      </c>
      <c r="C23" s="449">
        <f t="shared" ca="1" si="3"/>
        <v>20.575502928444113</v>
      </c>
      <c r="D23" s="449">
        <f t="shared" ca="1" si="4"/>
        <v>4827.958484761346</v>
      </c>
      <c r="E23" s="449">
        <f t="shared" si="5"/>
        <v>24.735512670702626</v>
      </c>
      <c r="F23" s="449">
        <f t="shared" ca="1" si="6"/>
        <v>1735.9244194787598</v>
      </c>
      <c r="G23" s="449">
        <f t="shared" si="7"/>
        <v>0</v>
      </c>
      <c r="H23" s="449">
        <f t="shared" si="8"/>
        <v>0</v>
      </c>
      <c r="I23" s="449">
        <f t="shared" si="9"/>
        <v>0</v>
      </c>
      <c r="J23" s="449">
        <f t="shared" si="10"/>
        <v>2.0252123680928089E-2</v>
      </c>
      <c r="K23" s="449">
        <f t="shared" si="11"/>
        <v>0</v>
      </c>
      <c r="L23" s="449">
        <f t="shared" ca="1" si="12"/>
        <v>0</v>
      </c>
      <c r="M23" s="449">
        <f t="shared" si="13"/>
        <v>0</v>
      </c>
      <c r="N23" s="449">
        <f t="shared" ca="1" si="14"/>
        <v>0</v>
      </c>
      <c r="O23" s="449">
        <f t="shared" si="15"/>
        <v>0</v>
      </c>
      <c r="P23" s="450">
        <f t="shared" si="16"/>
        <v>0</v>
      </c>
      <c r="Q23" s="448">
        <f t="shared" ref="Q23:Q31" ca="1" si="17">SUM(B23:P23)</f>
        <v>10710.654001669356</v>
      </c>
    </row>
    <row r="24" spans="1:17">
      <c r="A24" s="448" t="s">
        <v>193</v>
      </c>
      <c r="B24" s="449">
        <f t="shared" ca="1" si="2"/>
        <v>152.96031220025475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152.96031220025475</v>
      </c>
    </row>
    <row r="25" spans="1:17">
      <c r="A25" s="448" t="s">
        <v>111</v>
      </c>
      <c r="B25" s="449">
        <f t="shared" ca="1" si="2"/>
        <v>798.1183434635177</v>
      </c>
      <c r="C25" s="449">
        <f t="shared" ca="1" si="3"/>
        <v>9.9791189202953916</v>
      </c>
      <c r="D25" s="449">
        <f t="shared" si="4"/>
        <v>22.73306571452968</v>
      </c>
      <c r="E25" s="449">
        <f t="shared" si="5"/>
        <v>27.793130390632964</v>
      </c>
      <c r="F25" s="449">
        <f t="shared" si="6"/>
        <v>3612.9690366644418</v>
      </c>
      <c r="G25" s="449">
        <f t="shared" si="7"/>
        <v>0</v>
      </c>
      <c r="H25" s="449">
        <f t="shared" si="8"/>
        <v>0</v>
      </c>
      <c r="I25" s="449">
        <f t="shared" si="9"/>
        <v>0</v>
      </c>
      <c r="J25" s="449">
        <f t="shared" si="10"/>
        <v>384.77683903909235</v>
      </c>
      <c r="K25" s="449">
        <f t="shared" si="11"/>
        <v>0</v>
      </c>
      <c r="L25" s="449">
        <f t="shared" si="12"/>
        <v>0</v>
      </c>
      <c r="M25" s="449">
        <f t="shared" si="13"/>
        <v>0</v>
      </c>
      <c r="N25" s="449">
        <f t="shared" si="14"/>
        <v>0</v>
      </c>
      <c r="O25" s="449">
        <f t="shared" si="15"/>
        <v>0</v>
      </c>
      <c r="P25" s="450">
        <f t="shared" si="16"/>
        <v>0</v>
      </c>
      <c r="Q25" s="448">
        <f t="shared" ca="1" si="17"/>
        <v>4856.3695341925095</v>
      </c>
    </row>
    <row r="26" spans="1:17">
      <c r="A26" s="448" t="s">
        <v>617</v>
      </c>
      <c r="B26" s="449">
        <f t="shared" ca="1" si="2"/>
        <v>2380.5786296349279</v>
      </c>
      <c r="C26" s="449">
        <f t="shared" ca="1" si="3"/>
        <v>0</v>
      </c>
      <c r="D26" s="449">
        <f t="shared" si="4"/>
        <v>576.74380140169956</v>
      </c>
      <c r="E26" s="449">
        <f t="shared" si="5"/>
        <v>6.9320153902084076</v>
      </c>
      <c r="F26" s="449">
        <f t="shared" si="6"/>
        <v>386.96654825354278</v>
      </c>
      <c r="G26" s="449">
        <f t="shared" si="7"/>
        <v>0</v>
      </c>
      <c r="H26" s="449">
        <f t="shared" si="8"/>
        <v>0</v>
      </c>
      <c r="I26" s="449">
        <f t="shared" si="9"/>
        <v>0</v>
      </c>
      <c r="J26" s="449">
        <f t="shared" si="10"/>
        <v>0.12574313019832989</v>
      </c>
      <c r="K26" s="449">
        <f t="shared" si="11"/>
        <v>0</v>
      </c>
      <c r="L26" s="449">
        <f t="shared" si="12"/>
        <v>0</v>
      </c>
      <c r="M26" s="449">
        <f t="shared" si="13"/>
        <v>0</v>
      </c>
      <c r="N26" s="449">
        <f t="shared" si="14"/>
        <v>0</v>
      </c>
      <c r="O26" s="449">
        <f t="shared" si="15"/>
        <v>0</v>
      </c>
      <c r="P26" s="450">
        <f t="shared" si="16"/>
        <v>0</v>
      </c>
      <c r="Q26" s="448">
        <f t="shared" ca="1" si="17"/>
        <v>3351.3467378105775</v>
      </c>
    </row>
    <row r="27" spans="1:17" s="454" customFormat="1">
      <c r="A27" s="452" t="s">
        <v>543</v>
      </c>
      <c r="B27" s="772">
        <f t="shared" ca="1" si="2"/>
        <v>45.872452016013376</v>
      </c>
      <c r="C27" s="453">
        <f t="shared" ca="1" si="3"/>
        <v>0</v>
      </c>
      <c r="D27" s="453">
        <f t="shared" si="4"/>
        <v>88.755543333378085</v>
      </c>
      <c r="E27" s="453">
        <f t="shared" si="5"/>
        <v>39.109521937370921</v>
      </c>
      <c r="F27" s="453">
        <f t="shared" si="6"/>
        <v>0</v>
      </c>
      <c r="G27" s="453">
        <f t="shared" si="7"/>
        <v>18978.569853227102</v>
      </c>
      <c r="H27" s="453">
        <f t="shared" si="8"/>
        <v>5352.6116253861101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24504.918995899974</v>
      </c>
    </row>
    <row r="28" spans="1:17" ht="16.5" customHeight="1">
      <c r="A28" s="448" t="s">
        <v>533</v>
      </c>
      <c r="B28" s="449">
        <f t="shared" ca="1" si="2"/>
        <v>3.7341011079539492</v>
      </c>
      <c r="C28" s="449">
        <f t="shared" ca="1" si="3"/>
        <v>0</v>
      </c>
      <c r="D28" s="449">
        <f t="shared" si="4"/>
        <v>0</v>
      </c>
      <c r="E28" s="449">
        <f t="shared" si="5"/>
        <v>0</v>
      </c>
      <c r="F28" s="449">
        <f t="shared" si="6"/>
        <v>0</v>
      </c>
      <c r="G28" s="449">
        <f t="shared" si="7"/>
        <v>334.30146622160993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338.03556732956389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196.75197386890599</v>
      </c>
      <c r="C32" s="449">
        <f t="shared" ca="1" si="3"/>
        <v>0</v>
      </c>
      <c r="D32" s="449">
        <f t="shared" si="4"/>
        <v>443.19976457800647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639.95173844691249</v>
      </c>
    </row>
    <row r="33" spans="1:17" s="460" customFormat="1">
      <c r="A33" s="458" t="s">
        <v>537</v>
      </c>
      <c r="B33" s="459">
        <f ca="1">SUM(B22:B32)</f>
        <v>13662.186391237399</v>
      </c>
      <c r="C33" s="459">
        <f t="shared" ref="C33:Q33" ca="1" si="19">SUM(C22:C32)</f>
        <v>30.554621848739504</v>
      </c>
      <c r="D33" s="459">
        <f t="shared" ca="1" si="19"/>
        <v>19374.362227022651</v>
      </c>
      <c r="E33" s="459">
        <f t="shared" si="19"/>
        <v>538.84588157590656</v>
      </c>
      <c r="F33" s="459">
        <f t="shared" ca="1" si="19"/>
        <v>17080.355958345386</v>
      </c>
      <c r="G33" s="459">
        <f t="shared" si="19"/>
        <v>19312.87131944871</v>
      </c>
      <c r="H33" s="459">
        <f t="shared" si="19"/>
        <v>5352.6116253861101</v>
      </c>
      <c r="I33" s="459">
        <f t="shared" si="19"/>
        <v>0</v>
      </c>
      <c r="J33" s="459">
        <f t="shared" si="19"/>
        <v>470.64323588108311</v>
      </c>
      <c r="K33" s="459">
        <f t="shared" si="19"/>
        <v>0</v>
      </c>
      <c r="L33" s="459">
        <f t="shared" ca="1" si="19"/>
        <v>0</v>
      </c>
      <c r="M33" s="459">
        <f t="shared" si="19"/>
        <v>0</v>
      </c>
      <c r="N33" s="459">
        <f t="shared" ca="1" si="19"/>
        <v>0</v>
      </c>
      <c r="O33" s="459">
        <f t="shared" si="19"/>
        <v>0</v>
      </c>
      <c r="P33" s="459">
        <f t="shared" si="19"/>
        <v>0</v>
      </c>
      <c r="Q33" s="459">
        <f t="shared" ca="1" si="19"/>
        <v>75822.431260745987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9977.806319081019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43.649999999999984</v>
      </c>
      <c r="C8" s="1016">
        <f>'SEAP template'!C76</f>
        <v>89.999999999999986</v>
      </c>
      <c r="D8" s="1016">
        <f>'SEAP template'!D76</f>
        <v>105.88235294117646</v>
      </c>
      <c r="E8" s="1016">
        <f>'SEAP template'!E76</f>
        <v>0</v>
      </c>
      <c r="F8" s="1016">
        <f>'SEAP template'!F76</f>
        <v>0</v>
      </c>
      <c r="G8" s="1016">
        <f>'SEAP template'!G76</f>
        <v>0</v>
      </c>
      <c r="H8" s="1016">
        <f>'SEAP template'!H76</f>
        <v>0</v>
      </c>
      <c r="I8" s="1016">
        <f>'SEAP template'!I76</f>
        <v>0</v>
      </c>
      <c r="J8" s="1016">
        <f>'SEAP template'!J76</f>
        <v>51.352941176470573</v>
      </c>
      <c r="K8" s="1016">
        <f>'SEAP template'!K76</f>
        <v>0</v>
      </c>
      <c r="L8" s="1016">
        <f>'SEAP template'!L76</f>
        <v>0</v>
      </c>
      <c r="M8" s="1016">
        <f>'SEAP template'!M76</f>
        <v>0</v>
      </c>
      <c r="N8" s="1016">
        <f>'SEAP template'!N76</f>
        <v>0</v>
      </c>
      <c r="O8" s="1016">
        <f>'SEAP template'!O76</f>
        <v>0</v>
      </c>
      <c r="P8" s="1017">
        <f>'SEAP template'!Q76</f>
        <v>21.388235294117646</v>
      </c>
    </row>
    <row r="9" spans="1:16">
      <c r="A9" s="1022" t="s">
        <v>743</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11362.456319081019</v>
      </c>
      <c r="C10" s="1018">
        <f>SUM(C4:C9)</f>
        <v>89.999999999999986</v>
      </c>
      <c r="D10" s="1018">
        <f t="shared" ref="D10:H10" si="0">SUM(D8:D9)</f>
        <v>105.88235294117646</v>
      </c>
      <c r="E10" s="1018">
        <f t="shared" si="0"/>
        <v>0</v>
      </c>
      <c r="F10" s="1018">
        <f t="shared" si="0"/>
        <v>0</v>
      </c>
      <c r="G10" s="1018">
        <f t="shared" si="0"/>
        <v>0</v>
      </c>
      <c r="H10" s="1018">
        <f t="shared" si="0"/>
        <v>0</v>
      </c>
      <c r="I10" s="1018">
        <f>SUM(I8:I9)</f>
        <v>0</v>
      </c>
      <c r="J10" s="1018">
        <f>SUM(J8:J9)</f>
        <v>3882.7815126050423</v>
      </c>
      <c r="K10" s="1018">
        <f t="shared" ref="K10:L10" si="1">SUM(K8:K9)</f>
        <v>0</v>
      </c>
      <c r="L10" s="1018">
        <f t="shared" si="1"/>
        <v>0</v>
      </c>
      <c r="M10" s="1018">
        <f>SUM(M8:M9)</f>
        <v>0</v>
      </c>
      <c r="N10" s="1018">
        <f>SUM(N8:N9)</f>
        <v>0</v>
      </c>
      <c r="O10" s="1018">
        <f>SUM(O8:O9)</f>
        <v>0</v>
      </c>
      <c r="P10" s="1018">
        <f>SUM(P8:P9)</f>
        <v>21.388235294117646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0.18670431691852424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128.57142857142858</v>
      </c>
      <c r="D20" s="1018">
        <f t="shared" ref="D20:H20" si="2">SUM(D17:D19)</f>
        <v>151.2605042016807</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30.554621848739504</v>
      </c>
    </row>
    <row r="21" spans="1:16">
      <c r="B21" s="883"/>
    </row>
    <row r="22" spans="1:16">
      <c r="A22" s="461" t="s">
        <v>755</v>
      </c>
      <c r="B22" s="778" t="s">
        <v>753</v>
      </c>
      <c r="C22" s="778">
        <f ca="1">'EF ele_warmte'!B22</f>
        <v>0.16003168944345419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0.18670431691852424</v>
      </c>
      <c r="C17" s="498">
        <f ca="1">'EF ele_warmte'!B22</f>
        <v>0.16003168944345419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0.18670431691852424</v>
      </c>
      <c r="C17" s="498">
        <f ca="1">'EF ele_warmte'!B22</f>
        <v>0.16003168944345419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0.18670431691852424</v>
      </c>
      <c r="C29" s="499">
        <f ca="1">'EF ele_warmte'!B22</f>
        <v>0.16003168944345419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7742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3059.99</v>
      </c>
      <c r="C14" s="326"/>
      <c r="D14" s="326"/>
      <c r="E14" s="326"/>
      <c r="F14" s="326"/>
    </row>
    <row r="15" spans="1:6">
      <c r="A15" s="1312" t="s">
        <v>183</v>
      </c>
      <c r="B15" s="1313">
        <v>11305</v>
      </c>
      <c r="C15" s="326"/>
      <c r="D15" s="326"/>
      <c r="E15" s="326"/>
      <c r="F15" s="326"/>
    </row>
    <row r="16" spans="1:6">
      <c r="A16" s="1312" t="s">
        <v>6</v>
      </c>
      <c r="B16" s="1313">
        <v>3219</v>
      </c>
      <c r="C16" s="326"/>
      <c r="D16" s="326"/>
      <c r="E16" s="326"/>
      <c r="F16" s="326"/>
    </row>
    <row r="17" spans="1:6">
      <c r="A17" s="1312" t="s">
        <v>7</v>
      </c>
      <c r="B17" s="1313">
        <v>211</v>
      </c>
      <c r="C17" s="326"/>
      <c r="D17" s="326"/>
      <c r="E17" s="326"/>
      <c r="F17" s="326"/>
    </row>
    <row r="18" spans="1:6">
      <c r="A18" s="1312" t="s">
        <v>8</v>
      </c>
      <c r="B18" s="1313">
        <v>1549</v>
      </c>
      <c r="C18" s="326"/>
      <c r="D18" s="326"/>
      <c r="E18" s="326"/>
      <c r="F18" s="326"/>
    </row>
    <row r="19" spans="1:6">
      <c r="A19" s="1312" t="s">
        <v>9</v>
      </c>
      <c r="B19" s="1313">
        <v>1455</v>
      </c>
      <c r="C19" s="326"/>
      <c r="D19" s="326"/>
      <c r="E19" s="326"/>
      <c r="F19" s="326"/>
    </row>
    <row r="20" spans="1:6">
      <c r="A20" s="1312" t="s">
        <v>10</v>
      </c>
      <c r="B20" s="1313">
        <v>547</v>
      </c>
      <c r="C20" s="326"/>
      <c r="D20" s="326"/>
      <c r="E20" s="326"/>
      <c r="F20" s="326"/>
    </row>
    <row r="21" spans="1:6">
      <c r="A21" s="1312" t="s">
        <v>11</v>
      </c>
      <c r="B21" s="1313">
        <v>10441</v>
      </c>
      <c r="C21" s="326"/>
      <c r="D21" s="326"/>
      <c r="E21" s="326"/>
      <c r="F21" s="326"/>
    </row>
    <row r="22" spans="1:6">
      <c r="A22" s="1312" t="s">
        <v>12</v>
      </c>
      <c r="B22" s="1313">
        <v>26940</v>
      </c>
      <c r="C22" s="326"/>
      <c r="D22" s="326"/>
      <c r="E22" s="326"/>
      <c r="F22" s="326"/>
    </row>
    <row r="23" spans="1:6">
      <c r="A23" s="1312" t="s">
        <v>13</v>
      </c>
      <c r="B23" s="1313">
        <v>640</v>
      </c>
      <c r="C23" s="326"/>
      <c r="D23" s="326"/>
      <c r="E23" s="326"/>
      <c r="F23" s="326"/>
    </row>
    <row r="24" spans="1:6">
      <c r="A24" s="1312" t="s">
        <v>14</v>
      </c>
      <c r="B24" s="1313">
        <v>6</v>
      </c>
      <c r="C24" s="326"/>
      <c r="D24" s="326"/>
      <c r="E24" s="326"/>
      <c r="F24" s="326"/>
    </row>
    <row r="25" spans="1:6">
      <c r="A25" s="1312" t="s">
        <v>15</v>
      </c>
      <c r="B25" s="1313">
        <v>2321</v>
      </c>
      <c r="C25" s="326"/>
      <c r="D25" s="326"/>
      <c r="E25" s="326"/>
      <c r="F25" s="326"/>
    </row>
    <row r="26" spans="1:6">
      <c r="A26" s="1312" t="s">
        <v>16</v>
      </c>
      <c r="B26" s="1313">
        <v>143</v>
      </c>
      <c r="C26" s="326"/>
      <c r="D26" s="326"/>
      <c r="E26" s="326"/>
      <c r="F26" s="326"/>
    </row>
    <row r="27" spans="1:6">
      <c r="A27" s="1312" t="s">
        <v>17</v>
      </c>
      <c r="B27" s="1313">
        <v>738</v>
      </c>
      <c r="C27" s="326"/>
      <c r="D27" s="326"/>
      <c r="E27" s="326"/>
      <c r="F27" s="326"/>
    </row>
    <row r="28" spans="1:6" s="43" customFormat="1">
      <c r="A28" s="1314" t="s">
        <v>18</v>
      </c>
      <c r="B28" s="1315">
        <v>520595</v>
      </c>
      <c r="C28" s="332"/>
      <c r="D28" s="332"/>
      <c r="E28" s="332"/>
      <c r="F28" s="332"/>
    </row>
    <row r="29" spans="1:6">
      <c r="A29" s="1314" t="s">
        <v>684</v>
      </c>
      <c r="B29" s="1315">
        <v>297</v>
      </c>
      <c r="C29" s="332"/>
      <c r="D29" s="332"/>
      <c r="E29" s="332"/>
      <c r="F29" s="332"/>
    </row>
    <row r="30" spans="1:6">
      <c r="A30" s="1307" t="s">
        <v>685</v>
      </c>
      <c r="B30" s="1316">
        <v>62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755417.48329436395</v>
      </c>
    </row>
    <row r="37" spans="1:6">
      <c r="A37" s="1312" t="s">
        <v>24</v>
      </c>
      <c r="B37" s="1312" t="s">
        <v>27</v>
      </c>
      <c r="C37" s="1313">
        <v>0</v>
      </c>
      <c r="D37" s="1313">
        <v>0</v>
      </c>
      <c r="E37" s="1313">
        <v>0</v>
      </c>
      <c r="F37" s="1313">
        <v>0</v>
      </c>
    </row>
    <row r="38" spans="1:6">
      <c r="A38" s="1312" t="s">
        <v>24</v>
      </c>
      <c r="B38" s="1312" t="s">
        <v>28</v>
      </c>
      <c r="C38" s="1313">
        <v>1</v>
      </c>
      <c r="D38" s="1313">
        <v>78726.260441803199</v>
      </c>
      <c r="E38" s="1313">
        <v>2</v>
      </c>
      <c r="F38" s="1313">
        <v>1992.3278932996</v>
      </c>
    </row>
    <row r="39" spans="1:6">
      <c r="A39" s="1312" t="s">
        <v>29</v>
      </c>
      <c r="B39" s="1312" t="s">
        <v>30</v>
      </c>
      <c r="C39" s="1313">
        <v>4750</v>
      </c>
      <c r="D39" s="1313">
        <v>73544574.012004495</v>
      </c>
      <c r="E39" s="1313">
        <v>7657</v>
      </c>
      <c r="F39" s="1313">
        <v>23708057.624360699</v>
      </c>
    </row>
    <row r="40" spans="1:6">
      <c r="A40" s="1312" t="s">
        <v>29</v>
      </c>
      <c r="B40" s="1312" t="s">
        <v>28</v>
      </c>
      <c r="C40" s="1313">
        <v>0</v>
      </c>
      <c r="D40" s="1313">
        <v>0</v>
      </c>
      <c r="E40" s="1313">
        <v>2</v>
      </c>
      <c r="F40" s="1313">
        <v>17616.156030788501</v>
      </c>
    </row>
    <row r="41" spans="1:6">
      <c r="A41" s="1312" t="s">
        <v>31</v>
      </c>
      <c r="B41" s="1312" t="s">
        <v>32</v>
      </c>
      <c r="C41" s="1313">
        <v>75</v>
      </c>
      <c r="D41" s="1313">
        <v>1639338.16125033</v>
      </c>
      <c r="E41" s="1313">
        <v>201</v>
      </c>
      <c r="F41" s="1313">
        <v>1890961.4115294199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16</v>
      </c>
      <c r="D44" s="1313">
        <v>402224.244826668</v>
      </c>
      <c r="E44" s="1313">
        <v>27</v>
      </c>
      <c r="F44" s="1313">
        <v>330210.46312721801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78019.394689549998</v>
      </c>
    </row>
    <row r="48" spans="1:6">
      <c r="A48" s="1312" t="s">
        <v>31</v>
      </c>
      <c r="B48" s="1312" t="s">
        <v>28</v>
      </c>
      <c r="C48" s="1313">
        <v>2</v>
      </c>
      <c r="D48" s="1313">
        <v>45027.059138701901</v>
      </c>
      <c r="E48" s="1313">
        <v>2</v>
      </c>
      <c r="F48" s="1313">
        <v>12761.944968842399</v>
      </c>
    </row>
    <row r="49" spans="1:6">
      <c r="A49" s="1312" t="s">
        <v>31</v>
      </c>
      <c r="B49" s="1312" t="s">
        <v>39</v>
      </c>
      <c r="C49" s="1313">
        <v>0</v>
      </c>
      <c r="D49" s="1313">
        <v>0</v>
      </c>
      <c r="E49" s="1313">
        <v>0</v>
      </c>
      <c r="F49" s="1313">
        <v>0</v>
      </c>
    </row>
    <row r="50" spans="1:6">
      <c r="A50" s="1312" t="s">
        <v>31</v>
      </c>
      <c r="B50" s="1312" t="s">
        <v>40</v>
      </c>
      <c r="C50" s="1313">
        <v>12</v>
      </c>
      <c r="D50" s="1313">
        <v>1075279.12135327</v>
      </c>
      <c r="E50" s="1313">
        <v>21</v>
      </c>
      <c r="F50" s="1313">
        <v>10438574.8341274</v>
      </c>
    </row>
    <row r="51" spans="1:6">
      <c r="A51" s="1312" t="s">
        <v>41</v>
      </c>
      <c r="B51" s="1312" t="s">
        <v>42</v>
      </c>
      <c r="C51" s="1313">
        <v>7</v>
      </c>
      <c r="D51" s="1313">
        <v>124628.936079568</v>
      </c>
      <c r="E51" s="1313">
        <v>137</v>
      </c>
      <c r="F51" s="1313">
        <v>4274771.7708734497</v>
      </c>
    </row>
    <row r="52" spans="1:6">
      <c r="A52" s="1312" t="s">
        <v>41</v>
      </c>
      <c r="B52" s="1312" t="s">
        <v>28</v>
      </c>
      <c r="C52" s="1313">
        <v>0</v>
      </c>
      <c r="D52" s="1313">
        <v>0</v>
      </c>
      <c r="E52" s="1313">
        <v>0</v>
      </c>
      <c r="F52" s="1313">
        <v>0</v>
      </c>
    </row>
    <row r="53" spans="1:6">
      <c r="A53" s="1312" t="s">
        <v>43</v>
      </c>
      <c r="B53" s="1312" t="s">
        <v>44</v>
      </c>
      <c r="C53" s="1313">
        <v>85</v>
      </c>
      <c r="D53" s="1313">
        <v>2194058.2404851802</v>
      </c>
      <c r="E53" s="1313">
        <v>226</v>
      </c>
      <c r="F53" s="1313">
        <v>1053815.8791195301</v>
      </c>
    </row>
    <row r="54" spans="1:6">
      <c r="A54" s="1312" t="s">
        <v>45</v>
      </c>
      <c r="B54" s="1312" t="s">
        <v>46</v>
      </c>
      <c r="C54" s="1313">
        <v>0</v>
      </c>
      <c r="D54" s="1313">
        <v>0</v>
      </c>
      <c r="E54" s="1313">
        <v>1</v>
      </c>
      <c r="F54" s="1313">
        <v>819265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46</v>
      </c>
      <c r="D57" s="1313">
        <v>2606358.62753523</v>
      </c>
      <c r="E57" s="1313">
        <v>120</v>
      </c>
      <c r="F57" s="1313">
        <v>5656359.0439019902</v>
      </c>
    </row>
    <row r="58" spans="1:6">
      <c r="A58" s="1312" t="s">
        <v>48</v>
      </c>
      <c r="B58" s="1312" t="s">
        <v>50</v>
      </c>
      <c r="C58" s="1313">
        <v>41</v>
      </c>
      <c r="D58" s="1313">
        <v>3548099.3185452302</v>
      </c>
      <c r="E58" s="1313">
        <v>60</v>
      </c>
      <c r="F58" s="1313">
        <v>1463005.6823414899</v>
      </c>
    </row>
    <row r="59" spans="1:6">
      <c r="A59" s="1312" t="s">
        <v>48</v>
      </c>
      <c r="B59" s="1312" t="s">
        <v>51</v>
      </c>
      <c r="C59" s="1313">
        <v>110</v>
      </c>
      <c r="D59" s="1313">
        <v>3093795.30039177</v>
      </c>
      <c r="E59" s="1313">
        <v>203</v>
      </c>
      <c r="F59" s="1313">
        <v>4323956.4986524899</v>
      </c>
    </row>
    <row r="60" spans="1:6">
      <c r="A60" s="1312" t="s">
        <v>48</v>
      </c>
      <c r="B60" s="1312" t="s">
        <v>52</v>
      </c>
      <c r="C60" s="1313">
        <v>94</v>
      </c>
      <c r="D60" s="1313">
        <v>10328726.722449001</v>
      </c>
      <c r="E60" s="1313">
        <v>129</v>
      </c>
      <c r="F60" s="1313">
        <v>4263960.4280663999</v>
      </c>
    </row>
    <row r="61" spans="1:6">
      <c r="A61" s="1312" t="s">
        <v>48</v>
      </c>
      <c r="B61" s="1312" t="s">
        <v>53</v>
      </c>
      <c r="C61" s="1313">
        <v>181</v>
      </c>
      <c r="D61" s="1313">
        <v>6225901.1496747397</v>
      </c>
      <c r="E61" s="1313">
        <v>429</v>
      </c>
      <c r="F61" s="1313">
        <v>4495220.9363553999</v>
      </c>
    </row>
    <row r="62" spans="1:6">
      <c r="A62" s="1312" t="s">
        <v>48</v>
      </c>
      <c r="B62" s="1312" t="s">
        <v>54</v>
      </c>
      <c r="C62" s="1313">
        <v>12</v>
      </c>
      <c r="D62" s="1313">
        <v>950083.92588833196</v>
      </c>
      <c r="E62" s="1313">
        <v>23</v>
      </c>
      <c r="F62" s="1313">
        <v>334065.68868968502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235479.7309142336</v>
      </c>
      <c r="E65" s="1313">
        <v>0</v>
      </c>
      <c r="F65" s="1313">
        <v>0</v>
      </c>
    </row>
    <row r="66" spans="1:6">
      <c r="A66" s="1312" t="s">
        <v>55</v>
      </c>
      <c r="B66" s="1312" t="s">
        <v>57</v>
      </c>
      <c r="C66" s="1313">
        <v>0</v>
      </c>
      <c r="D66" s="1313">
        <v>0</v>
      </c>
      <c r="E66" s="1313">
        <v>10</v>
      </c>
      <c r="F66" s="1313">
        <v>588310.14238664298</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31743.5556785804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100414727</v>
      </c>
      <c r="E73" s="447"/>
      <c r="F73" s="326"/>
    </row>
    <row r="74" spans="1:6">
      <c r="A74" s="1312" t="s">
        <v>63</v>
      </c>
      <c r="B74" s="1312" t="s">
        <v>638</v>
      </c>
      <c r="C74" s="1326" t="s">
        <v>640</v>
      </c>
      <c r="D74" s="1327">
        <v>6433739.481530413</v>
      </c>
      <c r="E74" s="447"/>
      <c r="F74" s="326"/>
    </row>
    <row r="75" spans="1:6">
      <c r="A75" s="1312" t="s">
        <v>64</v>
      </c>
      <c r="B75" s="1312" t="s">
        <v>637</v>
      </c>
      <c r="C75" s="1326" t="s">
        <v>641</v>
      </c>
      <c r="D75" s="1327">
        <v>20410236</v>
      </c>
      <c r="E75" s="447"/>
      <c r="F75" s="326"/>
    </row>
    <row r="76" spans="1:6">
      <c r="A76" s="1312" t="s">
        <v>64</v>
      </c>
      <c r="B76" s="1312" t="s">
        <v>638</v>
      </c>
      <c r="C76" s="1326" t="s">
        <v>642</v>
      </c>
      <c r="D76" s="1327">
        <v>913956.4815304135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373045.03693917301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8318.2063396927097</v>
      </c>
      <c r="C91" s="326"/>
      <c r="D91" s="326"/>
      <c r="E91" s="326"/>
      <c r="F91" s="326"/>
    </row>
    <row r="92" spans="1:6">
      <c r="A92" s="1307" t="s">
        <v>68</v>
      </c>
      <c r="B92" s="1308">
        <v>1659.5999793883088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2144</v>
      </c>
      <c r="C97" s="326"/>
      <c r="D97" s="326"/>
      <c r="E97" s="326"/>
      <c r="F97" s="326"/>
    </row>
    <row r="98" spans="1:6">
      <c r="A98" s="1312" t="s">
        <v>71</v>
      </c>
      <c r="B98" s="1313">
        <v>12</v>
      </c>
      <c r="C98" s="326"/>
      <c r="D98" s="326"/>
      <c r="E98" s="326"/>
      <c r="F98" s="326"/>
    </row>
    <row r="99" spans="1:6">
      <c r="A99" s="1312" t="s">
        <v>72</v>
      </c>
      <c r="B99" s="1313">
        <v>63</v>
      </c>
      <c r="C99" s="326"/>
      <c r="D99" s="326"/>
      <c r="E99" s="326"/>
      <c r="F99" s="326"/>
    </row>
    <row r="100" spans="1:6">
      <c r="A100" s="1312" t="s">
        <v>73</v>
      </c>
      <c r="B100" s="1313">
        <v>245</v>
      </c>
      <c r="C100" s="326"/>
      <c r="D100" s="326"/>
      <c r="E100" s="326"/>
      <c r="F100" s="326"/>
    </row>
    <row r="101" spans="1:6">
      <c r="A101" s="1312" t="s">
        <v>74</v>
      </c>
      <c r="B101" s="1313">
        <v>193</v>
      </c>
      <c r="C101" s="326"/>
      <c r="D101" s="326"/>
      <c r="E101" s="326"/>
      <c r="F101" s="326"/>
    </row>
    <row r="102" spans="1:6">
      <c r="A102" s="1312" t="s">
        <v>75</v>
      </c>
      <c r="B102" s="1313">
        <v>70</v>
      </c>
      <c r="C102" s="326"/>
      <c r="D102" s="326"/>
      <c r="E102" s="326"/>
      <c r="F102" s="326"/>
    </row>
    <row r="103" spans="1:6">
      <c r="A103" s="1312" t="s">
        <v>76</v>
      </c>
      <c r="B103" s="1313">
        <v>116</v>
      </c>
      <c r="C103" s="326"/>
      <c r="D103" s="326"/>
      <c r="E103" s="326"/>
      <c r="F103" s="326"/>
    </row>
    <row r="104" spans="1:6">
      <c r="A104" s="1312" t="s">
        <v>77</v>
      </c>
      <c r="B104" s="1313">
        <v>3477</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103</v>
      </c>
      <c r="C123" s="1313">
        <v>63</v>
      </c>
      <c r="D123" s="326"/>
      <c r="E123" s="326"/>
      <c r="F123" s="326"/>
    </row>
    <row r="124" spans="1:6" s="43" customFormat="1">
      <c r="A124" s="1314" t="s">
        <v>88</v>
      </c>
      <c r="B124" s="1335">
        <v>6</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283</v>
      </c>
      <c r="C129" s="326"/>
      <c r="D129" s="326"/>
      <c r="E129" s="326"/>
      <c r="F129" s="326"/>
    </row>
    <row r="130" spans="1:6">
      <c r="A130" s="1312" t="s">
        <v>290</v>
      </c>
      <c r="B130" s="1313">
        <v>8</v>
      </c>
      <c r="C130" s="326"/>
      <c r="D130" s="326"/>
      <c r="E130" s="326"/>
      <c r="F130" s="326"/>
    </row>
    <row r="131" spans="1:6">
      <c r="A131" s="1312" t="s">
        <v>291</v>
      </c>
      <c r="B131" s="1313">
        <v>1</v>
      </c>
      <c r="C131" s="326"/>
      <c r="D131" s="326"/>
      <c r="E131" s="326"/>
      <c r="F131" s="326"/>
    </row>
    <row r="132" spans="1:6">
      <c r="A132" s="1307" t="s">
        <v>292</v>
      </c>
      <c r="B132" s="1308">
        <v>65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73175.52489800987</v>
      </c>
      <c r="C3" s="43" t="s">
        <v>169</v>
      </c>
      <c r="D3" s="43"/>
      <c r="E3" s="154"/>
      <c r="F3" s="43"/>
      <c r="G3" s="43"/>
      <c r="H3" s="43"/>
      <c r="I3" s="43"/>
      <c r="J3" s="43"/>
      <c r="K3" s="96"/>
    </row>
    <row r="4" spans="1:11">
      <c r="A4" s="354" t="s">
        <v>170</v>
      </c>
      <c r="B4" s="49">
        <f>IF(ISERROR('SEAP template'!B78+'SEAP template'!C78),0,'SEAP template'!B78+'SEAP template'!C78)</f>
        <v>11452.456319081019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0.18670431691852424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190.92857142857144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0.16003168944345419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819.26499999999999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819.26499999999999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0.18670431691852424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152.96031220025475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23725.673780391488</v>
      </c>
      <c r="C5" s="17">
        <f>IF(ISERROR('Eigen informatie GS &amp; warmtenet'!B59),0,'Eigen informatie GS &amp; warmtenet'!B59)</f>
        <v>0</v>
      </c>
      <c r="D5" s="30">
        <f>(SUM(HH_hh_gas_kWh,HH_rest_gas_kWh)/1000)*0.903</f>
        <v>66410.750332840063</v>
      </c>
      <c r="E5" s="17">
        <f>B32*B41</f>
        <v>1939.5405338633991</v>
      </c>
      <c r="F5" s="17">
        <f>B36*B45</f>
        <v>42488.748891193412</v>
      </c>
      <c r="G5" s="18"/>
      <c r="H5" s="17"/>
      <c r="I5" s="17"/>
      <c r="J5" s="17">
        <f>B35*B44+C35*C44</f>
        <v>242.1480270850607</v>
      </c>
      <c r="K5" s="17"/>
      <c r="L5" s="17"/>
      <c r="M5" s="17"/>
      <c r="N5" s="17">
        <f>B34*B43+C34*C43</f>
        <v>10309.522009335265</v>
      </c>
      <c r="O5" s="17">
        <f>B52*B53*B54</f>
        <v>686.44954390791293</v>
      </c>
      <c r="P5" s="17">
        <f>B60*B61*B62/1000-B60*B61*B62/1000/B63</f>
        <v>1832.9089195371939</v>
      </c>
    </row>
    <row r="6" spans="1:16">
      <c r="A6" s="16" t="s">
        <v>603</v>
      </c>
      <c r="B6" s="780">
        <f>kWh_PV_kleiner_dan_10kW</f>
        <v>8318.2063396927097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32043.880120084199</v>
      </c>
      <c r="C8" s="21">
        <f>C5</f>
        <v>0</v>
      </c>
      <c r="D8" s="21">
        <f>D5</f>
        <v>66410.750332840063</v>
      </c>
      <c r="E8" s="21">
        <f>E5</f>
        <v>1939.5405338633991</v>
      </c>
      <c r="F8" s="21">
        <f>F5</f>
        <v>42488.748891193412</v>
      </c>
      <c r="G8" s="21"/>
      <c r="H8" s="21"/>
      <c r="I8" s="21"/>
      <c r="J8" s="21">
        <f>J5</f>
        <v>242.1480270850607</v>
      </c>
      <c r="K8" s="21"/>
      <c r="L8" s="21">
        <f>L5</f>
        <v>0</v>
      </c>
      <c r="M8" s="21">
        <f>M5</f>
        <v>0</v>
      </c>
      <c r="N8" s="21">
        <f>N5</f>
        <v>10309.522009335265</v>
      </c>
      <c r="O8" s="21">
        <f>O5</f>
        <v>686.44954390791293</v>
      </c>
      <c r="P8" s="21">
        <f>P5</f>
        <v>1832.9089195371939</v>
      </c>
    </row>
    <row r="9" spans="1:16">
      <c r="B9" s="19"/>
      <c r="C9" s="19"/>
      <c r="D9" s="254"/>
      <c r="E9" s="19"/>
      <c r="F9" s="19"/>
      <c r="G9" s="19"/>
      <c r="H9" s="19"/>
      <c r="I9" s="19"/>
      <c r="J9" s="19"/>
      <c r="K9" s="19"/>
      <c r="L9" s="19"/>
      <c r="M9" s="19"/>
      <c r="N9" s="19"/>
      <c r="O9" s="19"/>
      <c r="P9" s="19"/>
    </row>
    <row r="10" spans="1:16">
      <c r="A10" s="24" t="s">
        <v>213</v>
      </c>
      <c r="B10" s="25">
        <f ca="1">'EF ele_warmte'!B12</f>
        <v>0.18670431691852424</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5982.7307492393984</v>
      </c>
      <c r="C12" s="23">
        <f ca="1">C10*C8</f>
        <v>0</v>
      </c>
      <c r="D12" s="23">
        <f>D8*D10</f>
        <v>13414.971567233693</v>
      </c>
      <c r="E12" s="23">
        <f>E10*E8</f>
        <v>440.27570118699163</v>
      </c>
      <c r="F12" s="23">
        <f>F10*F8</f>
        <v>11344.495953948643</v>
      </c>
      <c r="G12" s="23"/>
      <c r="H12" s="23"/>
      <c r="I12" s="23"/>
      <c r="J12" s="23">
        <f>J10*J8</f>
        <v>85.720401588111486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7742</v>
      </c>
      <c r="C26" s="36"/>
      <c r="D26" s="225"/>
    </row>
    <row r="27" spans="1:5" s="15" customFormat="1">
      <c r="A27" s="227" t="s">
        <v>866</v>
      </c>
      <c r="B27" s="37">
        <f>SUM(HH_hh_gas_aantal,HH_rest_gas_aantal)</f>
        <v>4750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4512.5</v>
      </c>
      <c r="C31" s="34" t="s">
        <v>110</v>
      </c>
      <c r="D31" s="171"/>
    </row>
    <row r="32" spans="1:5">
      <c r="A32" s="168" t="s">
        <v>72</v>
      </c>
      <c r="B32" s="33">
        <f>IF((B21*($B$26-($B$27-0.05*$B$27)-$B$60))&lt;0,0,(B21*($B$26-($B$27-0.05*$B$27)-$B$60)))</f>
        <v>48.50666960931747</v>
      </c>
      <c r="C32" s="34" t="s">
        <v>110</v>
      </c>
      <c r="D32" s="171"/>
    </row>
    <row r="33" spans="1:6">
      <c r="A33" s="168" t="s">
        <v>73</v>
      </c>
      <c r="B33" s="33">
        <f>IF((B22*($B$26-($B$27-0.05*$B$27)-$B$60))&lt;0,0,B22*($B$26-($B$27-0.05*$B$27)-$B$60))</f>
        <v>787.65224594171718</v>
      </c>
      <c r="C33" s="34" t="s">
        <v>110</v>
      </c>
      <c r="D33" s="171"/>
    </row>
    <row r="34" spans="1:6">
      <c r="A34" s="168" t="s">
        <v>74</v>
      </c>
      <c r="B34" s="33">
        <f>IF((B24*($B$26-($B$27-0.05*$B$27)-$B$60))&lt;0,0,B24*($B$26-($B$27-0.05*$B$27)-$B$60))</f>
        <v>151.00347627492857</v>
      </c>
      <c r="C34" s="33">
        <f>B26*C24</f>
        <v>1586.381785982265</v>
      </c>
      <c r="D34" s="230"/>
    </row>
    <row r="35" spans="1:6">
      <c r="A35" s="168" t="s">
        <v>76</v>
      </c>
      <c r="B35" s="33">
        <f>IF((B19*($B$26-($B$27-0.05*$B$27)-$B$60))&lt;0,0,B19*($B$26-($B$27-0.05*$B$27)-$B$60))</f>
        <v>21.085733636104642</v>
      </c>
      <c r="C35" s="33">
        <f>B35/2</f>
        <v>10.542866818052321</v>
      </c>
      <c r="D35" s="230"/>
    </row>
    <row r="36" spans="1:6">
      <c r="A36" s="168" t="s">
        <v>77</v>
      </c>
      <c r="B36" s="33">
        <f>IF((B18*($B$26-($B$27-0.05*$B$27)-$B$60))&lt;0,0,B18*($B$26-($B$27-0.05*$B$27)-$B$60))</f>
        <v>2047.2518745379316</v>
      </c>
      <c r="C36" s="34" t="s">
        <v>110</v>
      </c>
      <c r="D36" s="171"/>
    </row>
    <row r="37" spans="1:6">
      <c r="A37" s="168" t="s">
        <v>78</v>
      </c>
      <c r="B37" s="33">
        <f>B60</f>
        <v>174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346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20536.56827800746</v>
      </c>
      <c r="C5" s="17">
        <f>IF(ISERROR('Eigen informatie GS &amp; warmtenet'!B60),0,'Eigen informatie GS &amp; warmtenet'!B60)</f>
        <v>0</v>
      </c>
      <c r="D5" s="30">
        <f>SUM(D6:D12)</f>
        <v>24157.927435169324</v>
      </c>
      <c r="E5" s="17">
        <f>SUM(E6:E12)</f>
        <v>108.96701617049615</v>
      </c>
      <c r="F5" s="17">
        <f>SUM(F6:F12)</f>
        <v>6501.5895860627706</v>
      </c>
      <c r="G5" s="18"/>
      <c r="H5" s="17"/>
      <c r="I5" s="17"/>
      <c r="J5" s="17">
        <f>SUM(J6:J12)</f>
        <v>5.7209388929175396E-2</v>
      </c>
      <c r="K5" s="17"/>
      <c r="L5" s="17"/>
      <c r="M5" s="17"/>
      <c r="N5" s="17">
        <f>SUM(N6:N12)</f>
        <v>2183.7937361246077</v>
      </c>
      <c r="O5" s="17">
        <f>B38*B39*B40</f>
        <v>39.178086126729234</v>
      </c>
      <c r="P5" s="17">
        <f>B46*B47*B48/1000-B46*B47*B48/1000/B49</f>
        <v>52.539138306495019</v>
      </c>
      <c r="R5" s="32"/>
    </row>
    <row r="6" spans="1:18">
      <c r="A6" s="32" t="s">
        <v>53</v>
      </c>
      <c r="B6" s="37">
        <f>B26</f>
        <v>4495.2209363554002</v>
      </c>
      <c r="C6" s="33"/>
      <c r="D6" s="37">
        <f>IF(ISERROR(TER_kantoor_gas_kWh/1000),0,TER_kantoor_gas_kWh/1000)*0.903</f>
        <v>5621.9887381562903</v>
      </c>
      <c r="E6" s="33">
        <f>$C$26*'E Balans VL '!I12/100/3.6*1000000</f>
        <v>1.0710786539451311</v>
      </c>
      <c r="F6" s="33">
        <f>$C$26*('E Balans VL '!L12+'E Balans VL '!N12)/100/3.6*1000000</f>
        <v>390.45397417632023</v>
      </c>
      <c r="G6" s="34"/>
      <c r="H6" s="33"/>
      <c r="I6" s="33"/>
      <c r="J6" s="33">
        <f>$C$26*('E Balans VL '!D12+'E Balans VL '!E12)/100/3.6*1000000</f>
        <v>0</v>
      </c>
      <c r="K6" s="33"/>
      <c r="L6" s="33"/>
      <c r="M6" s="33"/>
      <c r="N6" s="33">
        <f>$C$26*'E Balans VL '!Y12/100/3.6*1000000</f>
        <v>6.0084916637427686</v>
      </c>
      <c r="O6" s="33"/>
      <c r="P6" s="33"/>
      <c r="R6" s="32"/>
    </row>
    <row r="7" spans="1:18">
      <c r="A7" s="32" t="s">
        <v>52</v>
      </c>
      <c r="B7" s="37">
        <f t="shared" ref="B7:B12" si="0">B27</f>
        <v>4263.9604280663998</v>
      </c>
      <c r="C7" s="33"/>
      <c r="D7" s="37">
        <f>IF(ISERROR(TER_horeca_gas_kWh/1000),0,TER_horeca_gas_kWh/1000)*0.903</f>
        <v>9326.8402303714483</v>
      </c>
      <c r="E7" s="33">
        <f>$C$27*'E Balans VL '!I9/100/3.6*1000000</f>
        <v>0</v>
      </c>
      <c r="F7" s="33">
        <f>$C$27*('E Balans VL '!L9+'E Balans VL '!N9)/100/3.6*1000000</f>
        <v>347.43560822667075</v>
      </c>
      <c r="G7" s="34"/>
      <c r="H7" s="33"/>
      <c r="I7" s="33"/>
      <c r="J7" s="33">
        <f>$C$27*('E Balans VL '!D9+'E Balans VL '!E9)/100/3.6*1000000</f>
        <v>0</v>
      </c>
      <c r="K7" s="33"/>
      <c r="L7" s="33"/>
      <c r="M7" s="33"/>
      <c r="N7" s="33">
        <f>$C$27*'E Balans VL '!Y9/100/3.6*1000000</f>
        <v>1.1810376549274226</v>
      </c>
      <c r="O7" s="33"/>
      <c r="P7" s="33"/>
      <c r="R7" s="32"/>
    </row>
    <row r="8" spans="1:18">
      <c r="A8" s="6" t="s">
        <v>51</v>
      </c>
      <c r="B8" s="37">
        <f t="shared" si="0"/>
        <v>4323.9564986524902</v>
      </c>
      <c r="C8" s="33"/>
      <c r="D8" s="37">
        <f>IF(ISERROR(TER_handel_gas_kWh/1000),0,TER_handel_gas_kWh/1000)*0.903</f>
        <v>2793.6971562537683</v>
      </c>
      <c r="E8" s="33">
        <f>$C$28*'E Balans VL '!I13/100/3.6*1000000</f>
        <v>34.564041791424273</v>
      </c>
      <c r="F8" s="33">
        <f>$C$28*('E Balans VL '!L13+'E Balans VL '!N13)/100/3.6*1000000</f>
        <v>429.55819885926257</v>
      </c>
      <c r="G8" s="34"/>
      <c r="H8" s="33"/>
      <c r="I8" s="33"/>
      <c r="J8" s="33">
        <f>$C$28*('E Balans VL '!D13+'E Balans VL '!E13)/100/3.6*1000000</f>
        <v>0</v>
      </c>
      <c r="K8" s="33"/>
      <c r="L8" s="33"/>
      <c r="M8" s="33"/>
      <c r="N8" s="33">
        <f>$C$28*'E Balans VL '!Y13/100/3.6*1000000</f>
        <v>1.6152551312695527</v>
      </c>
      <c r="O8" s="33"/>
      <c r="P8" s="33"/>
      <c r="R8" s="32"/>
    </row>
    <row r="9" spans="1:18">
      <c r="A9" s="32" t="s">
        <v>50</v>
      </c>
      <c r="B9" s="37">
        <f t="shared" si="0"/>
        <v>1463.00568234149</v>
      </c>
      <c r="C9" s="33"/>
      <c r="D9" s="37">
        <f>IF(ISERROR(TER_gezond_gas_kWh/1000),0,TER_gezond_gas_kWh/1000)*0.903</f>
        <v>3203.933684646343</v>
      </c>
      <c r="E9" s="33">
        <f>$C$29*'E Balans VL '!I10/100/3.6*1000000</f>
        <v>0</v>
      </c>
      <c r="F9" s="33">
        <f>$C$29*('E Balans VL '!L10+'E Balans VL '!N10)/100/3.6*1000000</f>
        <v>133.37680864222881</v>
      </c>
      <c r="G9" s="34"/>
      <c r="H9" s="33"/>
      <c r="I9" s="33"/>
      <c r="J9" s="33">
        <f>$C$29*('E Balans VL '!D10+'E Balans VL '!E10)/100/3.6*1000000</f>
        <v>0</v>
      </c>
      <c r="K9" s="33"/>
      <c r="L9" s="33"/>
      <c r="M9" s="33"/>
      <c r="N9" s="33">
        <f>$C$29*'E Balans VL '!Y10/100/3.6*1000000</f>
        <v>10.693260450680011</v>
      </c>
      <c r="O9" s="33"/>
      <c r="P9" s="33"/>
      <c r="R9" s="32"/>
    </row>
    <row r="10" spans="1:18">
      <c r="A10" s="32" t="s">
        <v>49</v>
      </c>
      <c r="B10" s="37">
        <f t="shared" si="0"/>
        <v>5656.3590439019899</v>
      </c>
      <c r="C10" s="33"/>
      <c r="D10" s="37">
        <f>IF(ISERROR(TER_ander_gas_kWh/1000),0,TER_ander_gas_kWh/1000)*0.903</f>
        <v>2353.5418406643125</v>
      </c>
      <c r="E10" s="33">
        <f>$C$30*'E Balans VL '!I14/100/3.6*1000000</f>
        <v>73.331895725126742</v>
      </c>
      <c r="F10" s="33">
        <f>$C$30*('E Balans VL '!L14+'E Balans VL '!N14)/100/3.6*1000000</f>
        <v>5187.6754111469199</v>
      </c>
      <c r="G10" s="34"/>
      <c r="H10" s="33"/>
      <c r="I10" s="33"/>
      <c r="J10" s="33">
        <f>$C$30*('E Balans VL '!D14+'E Balans VL '!E14)/100/3.6*1000000</f>
        <v>5.7209388929175396E-2</v>
      </c>
      <c r="K10" s="33"/>
      <c r="L10" s="33"/>
      <c r="M10" s="33"/>
      <c r="N10" s="33">
        <f>$C$30*'E Balans VL '!Y14/100/3.6*1000000</f>
        <v>2163.24363583175</v>
      </c>
      <c r="O10" s="33"/>
      <c r="P10" s="33"/>
      <c r="R10" s="32"/>
    </row>
    <row r="11" spans="1:18">
      <c r="A11" s="32" t="s">
        <v>54</v>
      </c>
      <c r="B11" s="37">
        <f t="shared" si="0"/>
        <v>334.06568868968503</v>
      </c>
      <c r="C11" s="33"/>
      <c r="D11" s="37">
        <f>IF(ISERROR(TER_onderwijs_gas_kWh/1000),0,TER_onderwijs_gas_kWh/1000)*0.903</f>
        <v>857.92578507716371</v>
      </c>
      <c r="E11" s="33">
        <f>$C$31*'E Balans VL '!I11/100/3.6*1000000</f>
        <v>0</v>
      </c>
      <c r="F11" s="33">
        <f>$C$31*('E Balans VL '!L11+'E Balans VL '!N11)/100/3.6*1000000</f>
        <v>13.089585011368557</v>
      </c>
      <c r="G11" s="34"/>
      <c r="H11" s="33"/>
      <c r="I11" s="33"/>
      <c r="J11" s="33">
        <f>$C$31*('E Balans VL '!D11+'E Balans VL '!E11)/100/3.6*1000000</f>
        <v>0</v>
      </c>
      <c r="K11" s="33"/>
      <c r="L11" s="33"/>
      <c r="M11" s="33"/>
      <c r="N11" s="33">
        <f>$C$31*'E Balans VL '!Y11/100/3.6*1000000</f>
        <v>1.0520553922377245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1431</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21967.56827800746</v>
      </c>
      <c r="C16" s="21">
        <f t="shared" ca="1" si="1"/>
        <v>128.57142857142858</v>
      </c>
      <c r="D16" s="21">
        <f t="shared" ca="1" si="1"/>
        <v>23900.784578026465</v>
      </c>
      <c r="E16" s="21">
        <f t="shared" si="1"/>
        <v>108.96701617049615</v>
      </c>
      <c r="F16" s="21">
        <f t="shared" ca="1" si="1"/>
        <v>6501.5895860627706</v>
      </c>
      <c r="G16" s="21">
        <f t="shared" si="1"/>
        <v>0</v>
      </c>
      <c r="H16" s="21">
        <f t="shared" si="1"/>
        <v>0</v>
      </c>
      <c r="I16" s="21">
        <f t="shared" si="1"/>
        <v>0</v>
      </c>
      <c r="J16" s="21">
        <f t="shared" si="1"/>
        <v>5.7209388929175396E-2</v>
      </c>
      <c r="K16" s="21">
        <f t="shared" si="1"/>
        <v>0</v>
      </c>
      <c r="L16" s="21">
        <f t="shared" ca="1" si="1"/>
        <v>0</v>
      </c>
      <c r="M16" s="21">
        <f t="shared" si="1"/>
        <v>0</v>
      </c>
      <c r="N16" s="21">
        <f t="shared" ca="1" si="1"/>
        <v>0</v>
      </c>
      <c r="O16" s="21">
        <f>O5</f>
        <v>39.178086126729234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0.18670431691852424</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4101.4398297064245</v>
      </c>
      <c r="C20" s="23">
        <f t="shared" ref="C20:P20" ca="1" si="2">C16*C18</f>
        <v>20.575502928444113</v>
      </c>
      <c r="D20" s="23">
        <f t="shared" ca="1" si="2"/>
        <v>4827.958484761346</v>
      </c>
      <c r="E20" s="23">
        <f t="shared" si="2"/>
        <v>24.735512670702626</v>
      </c>
      <c r="F20" s="23">
        <f t="shared" ca="1" si="2"/>
        <v>1735.9244194787598</v>
      </c>
      <c r="G20" s="23">
        <f t="shared" si="2"/>
        <v>0</v>
      </c>
      <c r="H20" s="23">
        <f t="shared" si="2"/>
        <v>0</v>
      </c>
      <c r="I20" s="23">
        <f t="shared" si="2"/>
        <v>0</v>
      </c>
      <c r="J20" s="23">
        <f t="shared" si="2"/>
        <v>2.0252123680928089E-2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4495.2209363554002</v>
      </c>
      <c r="C26" s="39">
        <f>IF(ISERROR(B26*3.6/1000000/'E Balans VL '!Z12*100),0,B26*3.6/1000000/'E Balans VL '!Z12*100)</f>
        <v>0.1289674656407922</v>
      </c>
      <c r="D26" s="233" t="s">
        <v>841</v>
      </c>
      <c r="F26" s="6"/>
    </row>
    <row r="27" spans="1:18" ht="30">
      <c r="A27" s="228" t="s">
        <v>52</v>
      </c>
      <c r="B27" s="33">
        <f>IF(ISERROR(TER_horeca_ele_kWh/1000),0,TER_horeca_ele_kWh/1000)</f>
        <v>4263.9604280663998</v>
      </c>
      <c r="C27" s="39">
        <f>IF(ISERROR(B27*3.6/1000000/'E Balans VL '!Z9*100),0,B27*3.6/1000000/'E Balans VL '!Z9*100)</f>
        <v>0.31237925055376259</v>
      </c>
      <c r="D27" s="233" t="s">
        <v>841</v>
      </c>
      <c r="F27" s="6"/>
    </row>
    <row r="28" spans="1:18" ht="30">
      <c r="A28" s="168" t="s">
        <v>51</v>
      </c>
      <c r="B28" s="33">
        <f>IF(ISERROR(TER_handel_ele_kWh/1000),0,TER_handel_ele_kWh/1000)</f>
        <v>4323.9564986524902</v>
      </c>
      <c r="C28" s="39">
        <f>IF(ISERROR(B28*3.6/1000000/'E Balans VL '!Z13*100),0,B28*3.6/1000000/'E Balans VL '!Z13*100)</f>
        <v>0.13361390285525057</v>
      </c>
      <c r="D28" s="233" t="s">
        <v>841</v>
      </c>
      <c r="F28" s="6"/>
    </row>
    <row r="29" spans="1:18" ht="30">
      <c r="A29" s="228" t="s">
        <v>50</v>
      </c>
      <c r="B29" s="33">
        <f>IF(ISERROR(TER_gezond_ele_kWh/1000),0,TER_gezond_ele_kWh/1000)</f>
        <v>1463.00568234149</v>
      </c>
      <c r="C29" s="39">
        <f>IF(ISERROR(B29*3.6/1000000/'E Balans VL '!Z10*100),0,B29*3.6/1000000/'E Balans VL '!Z10*100)</f>
        <v>0.14338355282556964</v>
      </c>
      <c r="D29" s="233" t="s">
        <v>841</v>
      </c>
      <c r="F29" s="6"/>
    </row>
    <row r="30" spans="1:18" ht="30">
      <c r="A30" s="228" t="s">
        <v>49</v>
      </c>
      <c r="B30" s="33">
        <f>IF(ISERROR(TER_ander_ele_kWh/1000),0,TER_ander_ele_kWh/1000)</f>
        <v>5656.3590439019899</v>
      </c>
      <c r="C30" s="39">
        <f>IF(ISERROR(B30*3.6/1000000/'E Balans VL '!Z14*100),0,B30*3.6/1000000/'E Balans VL '!Z14*100)</f>
        <v>0.23430466455634974</v>
      </c>
      <c r="D30" s="233" t="s">
        <v>841</v>
      </c>
      <c r="F30" s="6"/>
    </row>
    <row r="31" spans="1:18" ht="30">
      <c r="A31" s="228" t="s">
        <v>54</v>
      </c>
      <c r="B31" s="33">
        <f>IF(ISERROR(TER_onderwijs_ele_kWh/1000),0,TER_onderwijs_ele_kWh/1000)</f>
        <v>334.06568868968503</v>
      </c>
      <c r="C31" s="39">
        <f>IF(ISERROR(B31*3.6/1000000/'E Balans VL '!Z11*100),0,B31*3.6/1000000/'E Balans VL '!Z11*100)</f>
        <v>0.10264822966212341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12750.528048442431</v>
      </c>
      <c r="C5" s="17">
        <f>IF(ISERROR('Eigen informatie GS &amp; warmtenet'!B61),0,'Eigen informatie GS &amp; warmtenet'!B61)</f>
        <v>0</v>
      </c>
      <c r="D5" s="30">
        <f>SUM(D6:D15)</f>
        <v>2855.1673336717799</v>
      </c>
      <c r="E5" s="17">
        <f>SUM(E6:E15)</f>
        <v>30.537512732195626</v>
      </c>
      <c r="F5" s="17">
        <f>SUM(F6:F15)</f>
        <v>1449.3129148072762</v>
      </c>
      <c r="G5" s="18"/>
      <c r="H5" s="17"/>
      <c r="I5" s="17"/>
      <c r="J5" s="17">
        <f>SUM(J6:J15)</f>
        <v>0.35520658248115788</v>
      </c>
      <c r="K5" s="17"/>
      <c r="L5" s="17"/>
      <c r="M5" s="17"/>
      <c r="N5" s="17">
        <f>SUM(N6:N15)</f>
        <v>499.16631030336902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330.21046312721802</v>
      </c>
      <c r="C8" s="33"/>
      <c r="D8" s="37">
        <f>IF( ISERROR(IND_metaal_Gas_kWH/1000),0,IND_metaal_Gas_kWH/1000)*0.903</f>
        <v>363.20849307848118</v>
      </c>
      <c r="E8" s="33">
        <f>C30*'E Balans VL '!I18/100/3.6*1000000</f>
        <v>1.8000287332955298</v>
      </c>
      <c r="F8" s="33">
        <f>C30*'E Balans VL '!L18/100/3.6*1000000+C30*'E Balans VL '!N18/100/3.6*1000000</f>
        <v>21.265579047760088</v>
      </c>
      <c r="G8" s="34"/>
      <c r="H8" s="33"/>
      <c r="I8" s="33"/>
      <c r="J8" s="40">
        <f>C30*'E Balans VL '!D18/100/3.6*1000000+C30*'E Balans VL '!E18/100/3.6*1000000</f>
        <v>0.27048264784779286</v>
      </c>
      <c r="K8" s="33"/>
      <c r="L8" s="33"/>
      <c r="M8" s="33"/>
      <c r="N8" s="33">
        <f>C30*'E Balans VL '!Y18/100/3.6*1000000</f>
        <v>7.1339788538139981</v>
      </c>
      <c r="O8" s="33"/>
      <c r="P8" s="33"/>
      <c r="R8" s="32"/>
    </row>
    <row r="9" spans="1:18">
      <c r="A9" s="6" t="s">
        <v>32</v>
      </c>
      <c r="B9" s="37">
        <f t="shared" si="0"/>
        <v>1890.96141152942</v>
      </c>
      <c r="C9" s="33"/>
      <c r="D9" s="37">
        <f>IF( ISERROR(IND_andere_gas_kWh/1000),0,IND_andere_gas_kWh/1000)*0.903</f>
        <v>1480.3223596090481</v>
      </c>
      <c r="E9" s="33">
        <f>C31*'E Balans VL '!I19/100/3.6*1000000</f>
        <v>6.1043454681960423</v>
      </c>
      <c r="F9" s="33">
        <f>C31*'E Balans VL '!L19/100/3.6*1000000+C31*'E Balans VL '!N19/100/3.6*1000000</f>
        <v>1222.7104928581441</v>
      </c>
      <c r="G9" s="34"/>
      <c r="H9" s="33"/>
      <c r="I9" s="33"/>
      <c r="J9" s="40">
        <f>C31*'E Balans VL '!D19/100/3.6*1000000+C31*'E Balans VL '!E19/100/3.6*1000000</f>
        <v>0</v>
      </c>
      <c r="K9" s="33"/>
      <c r="L9" s="33"/>
      <c r="M9" s="33"/>
      <c r="N9" s="33">
        <f>C31*'E Balans VL '!Y19/100/3.6*1000000</f>
        <v>76.411566387914846</v>
      </c>
      <c r="O9" s="33"/>
      <c r="P9" s="33"/>
      <c r="R9" s="32"/>
    </row>
    <row r="10" spans="1:18">
      <c r="A10" s="6" t="s">
        <v>40</v>
      </c>
      <c r="B10" s="37">
        <f t="shared" si="0"/>
        <v>10438.574834127399</v>
      </c>
      <c r="C10" s="33"/>
      <c r="D10" s="37">
        <f>IF( ISERROR(IND_voed_gas_kWh/1000),0,IND_voed_gas_kWh/1000)*0.903</f>
        <v>970.97704658200291</v>
      </c>
      <c r="E10" s="33">
        <f>C32*'E Balans VL '!I20/100/3.6*1000000</f>
        <v>21.881811071020127</v>
      </c>
      <c r="F10" s="33">
        <f>C32*'E Balans VL '!L20/100/3.6*1000000+C32*'E Balans VL '!N20/100/3.6*1000000</f>
        <v>203.37951220111529</v>
      </c>
      <c r="G10" s="34"/>
      <c r="H10" s="33"/>
      <c r="I10" s="33"/>
      <c r="J10" s="40">
        <f>C32*'E Balans VL '!D20/100/3.6*1000000+C32*'E Balans VL '!E20/100/3.6*1000000</f>
        <v>0</v>
      </c>
      <c r="K10" s="33"/>
      <c r="L10" s="33"/>
      <c r="M10" s="33"/>
      <c r="N10" s="33">
        <f>C32*'E Balans VL '!Y20/100/3.6*1000000</f>
        <v>415.21756693076503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78.019394689549998</v>
      </c>
      <c r="C13" s="33"/>
      <c r="D13" s="37">
        <f>IF( ISERROR(IND_papier_gas_kWh/1000),0,IND_papier_gas_kWh/1000)*0.903</f>
        <v>0</v>
      </c>
      <c r="E13" s="33">
        <f>C35*'E Balans VL '!I23/100/3.6*1000000</f>
        <v>0</v>
      </c>
      <c r="F13" s="33">
        <f>C35*'E Balans VL '!L23/100/3.6*1000000+C35*'E Balans VL '!N23/100/3.6*1000000</f>
        <v>1.0450943887692632E-2</v>
      </c>
      <c r="G13" s="34"/>
      <c r="H13" s="33"/>
      <c r="I13" s="33"/>
      <c r="J13" s="40">
        <f>C35*'E Balans VL '!D23/100/3.6*1000000+C35*'E Balans VL '!E23/100/3.6*1000000</f>
        <v>1.5432727165332095E-2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12.7619449688424</v>
      </c>
      <c r="C15" s="33"/>
      <c r="D15" s="37">
        <f>IF( ISERROR(IND_rest_gas_kWh/1000),0,IND_rest_gas_kWh/1000)*0.903</f>
        <v>40.659434402247818</v>
      </c>
      <c r="E15" s="33">
        <f>C37*'E Balans VL '!I15/100/3.6*1000000</f>
        <v>0.751327459683924</v>
      </c>
      <c r="F15" s="33">
        <f>C37*'E Balans VL '!L15/100/3.6*1000000+C37*'E Balans VL '!N15/100/3.6*1000000</f>
        <v>1.9468797563687952</v>
      </c>
      <c r="G15" s="34"/>
      <c r="H15" s="33"/>
      <c r="I15" s="33"/>
      <c r="J15" s="40">
        <f>C37*'E Balans VL '!D15/100/3.6*1000000+C37*'E Balans VL '!E15/100/3.6*1000000</f>
        <v>6.9291207468032898E-2</v>
      </c>
      <c r="K15" s="33"/>
      <c r="L15" s="33"/>
      <c r="M15" s="33"/>
      <c r="N15" s="33">
        <f>C37*'E Balans VL '!Y15/100/3.6*1000000</f>
        <v>0.40319813087509848</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12750.528048442431</v>
      </c>
      <c r="C18" s="21">
        <f>C5+C16</f>
        <v>0</v>
      </c>
      <c r="D18" s="21">
        <f>MAX((D5+D16),0)</f>
        <v>2855.1673336717799</v>
      </c>
      <c r="E18" s="21">
        <f>MAX((E5+E16),0)</f>
        <v>30.537512732195626</v>
      </c>
      <c r="F18" s="21">
        <f>MAX((F5+F16),0)</f>
        <v>1449.3129148072762</v>
      </c>
      <c r="G18" s="21"/>
      <c r="H18" s="21"/>
      <c r="I18" s="21"/>
      <c r="J18" s="21">
        <f>MAX((J5+J16),0)</f>
        <v>0.35520658248115788</v>
      </c>
      <c r="K18" s="21"/>
      <c r="L18" s="21">
        <f>MAX((L5+L16),0)</f>
        <v>0</v>
      </c>
      <c r="M18" s="21"/>
      <c r="N18" s="21">
        <f>MAX((N5+N16),0)</f>
        <v>499.16631030336902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0.18670431691852424</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2380.5786296349279</v>
      </c>
      <c r="C22" s="23">
        <f ca="1">C18*C20</f>
        <v>0</v>
      </c>
      <c r="D22" s="23">
        <f>D18*D20</f>
        <v>576.74380140169956</v>
      </c>
      <c r="E22" s="23">
        <f>E18*E20</f>
        <v>6.9320153902084076</v>
      </c>
      <c r="F22" s="23">
        <f>F18*F20</f>
        <v>386.96654825354278</v>
      </c>
      <c r="G22" s="23"/>
      <c r="H22" s="23"/>
      <c r="I22" s="23"/>
      <c r="J22" s="23">
        <f>J18*J20</f>
        <v>0.12574313019832989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330.21046312721802</v>
      </c>
      <c r="C30" s="39">
        <f>IF(ISERROR(B30*3.6/1000000/'E Balans VL '!Z18*100),0,B30*3.6/1000000/'E Balans VL '!Z18*100)</f>
        <v>1.988436863900464E-2</v>
      </c>
      <c r="D30" s="233" t="s">
        <v>841</v>
      </c>
    </row>
    <row r="31" spans="1:18" ht="30">
      <c r="A31" s="6" t="s">
        <v>32</v>
      </c>
      <c r="B31" s="37">
        <f>IF( ISERROR(IND_ander_ele_kWh/1000),0,IND_ander_ele_kWh/1000)</f>
        <v>1890.96141152942</v>
      </c>
      <c r="C31" s="39">
        <f>IF(ISERROR(B31*3.6/1000000/'E Balans VL '!Z19*100),0,B31*3.6/1000000/'E Balans VL '!Z19*100)</f>
        <v>7.7041682646343798E-2</v>
      </c>
      <c r="D31" s="233" t="s">
        <v>841</v>
      </c>
    </row>
    <row r="32" spans="1:18" ht="30">
      <c r="A32" s="168" t="s">
        <v>40</v>
      </c>
      <c r="B32" s="37">
        <f>IF( ISERROR(IND_voed_ele_kWh/1000),0,IND_voed_ele_kWh/1000)</f>
        <v>10438.574834127399</v>
      </c>
      <c r="C32" s="39">
        <f>IF(ISERROR(B32*3.6/1000000/'E Balans VL '!Z20*100),0,B32*3.6/1000000/'E Balans VL '!Z20*100)</f>
        <v>0.30182120641870724</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78.019394689549998</v>
      </c>
      <c r="C35" s="39">
        <f>IF(ISERROR(B35*3.6/1000000/'E Balans VL '!Z22*100),0,B35*3.6/1000000/'E Balans VL '!Z22*100)</f>
        <v>3.3313556556823623E-2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12.7619449688424</v>
      </c>
      <c r="C37" s="39">
        <f>IF(ISERROR(B37*3.6/1000000/'E Balans VL '!Z15*100),0,B37*3.6/1000000/'E Balans VL '!Z15*100)</f>
        <v>1.0478523436660621E-4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4274.7717708734499</v>
      </c>
      <c r="C5" s="17">
        <f>'Eigen informatie GS &amp; warmtenet'!B62</f>
        <v>0</v>
      </c>
      <c r="D5" s="30">
        <f>IF(ISERROR(SUM(LB_lb_gas_kWh,LB_rest_gas_kWh)/1000),0,SUM(LB_lb_gas_kWh,LB_rest_gas_kWh)/1000)*0.903</f>
        <v>112.5399292798499</v>
      </c>
      <c r="E5" s="17">
        <f>B17*'E Balans VL '!I25/3.6*1000000/100</f>
        <v>122.43669775609234</v>
      </c>
      <c r="F5" s="17">
        <f>B17*('E Balans VL '!L25/3.6*1000000+'E Balans VL '!N25/3.6*1000000)/100</f>
        <v>13531.719238443602</v>
      </c>
      <c r="G5" s="18"/>
      <c r="H5" s="17"/>
      <c r="I5" s="17"/>
      <c r="J5" s="17">
        <f>('E Balans VL '!D25+'E Balans VL '!E25)/3.6*1000000*landbouw!B17/100</f>
        <v>1086.9402232742723</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4274.7717708734499</v>
      </c>
      <c r="C8" s="21">
        <f>C5+C6</f>
        <v>62.357142857142847</v>
      </c>
      <c r="D8" s="21">
        <f>MAX((D5+D6),0)</f>
        <v>112.5399292798499</v>
      </c>
      <c r="E8" s="21">
        <f>MAX((E5+E6),0)</f>
        <v>122.43669775609234</v>
      </c>
      <c r="F8" s="21">
        <f>MAX((F5+F6),0)</f>
        <v>13531.719238443602</v>
      </c>
      <c r="G8" s="21"/>
      <c r="H8" s="21"/>
      <c r="I8" s="21"/>
      <c r="J8" s="21">
        <f>MAX((J5+J6),0)</f>
        <v>1086.9402232742723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0.18670431691852424</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798.1183434635177</v>
      </c>
      <c r="C12" s="23">
        <f ca="1">C8*C10</f>
        <v>9.9791189202953916</v>
      </c>
      <c r="D12" s="23">
        <f>D8*D10</f>
        <v>22.73306571452968</v>
      </c>
      <c r="E12" s="23">
        <f>E8*E10</f>
        <v>27.793130390632964</v>
      </c>
      <c r="F12" s="23">
        <f>F8*F10</f>
        <v>3612.9690366644418</v>
      </c>
      <c r="G12" s="23"/>
      <c r="H12" s="23"/>
      <c r="I12" s="23"/>
      <c r="J12" s="23">
        <f>J8*J10</f>
        <v>384.77683903909235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0.59195891493201203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706.873702094593</v>
      </c>
      <c r="C26" s="243">
        <f>B26*'GWP N2O_CH4'!B5</f>
        <v>14844.347743986453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359.10683287206507</v>
      </c>
      <c r="C27" s="243">
        <f>B27*'GWP N2O_CH4'!B5</f>
        <v>7541.2434903133662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18.054301005407982</v>
      </c>
      <c r="C28" s="243">
        <f>B28*'GWP N2O_CH4'!B4</f>
        <v>5596.8333116764743</v>
      </c>
      <c r="D28" s="50"/>
    </row>
    <row r="29" spans="1:4">
      <c r="A29" s="41" t="s">
        <v>272</v>
      </c>
      <c r="B29" s="243">
        <f>B34*'ha_N2O bodem landbouw'!B4</f>
        <v>19.956344341045369</v>
      </c>
      <c r="C29" s="243">
        <f>B29*'GWP N2O_CH4'!B4</f>
        <v>6186.4667457240648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4.5337242700491153E-3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8.8450460055357924E-4</v>
      </c>
      <c r="C5" s="434" t="s">
        <v>210</v>
      </c>
      <c r="D5" s="419">
        <f>SUM(D6:D11)</f>
        <v>1.5817819603968369E-3</v>
      </c>
      <c r="E5" s="419">
        <f>SUM(E6:E11)</f>
        <v>6.2023911442526567E-4</v>
      </c>
      <c r="F5" s="432" t="s">
        <v>210</v>
      </c>
      <c r="G5" s="419">
        <f>SUM(G6:G11)</f>
        <v>0.25589082948171371</v>
      </c>
      <c r="H5" s="419">
        <f>SUM(H6:H11)</f>
        <v>7.7387156029678689E-2</v>
      </c>
      <c r="I5" s="434" t="s">
        <v>210</v>
      </c>
      <c r="J5" s="434" t="s">
        <v>210</v>
      </c>
      <c r="K5" s="434" t="s">
        <v>210</v>
      </c>
      <c r="L5" s="434" t="s">
        <v>210</v>
      </c>
      <c r="M5" s="419">
        <f>SUM(M6:M11)</f>
        <v>2.0178902142408382E-2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7.0412869208083192E-4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1.1739840990902305E-3</v>
      </c>
      <c r="E6" s="886">
        <f>vkm_GW_PW*SUMIFS(TableVerdeelsleutelVkm[LPG],TableVerdeelsleutelVkm[Voertuigtype],"Lichte voertuigen")*SUMIFS(TableECFTransport[EnergieConsumptieFactor (PJ per km)],TableECFTransport[Index],CONCATENATE($A6,"_LPG_LPG"))</f>
        <v>4.6543694679629339E-4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0.13987549449329362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5.7574234980523227E-2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1.211295860643765E-2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1.5653177645274372E-6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6.2050182822454003E-2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4.5784053462444265E-7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3.5628165618587547E-3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1.7858822666618008E-4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4.0779786130660649E-4</v>
      </c>
      <c r="E8" s="422">
        <f>vkm_NGW_PW*SUMIFS(TableVerdeelsleutelVkm[LPG],TableVerdeelsleutelVkm[Voertuigtype],"Lichte voertuigen")*SUMIFS(TableECFTransport[EnergieConsumptieFactor (PJ per km)],TableECFTransport[Index],CONCATENATE($A8,"_LPG_LPG"))</f>
        <v>1.5480216762897231E-4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4.2613953324493595E-2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1.9812384704449786E-2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3.8513607054259128E-3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2.2236404203986202E-7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1.1351198841472518E-2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7.850417105250446E-8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6.5176626868606626E-4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245.69572237599425</v>
      </c>
      <c r="C14" s="21"/>
      <c r="D14" s="21">
        <f t="shared" ref="D14:M14" si="0">((D5)*10^9/3600)+D12</f>
        <v>439.38387788801026</v>
      </c>
      <c r="E14" s="21">
        <f t="shared" si="0"/>
        <v>172.28864289590715</v>
      </c>
      <c r="F14" s="21"/>
      <c r="G14" s="21">
        <f t="shared" si="0"/>
        <v>71080.7859671427</v>
      </c>
      <c r="H14" s="21">
        <f t="shared" si="0"/>
        <v>21496.432230466304</v>
      </c>
      <c r="I14" s="21"/>
      <c r="J14" s="21"/>
      <c r="K14" s="21"/>
      <c r="L14" s="21"/>
      <c r="M14" s="21">
        <f t="shared" si="0"/>
        <v>5605.2505951134399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0.18670431691852424</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45.872452016013376</v>
      </c>
      <c r="C18" s="23"/>
      <c r="D18" s="23">
        <f t="shared" ref="D18:M18" si="1">D14*D16</f>
        <v>88.755543333378085</v>
      </c>
      <c r="E18" s="23">
        <f t="shared" si="1"/>
        <v>39.109521937370921</v>
      </c>
      <c r="F18" s="23"/>
      <c r="G18" s="23">
        <f t="shared" si="1"/>
        <v>18978.569853227102</v>
      </c>
      <c r="H18" s="23">
        <f t="shared" si="1"/>
        <v>5352.6116253861101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7.2000284784526407E-5</v>
      </c>
      <c r="C50" s="315">
        <f t="shared" ref="C50:P50" si="2">SUM(C51:C52)</f>
        <v>0</v>
      </c>
      <c r="D50" s="315">
        <f t="shared" si="2"/>
        <v>0</v>
      </c>
      <c r="E50" s="315">
        <f t="shared" si="2"/>
        <v>0</v>
      </c>
      <c r="F50" s="315">
        <f t="shared" si="2"/>
        <v>0</v>
      </c>
      <c r="G50" s="315">
        <f t="shared" si="2"/>
        <v>4.5074354996172119E-3</v>
      </c>
      <c r="H50" s="315">
        <f t="shared" si="2"/>
        <v>0</v>
      </c>
      <c r="I50" s="315">
        <f t="shared" si="2"/>
        <v>0</v>
      </c>
      <c r="J50" s="315">
        <f t="shared" si="2"/>
        <v>0</v>
      </c>
      <c r="K50" s="315">
        <f t="shared" si="2"/>
        <v>0</v>
      </c>
      <c r="L50" s="315">
        <f t="shared" si="2"/>
        <v>0</v>
      </c>
      <c r="M50" s="315">
        <f t="shared" si="2"/>
        <v>2.5880696587629755E-4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7.2000284784526407E-5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4.5074354996172119E-3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2.5880696587629755E-4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20.00007910681289</v>
      </c>
      <c r="C54" s="21">
        <f t="shared" ref="C54:P54" si="3">(C50)*10^9/3600</f>
        <v>0</v>
      </c>
      <c r="D54" s="21">
        <f t="shared" si="3"/>
        <v>0</v>
      </c>
      <c r="E54" s="21">
        <f t="shared" si="3"/>
        <v>0</v>
      </c>
      <c r="F54" s="21">
        <f t="shared" si="3"/>
        <v>0</v>
      </c>
      <c r="G54" s="21">
        <f t="shared" si="3"/>
        <v>1252.0654165603366</v>
      </c>
      <c r="H54" s="21">
        <f t="shared" si="3"/>
        <v>0</v>
      </c>
      <c r="I54" s="21">
        <f t="shared" si="3"/>
        <v>0</v>
      </c>
      <c r="J54" s="21">
        <f t="shared" si="3"/>
        <v>0</v>
      </c>
      <c r="K54" s="21">
        <f t="shared" si="3"/>
        <v>0</v>
      </c>
      <c r="L54" s="21">
        <f t="shared" si="3"/>
        <v>0</v>
      </c>
      <c r="M54" s="21">
        <f t="shared" si="3"/>
        <v>71.890823854527099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0.18670431691852424</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3.7341011079539492</v>
      </c>
      <c r="C58" s="23">
        <f t="shared" ref="C58:P58" ca="1" si="4">C54*C56</f>
        <v>0</v>
      </c>
      <c r="D58" s="23">
        <f t="shared" si="4"/>
        <v>0</v>
      </c>
      <c r="E58" s="23">
        <f t="shared" si="4"/>
        <v>0</v>
      </c>
      <c r="F58" s="23">
        <f t="shared" si="4"/>
        <v>0</v>
      </c>
      <c r="G58" s="23">
        <f t="shared" si="4"/>
        <v>334.30146622160993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9977.806319081019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133.64999999999998</v>
      </c>
      <c r="C8" s="545">
        <f>B49</f>
        <v>105.88235294117646</v>
      </c>
      <c r="D8" s="546"/>
      <c r="E8" s="546">
        <f>E49</f>
        <v>0</v>
      </c>
      <c r="F8" s="547"/>
      <c r="G8" s="548"/>
      <c r="H8" s="546">
        <f>I49</f>
        <v>0</v>
      </c>
      <c r="I8" s="546">
        <f>G49+F49</f>
        <v>0</v>
      </c>
      <c r="J8" s="546">
        <f>H49+D49+C49</f>
        <v>51.352941176470573</v>
      </c>
      <c r="K8" s="546"/>
      <c r="L8" s="546"/>
      <c r="M8" s="546"/>
      <c r="N8" s="549"/>
      <c r="O8" s="550">
        <f>C8*$C$12+D8*$D$12+E8*$E$12+F8*$F$12+G8*$G$12+H8*$H$12+I8*$I$12+J8*$J$12</f>
        <v>21.388235294117646</v>
      </c>
      <c r="P8" s="1285"/>
      <c r="Q8" s="1286"/>
      <c r="S8" s="540"/>
      <c r="T8" s="1282"/>
      <c r="U8" s="1282"/>
    </row>
    <row r="9" spans="1:21" s="531" customFormat="1" ht="17.45" customHeight="1" thickBot="1">
      <c r="A9" s="551" t="s">
        <v>243</v>
      </c>
      <c r="B9" s="552">
        <f>N37+'Eigen informatie GS &amp; warmtenet'!B12</f>
        <v>1341</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11452.456319081019</v>
      </c>
      <c r="C10" s="560">
        <f t="shared" ref="C10:L10" si="0">SUM(C8:C9)</f>
        <v>105.88235294117646</v>
      </c>
      <c r="D10" s="560">
        <f t="shared" si="0"/>
        <v>0</v>
      </c>
      <c r="E10" s="560">
        <f t="shared" si="0"/>
        <v>0</v>
      </c>
      <c r="F10" s="560">
        <f t="shared" si="0"/>
        <v>0</v>
      </c>
      <c r="G10" s="560">
        <f t="shared" si="0"/>
        <v>0</v>
      </c>
      <c r="H10" s="560">
        <f t="shared" si="0"/>
        <v>0</v>
      </c>
      <c r="I10" s="560">
        <f t="shared" si="0"/>
        <v>0</v>
      </c>
      <c r="J10" s="560">
        <f t="shared" si="0"/>
        <v>3882.7815126050423</v>
      </c>
      <c r="K10" s="560">
        <f t="shared" si="0"/>
        <v>0</v>
      </c>
      <c r="L10" s="560">
        <f t="shared" si="0"/>
        <v>0</v>
      </c>
      <c r="M10" s="961"/>
      <c r="N10" s="961"/>
      <c r="O10" s="561">
        <f>SUM(O4:O9)</f>
        <v>21.388235294117646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190.92857142857144</v>
      </c>
      <c r="C17" s="576">
        <f>B50</f>
        <v>151.2605042016807</v>
      </c>
      <c r="D17" s="577"/>
      <c r="E17" s="577">
        <f>E50</f>
        <v>0</v>
      </c>
      <c r="F17" s="578"/>
      <c r="G17" s="579"/>
      <c r="H17" s="576">
        <f>I50</f>
        <v>0</v>
      </c>
      <c r="I17" s="577">
        <f>G50+F50</f>
        <v>0</v>
      </c>
      <c r="J17" s="577">
        <f>H50+D50+C50</f>
        <v>73.361344537815114</v>
      </c>
      <c r="K17" s="577"/>
      <c r="L17" s="577"/>
      <c r="M17" s="577"/>
      <c r="N17" s="962"/>
      <c r="O17" s="580">
        <f>C17*$C$22+E17*$E$22+H17*$H$22+I17*$I$22+J17*$J$22+D17*$D$22+F17*$F$22+G17*$G$22+K17*$K$22+L17*$L$22</f>
        <v>30.554621848739504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190.92857142857144</v>
      </c>
      <c r="C20" s="559">
        <f>SUM(C17:C19)</f>
        <v>151.2605042016807</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30.554621848739504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13017</v>
      </c>
      <c r="C28" s="787">
        <v>2460</v>
      </c>
      <c r="D28" s="637" t="s">
        <v>874</v>
      </c>
      <c r="E28" s="636" t="s">
        <v>875</v>
      </c>
      <c r="F28" s="636" t="s">
        <v>876</v>
      </c>
      <c r="G28" s="636" t="s">
        <v>877</v>
      </c>
      <c r="H28" s="636" t="s">
        <v>878</v>
      </c>
      <c r="I28" s="636" t="s">
        <v>875</v>
      </c>
      <c r="J28" s="786">
        <v>41586</v>
      </c>
      <c r="K28" s="786">
        <v>41586</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51">
      <c r="A29" s="589"/>
      <c r="B29" s="787">
        <v>13017</v>
      </c>
      <c r="C29" s="787">
        <v>2460</v>
      </c>
      <c r="D29" s="637" t="s">
        <v>880</v>
      </c>
      <c r="E29" s="636"/>
      <c r="F29" s="636" t="s">
        <v>881</v>
      </c>
      <c r="G29" s="636" t="s">
        <v>877</v>
      </c>
      <c r="H29" s="636" t="s">
        <v>878</v>
      </c>
      <c r="I29" s="636" t="s">
        <v>882</v>
      </c>
      <c r="J29" s="786">
        <v>42396</v>
      </c>
      <c r="K29" s="786">
        <v>42377</v>
      </c>
      <c r="L29" s="636" t="s">
        <v>883</v>
      </c>
      <c r="M29" s="636">
        <v>20</v>
      </c>
      <c r="N29" s="636">
        <v>90</v>
      </c>
      <c r="O29" s="636">
        <v>128.57142857142858</v>
      </c>
      <c r="P29" s="636">
        <v>257.14285714285717</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29.7</v>
      </c>
      <c r="N30" s="594">
        <f>SUM(N28:N29)</f>
        <v>133.64999999999998</v>
      </c>
      <c r="O30" s="594">
        <f>SUM(O28:O29)</f>
        <v>190.92857142857144</v>
      </c>
      <c r="P30" s="594">
        <f>SUM(P28:P29)</f>
        <v>257.14285714285717</v>
      </c>
      <c r="Q30" s="594">
        <f>SUM(Q28:Q29)</f>
        <v>124.71428571428569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20</v>
      </c>
      <c r="N32" s="594">
        <f ca="1">SUMIF($Z$28:AD29,"tertiair",N28:N29)</f>
        <v>90</v>
      </c>
      <c r="O32" s="594">
        <f ca="1">SUMIF($Z$28:AE29,"tertiair",O28:O29)</f>
        <v>128.57142857142858</v>
      </c>
      <c r="P32" s="594">
        <f ca="1">SUMIF($Z$28:AF29,"tertiair",P28:P29)</f>
        <v>257.14285714285717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9.6999999999999993</v>
      </c>
      <c r="N33" s="599">
        <f>SUMIF($Z$28:$Z$29,"landbouw",N28:N29)</f>
        <v>43.649999999999991</v>
      </c>
      <c r="O33" s="599">
        <f>SUMIF($Z$28:$Z$29,"landbouw",O28:O29)</f>
        <v>62.357142857142847</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63.75">
      <c r="A36" s="591"/>
      <c r="B36" s="787">
        <v>13017</v>
      </c>
      <c r="C36" s="787">
        <v>2460</v>
      </c>
      <c r="D36" s="639" t="s">
        <v>884</v>
      </c>
      <c r="E36" s="639" t="s">
        <v>885</v>
      </c>
      <c r="F36" s="639" t="s">
        <v>886</v>
      </c>
      <c r="G36" s="639" t="s">
        <v>887</v>
      </c>
      <c r="H36" s="639" t="s">
        <v>888</v>
      </c>
      <c r="I36" s="639" t="s">
        <v>889</v>
      </c>
      <c r="J36" s="786">
        <v>38768</v>
      </c>
      <c r="K36" s="786">
        <v>39052</v>
      </c>
      <c r="L36" s="639" t="s">
        <v>890</v>
      </c>
      <c r="M36" s="639">
        <v>298</v>
      </c>
      <c r="N36" s="639">
        <v>1341</v>
      </c>
      <c r="O36" s="639">
        <v>0</v>
      </c>
      <c r="P36" s="639">
        <v>0</v>
      </c>
      <c r="Q36" s="639">
        <v>3831.4285714285716</v>
      </c>
      <c r="R36" s="639">
        <v>0</v>
      </c>
      <c r="S36" s="639">
        <v>0</v>
      </c>
      <c r="T36" s="639">
        <v>0</v>
      </c>
      <c r="U36" s="639">
        <v>0</v>
      </c>
      <c r="V36" s="639">
        <v>0</v>
      </c>
      <c r="W36" s="639">
        <v>0</v>
      </c>
      <c r="X36" s="639">
        <v>1600</v>
      </c>
      <c r="Y36" s="639" t="s">
        <v>49</v>
      </c>
      <c r="Z36" s="640" t="s">
        <v>155</v>
      </c>
    </row>
    <row r="37" spans="1:27" s="570" customFormat="1">
      <c r="A37" s="592" t="s">
        <v>275</v>
      </c>
      <c r="B37" s="593"/>
      <c r="C37" s="593"/>
      <c r="D37" s="593"/>
      <c r="E37" s="593"/>
      <c r="F37" s="593"/>
      <c r="G37" s="593"/>
      <c r="H37" s="593"/>
      <c r="I37" s="593"/>
      <c r="J37" s="593"/>
      <c r="K37" s="593"/>
      <c r="L37" s="594"/>
      <c r="M37" s="594">
        <f>SUM(M36:M36)</f>
        <v>298</v>
      </c>
      <c r="N37" s="594">
        <f>SUM(N36:N36)</f>
        <v>1341</v>
      </c>
      <c r="O37" s="594">
        <f>SUM(O36:O36)</f>
        <v>0</v>
      </c>
      <c r="P37" s="594">
        <f>SUM(P36:P36)</f>
        <v>0</v>
      </c>
      <c r="Q37" s="594">
        <f>SUM(Q36:Q36)</f>
        <v>3831.4285714285716</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298</v>
      </c>
      <c r="N39" s="594">
        <f>SUMIF($Z$36:$Z$37,"tertiair",N36:N37)</f>
        <v>1341</v>
      </c>
      <c r="O39" s="594">
        <f>SUMIF($Z$36:$Z$37,"tertiair",O36:O37)</f>
        <v>0</v>
      </c>
      <c r="P39" s="594">
        <f>SUMIF($Z$36:$Z$37,"tertiair",P36:P37)</f>
        <v>0</v>
      </c>
      <c r="Q39" s="594">
        <f>SUMIF($Z$36:$Z$37,"tertiair",Q36:Q37)</f>
        <v>3831.4285714285716</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0.41176470588235287</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105.88235294117646</v>
      </c>
      <c r="C49" s="628">
        <f t="shared" si="2"/>
        <v>51.352941176470573</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151.2605042016807</v>
      </c>
      <c r="C50" s="631">
        <f t="shared" si="3"/>
        <v>73.361344537815114</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2021-06-29T14:13:13Z</dcterms:modified>
</cp:coreProperties>
</file>