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9" i="20"/>
  <c r="C20" i="16"/>
  <c r="C22" i="16" s="1"/>
  <c r="D43" i="14" s="1"/>
  <c r="C17" i="49"/>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<sst xmlns="http://schemas.openxmlformats.org/spreadsheetml/2006/main" count="2473" uniqueCount="900">
  <si>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</si>
  <si>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</si>
  <si>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</si>
  <si>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</si>
  <si>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</si>
  <si>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</si>
  <si>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</si>
  <si>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</si>
  <si>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</si>
  <si>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</si>
  <si>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</si>
  <si>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</si>
  <si>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</si>
  <si>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</si>
  <si>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</si>
  <si>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</si>
  <si>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</si>
  <si>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</si>
  <si>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</si>
  <si>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</si>
  <si>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</si>
  <si>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</si>
  <si>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</si>
  <si>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</si>
  <si>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</si>
  <si>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</si>
  <si>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</si>
  <si>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</si>
  <si>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</si>
  <si>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</si>
  <si>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</si>
  <si>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</si>
  <si>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</si>
  <si>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</si>
  <si>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</si>
  <si>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</si>
  <si>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</si>
  <si>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</si>
  <si>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</si>
  <si>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</si>
  <si>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</si>
  <si>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</si>
  <si>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</si>
  <si>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</si>
  <si>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</si>
  <si>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</si>
  <si>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</si>
  <si>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</si>
  <si>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</si>
  <si>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</si>
  <si>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</si>
  <si>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</si>
  <si>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</si>
  <si>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</si>
  <si>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</si>
  <si>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</si>
  <si>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</si>
  <si>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</si>
  <si>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</si>
  <si>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</si>
  <si>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</si>
  <si>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</si>
  <si>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</si>
  <si>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</si>
  <si>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</si>
  <si>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</si>
  <si>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</si>
  <si>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</si>
  <si>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</si>
  <si>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</si>
  <si>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</si>
  <si>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</si>
  <si>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</si>
  <si>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</si>
  <si>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</si>
  <si>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</si>
  <si>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</si>
  <si>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</si>
  <si>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</si>
  <si>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</si>
  <si>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</si>
  <si>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</si>
  <si>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</si>
  <si>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</si>
  <si>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</si>
  <si>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</si>
  <si>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</si>
  <si>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</si>
  <si>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</si>
  <si>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</si>
  <si>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</si>
  <si>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</si>
  <si>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</si>
  <si>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</si>
  <si>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</si>
  <si>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</si>
  <si>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</si>
  <si>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</si>
  <si>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</si>
  <si>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</si>
  <si>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</si>
  <si>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</si>
  <si>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</si>
  <si>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</si>
  <si>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</si>
  <si>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</si>
  <si>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</si>
  <si>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</si>
  <si>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</si>
  <si>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</si>
  <si>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</si>
  <si>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</si>
  <si>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</si>
  <si>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</si>
  <si>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</si>
  <si>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</si>
  <si>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</si>
  <si>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</si>
  <si>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</si>
  <si>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</si>
  <si>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</si>
  <si>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</si>
  <si>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</si>
  <si>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</si>
  <si>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</si>
  <si>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</si>
  <si>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</si>
  <si>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</si>
  <si>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</si>
  <si>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</si>
  <si>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</si>
  <si>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</si>
  <si>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</si>
  <si>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</si>
  <si>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</si>
  <si>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</si>
  <si>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</si>
  <si>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</si>
  <si>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</si>
  <si>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</si>
  <si>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</si>
  <si>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</si>
  <si>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</si>
  <si>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</si>
  <si>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</si>
  <si>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</si>
  <si>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</si>
  <si>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</si>
  <si>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</si>
  <si>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</si>
  <si>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</si>
  <si>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</si>
  <si>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</si>
  <si>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</si>
  <si>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</si>
  <si>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</si>
  <si>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</si>
  <si>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</si>
  <si>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</si>
  <si>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</si>
  <si>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</si>
  <si>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</si>
  <si>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</si>
  <si>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</si>
  <si>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</si>
  <si>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</si>
  <si>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</si>
  <si>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</si>
  <si>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</si>
  <si>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</si>
  <si>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</si>
  <si>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</si>
  <si>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</si>
  <si>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</si>
  <si>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</si>
  <si>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</si>
  <si>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</si>
  <si>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</si>
  <si>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</si>
  <si>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</si>
  <si>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</si>
  <si>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</si>
  <si>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</si>
  <si>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</si>
  <si>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</si>
  <si>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</si>
  <si>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</si>
  <si>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</si>
  <si>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</si>
  <si>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</si>
  <si>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</si>
  <si>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</si>
  <si>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</si>
  <si>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</si>
  <si>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</si>
  <si>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</si>
  <si>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</si>
  <si>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</si>
  <si>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</si>
  <si>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</si>
  <si>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</si>
  <si>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</si>
  <si>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</si>
  <si>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</si>
  <si>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</si>
  <si>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</si>
  <si>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</si>
  <si>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</si>
  <si>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</si>
  <si>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</si>
  <si>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</si>
  <si>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</si>
  <si>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</si>
  <si>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</si>
  <si>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</si>
  <si>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</si>
  <si>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</si>
  <si>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</si>
  <si>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</si>
  <si>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</si>
  <si>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</si>
  <si>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</si>
  <si>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</si>
  <si>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</si>
  <si>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</si>
  <si>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</si>
  <si>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</si>
  <si>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</si>
  <si>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</si>
  <si>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</si>
  <si>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</si>
  <si>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</si>
  <si>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</si>
  <si>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</si>
  <si>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</si>
  <si>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</si>
  <si>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</si>
  <si>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</si>
  <si>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</si>
  <si>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</si>
  <si>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</si>
  <si>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</si>
  <si>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</si>
  <si>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</si>
  <si>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</si>
  <si>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</si>
  <si>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</si>
  <si>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</si>
  <si>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</si>
  <si>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</si>
  <si>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</si>
  <si>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</si>
  <si>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</si>
  <si>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</si>
  <si>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</si>
  <si>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</si>
  <si>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</si>
  <si>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</si>
  <si>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</si>
  <si>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</si>
  <si>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</si>
  <si>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</si>
  <si>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</si>
  <si>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</si>
  <si>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</si>
  <si>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</si>
  <si>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</si>
  <si>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</si>
  <si>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</si>
  <si>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</si>
  <si>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</si>
  <si>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</si>
  <si>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</si>
  <si>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</si>
  <si>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</si>
  <si>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</si>
  <si>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</si>
  <si>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</si>
  <si>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</si>
  <si>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</si>
  <si>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</si>
  <si>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</si>
  <si>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</si>
  <si>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</si>
  <si>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</si>
  <si>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</si>
  <si>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</si>
  <si>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</si>
  <si>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</si>
  <si>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</si>
  <si>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</si>
  <si>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</si>
  <si>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</si>
  <si>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</si>
  <si>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</si>
  <si>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</si>
  <si>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</si>
  <si>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</si>
  <si>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</si>
  <si>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</si>
  <si>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</si>
  <si>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</si>
  <si>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</si>
  <si>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</si>
  <si>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</si>
  <si>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</si>
  <si>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</si>
  <si>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</si>
  <si>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</si>
  <si>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</si>
  <si>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</si>
  <si>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</si>
  <si>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</si>
  <si>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</si>
  <si>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</si>
  <si>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</si>
  <si>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</si>
  <si>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</si>
  <si>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</si>
  <si>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</si>
  <si>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</si>
  <si>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</si>
  <si>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</si>
  <si>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</si>
  <si>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</si>
  <si>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</si>
  <si>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</si>
  <si>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</si>
  <si>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</si>
  <si>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</si>
  <si>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</si>
  <si>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</si>
  <si>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</si>
  <si>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</si>
  <si>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</si>
  <si>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</si>
  <si>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</si>
  <si>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</si>
  <si>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</si>
  <si>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</si>
  <si>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</si>
  <si>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</si>
  <si>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</si>
  <si>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</si>
  <si>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</si>
  <si>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</si>
  <si>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</si>
  <si>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</si>
  <si>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</si>
  <si>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</si>
  <si>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</si>
  <si>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</si>
  <si>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</si>
  <si>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</si>
  <si>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</si>
  <si>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</si>
  <si>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</si>
  <si>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</si>
  <si>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</si>
  <si>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</si>
  <si>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</si>
  <si>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</si>
  <si>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</si>
  <si>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</si>
  <si>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</si>
  <si>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</si>
  <si>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</si>
  <si>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</si>
  <si>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</si>
  <si>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</si>
  <si>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</si>
  <si>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</si>
  <si>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</si>
  <si>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</si>
  <si>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</si>
  <si>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</si>
  <si>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</si>
  <si>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</si>
  <si>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</si>
  <si>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</si>
  <si>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</si>
  <si>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</si>
  <si>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</si>
  <si>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</si>
  <si>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</si>
  <si>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</si>
  <si>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</si>
  <si>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</si>
  <si>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</si>
  <si>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</si>
  <si>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</si>
  <si>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</si>
  <si>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</si>
  <si>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</si>
  <si>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</si>
  <si>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</si>
  <si>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</si>
  <si>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</si>
  <si>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</si>
  <si>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</si>
  <si>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</si>
  <si>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</si>
  <si>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</si>
  <si>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</si>
  <si>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</si>
  <si>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</si>
  <si>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</si>
  <si>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</si>
  <si>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</si>
  <si>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</si>
  <si>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</si>
  <si>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</si>
  <si>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</si>
  <si>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</si>
  <si>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</si>
  <si>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</si>
  <si>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</si>
  <si>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</si>
  <si>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</si>
  <si>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</si>
  <si>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</si>
  <si>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</si>
  <si>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</si>
  <si>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</si>
  <si>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</si>
  <si>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</si>
  <si>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</si>
  <si>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</si>
  <si>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</si>
  <si>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</si>
  <si>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</si>
  <si>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</si>
  <si>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</si>
  <si>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</si>
  <si>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</si>
  <si>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</si>
  <si>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</si>
  <si>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</si>
  <si>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</si>
  <si>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</si>
  <si>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</si>
  <si>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</si>
  <si>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</si>
  <si>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</si>
  <si>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</si>
  <si>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</si>
  <si>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</si>
  <si>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</si>
  <si>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</si>
  <si>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</si>
  <si>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</si>
  <si>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</si>
  <si>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</si>
  <si>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</si>
  <si>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</si>
  <si>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</si>
  <si>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</si>
  <si>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</si>
  <si>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</si>
  <si>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</si>
  <si>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</si>
  <si>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</si>
  <si>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</si>
  <si>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</si>
  <si>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</si>
  <si>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</si>
  <si>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</si>
  <si>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</si>
  <si>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</si>
  <si>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</si>
  <si>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</si>
  <si>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</si>
  <si>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</si>
  <si>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</si>
  <si>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</si>
  <si>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</si>
  <si>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</si>
  <si>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</si>
  <si>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</si>
  <si>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</si>
  <si>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</si>
  <si>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</si>
  <si>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</si>
  <si>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</si>
  <si>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</si>
  <si>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</si>
  <si>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</si>
  <si>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</si>
  <si>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</si>
  <si>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</si>
  <si>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</si>
  <si>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</si>
  <si>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</si>
  <si>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</si>
  <si>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</si>
  <si>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</si>
  <si>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</si>
  <si>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</si>
  <si>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</si>
  <si>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</si>
  <si>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</si>
  <si>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</si>
  <si>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</si>
  <si>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</si>
  <si>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</si>
  <si>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</si>
  <si>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</si>
  <si>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</si>
  <si>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</si>
  <si>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</si>
  <si>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</si>
  <si>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</si>
  <si>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</si>
  <si>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</si>
  <si>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</si>
  <si>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</si>
  <si>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</si>
  <si>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</si>
  <si>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</si>
  <si>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</si>
  <si>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</si>
  <si>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</si>
  <si>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</si>
  <si>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</si>
  <si>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</si>
  <si>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</si>
  <si>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</si>
  <si>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</si>
  <si>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</si>
  <si>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</si>
  <si>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</si>
  <si>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</si>
  <si>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</si>
  <si>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</si>
  <si>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</si>
  <si>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</si>
  <si>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</si>
  <si>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</si>
  <si>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</si>
  <si>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</si>
  <si>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</si>
  <si>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</si>
  <si>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</si>
  <si>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</si>
  <si>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</si>
  <si>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</si>
  <si>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</si>
  <si>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</si>
  <si>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</si>
  <si>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</si>
  <si>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</si>
  <si>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</si>
  <si>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</si>
  <si>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</si>
  <si>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</si>
  <si>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</si>
  <si>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</si>
  <si>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</si>
  <si>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</si>
  <si>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</si>
  <si>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</si>
  <si>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</si>
  <si>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</si>
  <si>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</si>
  <si>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</si>
  <si>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</si>
  <si>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</si>
  <si>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</si>
  <si>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</si>
  <si>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</si>
  <si>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</si>
  <si>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</si>
  <si>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</si>
  <si>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</si>
  <si>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</si>
  <si>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</si>
  <si>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</si>
  <si>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</si>
  <si>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</si>
  <si>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</si>
  <si>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</si>
  <si>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</si>
  <si>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</si>
  <si>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</si>
  <si>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</si>
  <si>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</si>
  <si>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</si>
  <si>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</si>
  <si>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</si>
  <si>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</si>
  <si>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</si>
  <si>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</si>
  <si>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</si>
  <si>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</si>
  <si>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</si>
  <si>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</si>
  <si>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</si>
  <si>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</si>
  <si>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</si>
  <si>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</si>
  <si>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</si>
  <si>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</si>
  <si>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</si>
  <si>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</si>
  <si>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</si>
  <si>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</si>
  <si>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</si>
  <si>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</si>
  <si>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</si>
  <si>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</si>
  <si>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</si>
  <si>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</si>
  <si>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</si>
  <si>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</si>
  <si>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</si>
  <si>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</si>
  <si>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</si>
  <si>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</si>
  <si>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</si>
  <si>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</si>
  <si>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</si>
  <si>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</si>
  <si>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</si>
  <si>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</si>
  <si>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</si>
  <si>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</si>
  <si>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</si>
  <si>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</si>
  <si>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</si>
  <si>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</si>
  <si>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</si>
  <si>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</si>
  <si>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</si>
  <si>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</si>
  <si>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</si>
  <si>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</si>
  <si>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</si>
  <si>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</si>
  <si>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</si>
  <si>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</si>
  <si>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</si>
  <si>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</si>
  <si>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</si>
  <si>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</si>
  <si>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</si>
  <si>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</si>
  <si>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</si>
  <si>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</si>
  <si>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</si>
  <si>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</si>
  <si>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</si>
  <si>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</si>
  <si>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</si>
  <si>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</si>
  <si>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</si>
  <si>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</si>
  <si>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</si>
  <si>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</si>
  <si>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</si>
  <si>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</si>
  <si>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</si>
  <si>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</si>
  <si>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</si>
  <si>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</si>
  <si>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</si>
  <si>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</si>
  <si>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</si>
  <si>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</si>
  <si>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</si>
  <si>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</si>
  <si>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</si>
  <si>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</si>
  <si>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</si>
  <si>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</si>
  <si>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</si>
  <si>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</si>
  <si>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</si>
  <si>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</si>
  <si>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</si>
  <si>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</si>
  <si>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</si>
  <si>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</si>
  <si>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</si>
  <si>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</si>
  <si>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</si>
  <si>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</si>
  <si>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</si>
  <si>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</si>
  <si>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</si>
  <si>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</si>
  <si>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</si>
  <si>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</si>
  <si>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</si>
  <si>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</si>
  <si>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</si>
  <si>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</si>
  <si>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</si>
  <si>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</si>
  <si>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</si>
  <si>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</si>
  <si>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</si>
  <si>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</si>
  <si>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</si>
  <si>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</si>
  <si>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</si>
  <si>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</si>
  <si>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</si>
  <si>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</si>
  <si>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</si>
  <si>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</si>
  <si>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</si>
  <si>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</si>
  <si>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</si>
  <si>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</si>
  <si>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</si>
  <si>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</si>
  <si>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</si>
  <si>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</si>
  <si>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</si>
  <si>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</si>
  <si>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</si>
  <si>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</si>
  <si>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</si>
  <si>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</si>
  <si>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</si>
  <si>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</si>
  <si>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</si>
  <si>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</si>
  <si>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</si>
  <si>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</si>
  <si>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</si>
  <si>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</si>
  <si>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</si>
  <si>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</si>
  <si>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</si>
  <si>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</si>
  <si>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</si>
  <si>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</si>
  <si>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</si>
  <si>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</si>
  <si>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</si>
  <si>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</si>
  <si>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</si>
  <si>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</si>
  <si>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</si>
  <si>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</si>
  <si>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</si>
  <si>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</si>
  <si>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</si>
  <si>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</si>
  <si>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</si>
  <si>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</si>
  <si>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</si>
  <si>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</si>
  <si>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</si>
  <si>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</si>
  <si>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</si>
  <si>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</si>
  <si>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</si>
  <si>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</si>
  <si>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</si>
  <si>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</si>
  <si>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</si>
  <si>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</si>
  <si>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</si>
  <si>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</si>
  <si>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</si>
  <si>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</si>
  <si>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</si>
  <si>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</si>
  <si>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</si>
  <si>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</si>
  <si>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</si>
  <si>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</si>
  <si>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</si>
  <si>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</si>
  <si>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</si>
  <si>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</si>
  <si>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</si>
  <si>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</si>
  <si>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</si>
  <si>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</si>
  <si>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</si>
  <si>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</si>
  <si>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</si>
  <si>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</si>
  <si>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</si>
  <si>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</si>
  <si>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</si>
  <si>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</si>
  <si>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</si>
  <si>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</si>
  <si>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</si>
  <si>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</si>
  <si>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</si>
  <si>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</si>
  <si>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</si>
  <si>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</si>
  <si>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</si>
  <si>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</si>
  <si>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</si>
  <si>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</si>
  <si>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</si>
  <si>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</si>
  <si>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</si>
  <si>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</si>
  <si>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</si>
  <si>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</si>
  <si>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</si>
  <si>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</si>
  <si>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</si>
  <si>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</si>
  <si>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</si>
  <si>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</si>
  <si>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</si>
  <si>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</si>
  <si>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</si>
  <si>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</si>
  <si>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</si>
  <si>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</si>
  <si>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</si>
  <si>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</si>
  <si>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</si>
  <si>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</si>
  <si>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</si>
  <si>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</si>
  <si>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</si>
  <si>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</si>
  <si>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</si>
  <si>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</si>
  <si>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</si>
  <si>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</si>
  <si>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</si>
  <si>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</si>
  <si>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</si>
  <si>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</si>
  <si>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</si>
  <si>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</si>
  <si>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</si>
  <si>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</si>
  <si>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</si>
  <si>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</si>
  <si>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</si>
  <si>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</si>
  <si>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</si>
  <si>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</si>
  <si>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</si>
  <si>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</si>
  <si>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</si>
  <si>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</si>
  <si>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</si>
  <si>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</si>
  <si>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</si>
  <si>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</si>
  <si>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</si>
  <si>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</si>
  <si>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</si>
  <si>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</si>
  <si>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</si>
  <si>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</si>
  <si>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</si>
  <si>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</si>
  <si>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</si>
  <si>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</si>
  <si>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</si>
  <si>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</si>
  <si>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</si>
  <si>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</si>
  <si>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</si>
  <si>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</si>
  <si>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13011</t>
  </si>
  <si>
    <t>HERENTALS</t>
  </si>
  <si>
    <t>referentietaak LNE (2017); Jaarverslag De Lijn</t>
  </si>
  <si>
    <t>waterkracht</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</si>
  <si>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</si>
  <si>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</si>
  <si>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</si>
  <si>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</si>
  <si>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</si>
  <si>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</si>
  <si>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</si>
  <si>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</si>
  <si>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</si>
  <si>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De Bourgondier</t>
  </si>
  <si>
    <t>WKK-0888</t>
  </si>
  <si>
    <t>brandstofcel</t>
  </si>
  <si>
    <t>Zeelputten 6, Herentals</t>
  </si>
  <si>
    <t>IVEKA (via EANDIS)</t>
  </si>
  <si>
    <t>Beirinckx Luc II</t>
  </si>
  <si>
    <t>Noorderwijk</t>
  </si>
  <si>
    <t>WKK-0715</t>
  </si>
  <si>
    <t>Interne verbrandingsmotor</t>
  </si>
  <si>
    <t>Rossem 7</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</si>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</sst>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231115.58818262539</c:v>
                </c:pt>
                <c:pt idx="1">
                  <c:v>150634.30194902222</c:v>
                </c:pt>
                <c:pt idx="2">
                  <c:v>1323.191</c:v>
                </c:pt>
                <c:pt idx="3">
                  <c:v>67973.145196315672</c:v>
                </c:pt>
                <c:pt idx="4">
                  <c:v>177607.18119110208</c:v>
                </c:pt>
                <c:pt idx="5">
                  <c:v>226774.22107905895</c:v>
                </c:pt>
                <c:pt idx="6">
                  <c:v>2166.0342971713158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231115.58818262539</c:v>
                </c:pt>
                <c:pt idx="1">
                  <c:v>150634.30194902222</c:v>
                </c:pt>
                <c:pt idx="2">
                  <c:v>1323.191</c:v>
                </c:pt>
                <c:pt idx="3">
                  <c:v>67973.145196315672</c:v>
                </c:pt>
                <c:pt idx="4">
                  <c:v>177607.18119110208</c:v>
                </c:pt>
                <c:pt idx="5">
                  <c:v>226774.22107905895</c:v>
                </c:pt>
                <c:pt idx="6">
                  <c:v>2166.0342971713158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46019.154460646205</c:v>
                </c:pt>
                <c:pt idx="1">
                  <c:v>31371.820562729386</c:v>
                </c:pt>
                <c:pt idx="2">
                  <c:v>276.98953636944418</c:v>
                </c:pt>
                <c:pt idx="3">
                  <c:v>16294.915070805633</c:v>
                </c:pt>
                <c:pt idx="4">
                  <c:v>37143.414380682829</c:v>
                </c:pt>
                <c:pt idx="5">
                  <c:v>56266.124151015349</c:v>
                </c:pt>
                <c:pt idx="6">
                  <c:v>545.53632518282666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46019.154460646205</c:v>
                </c:pt>
                <c:pt idx="1">
                  <c:v>31371.820562729386</c:v>
                </c:pt>
                <c:pt idx="2">
                  <c:v>276.98953636944418</c:v>
                </c:pt>
                <c:pt idx="3">
                  <c:v>16294.915070805633</c:v>
                </c:pt>
                <c:pt idx="4">
                  <c:v>37143.414380682829</c:v>
                </c:pt>
                <c:pt idx="5">
                  <c:v>56266.124151015349</c:v>
                </c:pt>
                <c:pt idx="6">
                  <c:v>545.53632518282666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13011</v>
      </c>
      <c r="B6" s="386"/>
      <c r="C6" s="387"/>
    </row>
    <row r="7" spans="1:7" s="384" customFormat="1" ht="15.75" customHeight="1">
      <c r="A7" s="388" t="str">
        <f>txtMunicipality</f>
        <v>HERENTALS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66680.195479877308</v>
      </c>
      <c r="D10" s="683">
        <f ca="1">tertiair!C16</f>
        <v>12.175675675675675</v>
      </c>
      <c r="E10" s="683">
        <f ca="1">tertiair!D16</f>
        <v>71186.8969960377</v>
      </c>
      <c r="F10" s="683">
        <f>tertiair!E16</f>
        <v>299.385103818875</v>
      </c>
      <c r="G10" s="683">
        <f ca="1">tertiair!F16</f>
        <v>12133.745261150239</v>
      </c>
      <c r="H10" s="683">
        <f>tertiair!G16</f>
        <v>0</v>
      </c>
      <c r="I10" s="683">
        <f>tertiair!H16</f>
        <v>0</v>
      </c>
      <c r="J10" s="683">
        <f>tertiair!I16</f>
        <v>0</v>
      </c>
      <c r="K10" s="683">
        <f>tertiair!J16</f>
        <v>7.6657983043773401E-2</v>
      </c>
      <c r="L10" s="683">
        <f>tertiair!K16</f>
        <v>0</v>
      </c>
      <c r="M10" s="683">
        <f ca="1">tertiair!L16</f>
        <v>0</v>
      </c>
      <c r="N10" s="683">
        <f>tertiair!M16</f>
        <v>0</v>
      </c>
      <c r="O10" s="683">
        <f ca="1">tertiair!N16</f>
        <v>431.72033266416747</v>
      </c>
      <c r="P10" s="683">
        <f>tertiair!O16</f>
        <v>4.8972607658411542</v>
      </c>
      <c r="Q10" s="684">
        <f>tertiair!P16</f>
        <v>1208.4001810493855</v>
      </c>
      <c r="R10" s="686">
        <f ca="1">SUM(C10:Q10)</f>
        <v>151957.49294902224</v>
      </c>
      <c r="S10" s="67"/>
    </row>
    <row r="11" spans="1:19" s="445" customFormat="1">
      <c r="A11" s="804" t="s">
        <v>220</v>
      </c>
      <c r="B11" s="809"/>
      <c r="C11" s="683">
        <f>huishoudens!B8</f>
        <v>42608.795137571178</v>
      </c>
      <c r="D11" s="683">
        <f>huishoudens!C8</f>
        <v>0</v>
      </c>
      <c r="E11" s="683">
        <f>huishoudens!D8</f>
        <v>129185.72822565395</v>
      </c>
      <c r="F11" s="683">
        <f>huishoudens!E8</f>
        <v>1797.9867655598357</v>
      </c>
      <c r="G11" s="683">
        <f>huishoudens!F8</f>
        <v>39387.786363706546</v>
      </c>
      <c r="H11" s="683">
        <f>huishoudens!G8</f>
        <v>0</v>
      </c>
      <c r="I11" s="683">
        <f>huishoudens!H8</f>
        <v>0</v>
      </c>
      <c r="J11" s="683">
        <f>huishoudens!I8</f>
        <v>0</v>
      </c>
      <c r="K11" s="683">
        <f>huishoudens!J8</f>
        <v>224.47530247698722</v>
      </c>
      <c r="L11" s="683">
        <f>huishoudens!K8</f>
        <v>0</v>
      </c>
      <c r="M11" s="683">
        <f>huishoudens!L8</f>
        <v>0</v>
      </c>
      <c r="N11" s="683">
        <f>huishoudens!M8</f>
        <v>0</v>
      </c>
      <c r="O11" s="683">
        <f>huishoudens!N8</f>
        <v>15818.295456553709</v>
      </c>
      <c r="P11" s="683">
        <f>huishoudens!O8</f>
        <v>638.83454664262422</v>
      </c>
      <c r="Q11" s="684">
        <f>huishoudens!P8</f>
        <v>1453.6863844605332</v>
      </c>
      <c r="R11" s="686">
        <f>SUM(C11:Q11)</f>
        <v>231115.58818262539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109304.85679543744</v>
      </c>
      <c r="D13" s="683">
        <f>industrie!C18</f>
        <v>900.00000000000023</v>
      </c>
      <c r="E13" s="683">
        <f>industrie!D18</f>
        <v>44914.186787340048</v>
      </c>
      <c r="F13" s="683">
        <f>industrie!E18</f>
        <v>677.30387805281032</v>
      </c>
      <c r="G13" s="683">
        <f>industrie!F18</f>
        <v>18005.944253836908</v>
      </c>
      <c r="H13" s="683">
        <f>industrie!G18</f>
        <v>0</v>
      </c>
      <c r="I13" s="683">
        <f>industrie!H18</f>
        <v>0</v>
      </c>
      <c r="J13" s="683">
        <f>industrie!I18</f>
        <v>0</v>
      </c>
      <c r="K13" s="683">
        <f>industrie!J18</f>
        <v>40.268800515211602</v>
      </c>
      <c r="L13" s="683">
        <f>industrie!K18</f>
        <v>0</v>
      </c>
      <c r="M13" s="683">
        <f>industrie!L18</f>
        <v>0</v>
      </c>
      <c r="N13" s="683">
        <f>industrie!M18</f>
        <v>0</v>
      </c>
      <c r="O13" s="683">
        <f>industrie!N18</f>
        <v>3764.6206759196743</v>
      </c>
      <c r="P13" s="683">
        <f>industrie!O18</f>
        <v>0</v>
      </c>
      <c r="Q13" s="684">
        <f>industrie!P18</f>
        <v>0</v>
      </c>
      <c r="R13" s="686">
        <f>SUM(C13:Q13)</f>
        <v>177607.18119110208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218593.84741288592</v>
      </c>
      <c r="D16" s="719">
        <f t="shared" ref="D16:R16" ca="1" si="0">SUM(D9:D15)</f>
        <v>912.17567567567585</v>
      </c>
      <c r="E16" s="719">
        <f t="shared" ca="1" si="0"/>
        <v>245286.81200903171</v>
      </c>
      <c r="F16" s="719">
        <f t="shared" si="0"/>
        <v>2774.6757474315209</v>
      </c>
      <c r="G16" s="719">
        <f t="shared" ca="1" si="0"/>
        <v>69527.475878693687</v>
      </c>
      <c r="H16" s="719">
        <f t="shared" si="0"/>
        <v>0</v>
      </c>
      <c r="I16" s="719">
        <f t="shared" si="0"/>
        <v>0</v>
      </c>
      <c r="J16" s="719">
        <f t="shared" si="0"/>
        <v>0</v>
      </c>
      <c r="K16" s="719">
        <f t="shared" si="0"/>
        <v>264.82076097524259</v>
      </c>
      <c r="L16" s="719">
        <f t="shared" si="0"/>
        <v>0</v>
      </c>
      <c r="M16" s="719">
        <f t="shared" ca="1" si="0"/>
        <v>0</v>
      </c>
      <c r="N16" s="719">
        <f t="shared" si="0"/>
        <v>0</v>
      </c>
      <c r="O16" s="719">
        <f t="shared" ca="1" si="0"/>
        <v>20014.636465137552</v>
      </c>
      <c r="P16" s="719">
        <f t="shared" si="0"/>
        <v>643.73180740846533</v>
      </c>
      <c r="Q16" s="719">
        <f t="shared" si="0"/>
        <v>2662.0865655099187</v>
      </c>
      <c r="R16" s="719">
        <f t="shared" ca="1" si="0"/>
        <v>560680.26232274971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32.233828333732141</v>
      </c>
      <c r="D19" s="683">
        <f>transport!C54</f>
        <v>0</v>
      </c>
      <c r="E19" s="683">
        <f>transport!D54</f>
        <v>0</v>
      </c>
      <c r="F19" s="683">
        <f>transport!E54</f>
        <v>0</v>
      </c>
      <c r="G19" s="683">
        <f>transport!F54</f>
        <v>0</v>
      </c>
      <c r="H19" s="683">
        <f>transport!G54</f>
        <v>2017.9351033797029</v>
      </c>
      <c r="I19" s="683">
        <f>transport!H54</f>
        <v>0</v>
      </c>
      <c r="J19" s="683">
        <f>transport!I54</f>
        <v>0</v>
      </c>
      <c r="K19" s="683">
        <f>transport!J54</f>
        <v>0</v>
      </c>
      <c r="L19" s="683">
        <f>transport!K54</f>
        <v>0</v>
      </c>
      <c r="M19" s="683">
        <f>transport!L54</f>
        <v>0</v>
      </c>
      <c r="N19" s="683">
        <f>transport!M54</f>
        <v>115.8653654578808</v>
      </c>
      <c r="O19" s="683">
        <f>transport!N54</f>
        <v>0</v>
      </c>
      <c r="P19" s="683">
        <f>transport!O54</f>
        <v>0</v>
      </c>
      <c r="Q19" s="684">
        <f>transport!P54</f>
        <v>0</v>
      </c>
      <c r="R19" s="686">
        <f>SUM(C19:Q19)</f>
        <v>2166.0342971713158</v>
      </c>
      <c r="S19" s="67"/>
    </row>
    <row r="20" spans="1:19" s="445" customFormat="1">
      <c r="A20" s="804" t="s">
        <v>302</v>
      </c>
      <c r="B20" s="809"/>
      <c r="C20" s="683">
        <f>transport!B14</f>
        <v>522.75953308248927</v>
      </c>
      <c r="D20" s="683">
        <f>transport!C14</f>
        <v>0</v>
      </c>
      <c r="E20" s="683">
        <f>transport!D14</f>
        <v>862.24647925329646</v>
      </c>
      <c r="F20" s="683">
        <f>transport!E14</f>
        <v>365.55750184905838</v>
      </c>
      <c r="G20" s="683">
        <f>transport!F14</f>
        <v>0</v>
      </c>
      <c r="H20" s="683">
        <f>transport!G14</f>
        <v>169301.64707665241</v>
      </c>
      <c r="I20" s="683">
        <f>transport!H14</f>
        <v>42955.812973491469</v>
      </c>
      <c r="J20" s="683">
        <f>transport!I14</f>
        <v>0</v>
      </c>
      <c r="K20" s="683">
        <f>transport!J14</f>
        <v>0</v>
      </c>
      <c r="L20" s="683">
        <f>transport!K14</f>
        <v>0</v>
      </c>
      <c r="M20" s="683">
        <f>transport!L14</f>
        <v>0</v>
      </c>
      <c r="N20" s="683">
        <f>transport!M14</f>
        <v>12766.197514730202</v>
      </c>
      <c r="O20" s="683">
        <f>transport!N14</f>
        <v>0</v>
      </c>
      <c r="P20" s="683">
        <f>transport!O14</f>
        <v>0</v>
      </c>
      <c r="Q20" s="684">
        <f>transport!P14</f>
        <v>0</v>
      </c>
      <c r="R20" s="686">
        <f>SUM(C20:Q20)</f>
        <v>226774.22107905895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554.99336141622143</v>
      </c>
      <c r="D22" s="807">
        <f t="shared" ref="D22:R22" si="1">SUM(D18:D21)</f>
        <v>0</v>
      </c>
      <c r="E22" s="807">
        <f t="shared" si="1"/>
        <v>862.24647925329646</v>
      </c>
      <c r="F22" s="807">
        <f t="shared" si="1"/>
        <v>365.55750184905838</v>
      </c>
      <c r="G22" s="807">
        <f t="shared" si="1"/>
        <v>0</v>
      </c>
      <c r="H22" s="807">
        <f t="shared" si="1"/>
        <v>171319.58218003213</v>
      </c>
      <c r="I22" s="807">
        <f t="shared" si="1"/>
        <v>42955.812973491469</v>
      </c>
      <c r="J22" s="807">
        <f t="shared" si="1"/>
        <v>0</v>
      </c>
      <c r="K22" s="807">
        <f t="shared" si="1"/>
        <v>0</v>
      </c>
      <c r="L22" s="807">
        <f t="shared" si="1"/>
        <v>0</v>
      </c>
      <c r="M22" s="807">
        <f t="shared" si="1"/>
        <v>0</v>
      </c>
      <c r="N22" s="807">
        <f t="shared" si="1"/>
        <v>12882.062880188083</v>
      </c>
      <c r="O22" s="807">
        <f t="shared" si="1"/>
        <v>0</v>
      </c>
      <c r="P22" s="807">
        <f t="shared" si="1"/>
        <v>0</v>
      </c>
      <c r="Q22" s="807">
        <f t="shared" si="1"/>
        <v>0</v>
      </c>
      <c r="R22" s="807">
        <f t="shared" si="1"/>
        <v>228940.25537623026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1506.70811123713</v>
      </c>
      <c r="D24" s="683">
        <f>+landbouw!C8</f>
        <v>61270.71428571429</v>
      </c>
      <c r="E24" s="683">
        <f>+landbouw!D8</f>
        <v>0</v>
      </c>
      <c r="F24" s="683">
        <f>+landbouw!E8</f>
        <v>43.154670122774718</v>
      </c>
      <c r="G24" s="683">
        <f>+landbouw!F8</f>
        <v>4769.4595707926192</v>
      </c>
      <c r="H24" s="683">
        <f>+landbouw!G8</f>
        <v>0</v>
      </c>
      <c r="I24" s="683">
        <f>+landbouw!H8</f>
        <v>0</v>
      </c>
      <c r="J24" s="683">
        <f>+landbouw!I8</f>
        <v>0</v>
      </c>
      <c r="K24" s="683">
        <f>+landbouw!J8</f>
        <v>383.10855844886811</v>
      </c>
      <c r="L24" s="683">
        <f>+landbouw!K8</f>
        <v>0</v>
      </c>
      <c r="M24" s="683">
        <f>+landbouw!L8</f>
        <v>0</v>
      </c>
      <c r="N24" s="683">
        <f>+landbouw!M8</f>
        <v>0</v>
      </c>
      <c r="O24" s="683">
        <f>+landbouw!N8</f>
        <v>0</v>
      </c>
      <c r="P24" s="683">
        <f>+landbouw!O8</f>
        <v>0</v>
      </c>
      <c r="Q24" s="684">
        <f>+landbouw!P8</f>
        <v>0</v>
      </c>
      <c r="R24" s="686">
        <f>SUM(C24:Q24)</f>
        <v>67973.145196315672</v>
      </c>
      <c r="S24" s="67"/>
    </row>
    <row r="25" spans="1:19" s="445" customFormat="1" ht="15" thickBot="1">
      <c r="A25" s="826" t="s">
        <v>696</v>
      </c>
      <c r="B25" s="939"/>
      <c r="C25" s="940">
        <f>IF(Onbekend_ele_kWh="---",0,Onbekend_ele_kWh)/1000+IF(REST_rest_ele_kWh="---",0,REST_rest_ele_kWh)/1000</f>
        <v>1210.40245378707</v>
      </c>
      <c r="D25" s="940"/>
      <c r="E25" s="940">
        <f>IF(onbekend_gas_kWh="---",0,onbekend_gas_kWh)/1000+IF(REST_rest_gas_kWh="---",0,REST_rest_gas_kWh)/1000</f>
        <v>6644.4296438667598</v>
      </c>
      <c r="F25" s="940"/>
      <c r="G25" s="940"/>
      <c r="H25" s="940"/>
      <c r="I25" s="940"/>
      <c r="J25" s="940"/>
      <c r="K25" s="940"/>
      <c r="L25" s="940"/>
      <c r="M25" s="940"/>
      <c r="N25" s="940"/>
      <c r="O25" s="940"/>
      <c r="P25" s="940"/>
      <c r="Q25" s="941"/>
      <c r="R25" s="686">
        <f>SUM(C25:Q25)</f>
        <v>7854.8320976538298</v>
      </c>
      <c r="S25" s="67"/>
    </row>
    <row r="26" spans="1:19" s="445" customFormat="1" ht="15.75" thickBot="1">
      <c r="A26" s="691" t="s">
        <v>697</v>
      </c>
      <c r="B26" s="812"/>
      <c r="C26" s="807">
        <f>SUM(C24:C25)</f>
        <v>2717.1105650241998</v>
      </c>
      <c r="D26" s="807">
        <f t="shared" ref="D26:R26" si="2">SUM(D24:D25)</f>
        <v>61270.71428571429</v>
      </c>
      <c r="E26" s="807">
        <f t="shared" si="2"/>
        <v>6644.4296438667598</v>
      </c>
      <c r="F26" s="807">
        <f t="shared" si="2"/>
        <v>43.154670122774718</v>
      </c>
      <c r="G26" s="807">
        <f t="shared" si="2"/>
        <v>4769.4595707926192</v>
      </c>
      <c r="H26" s="807">
        <f t="shared" si="2"/>
        <v>0</v>
      </c>
      <c r="I26" s="807">
        <f t="shared" si="2"/>
        <v>0</v>
      </c>
      <c r="J26" s="807">
        <f t="shared" si="2"/>
        <v>0</v>
      </c>
      <c r="K26" s="807">
        <f t="shared" si="2"/>
        <v>383.10855844886811</v>
      </c>
      <c r="L26" s="807">
        <f t="shared" si="2"/>
        <v>0</v>
      </c>
      <c r="M26" s="807">
        <f t="shared" si="2"/>
        <v>0</v>
      </c>
      <c r="N26" s="807">
        <f t="shared" si="2"/>
        <v>0</v>
      </c>
      <c r="O26" s="807">
        <f t="shared" si="2"/>
        <v>0</v>
      </c>
      <c r="P26" s="807">
        <f t="shared" si="2"/>
        <v>0</v>
      </c>
      <c r="Q26" s="807">
        <f t="shared" si="2"/>
        <v>0</v>
      </c>
      <c r="R26" s="807">
        <f t="shared" si="2"/>
        <v>75827.977293969496</v>
      </c>
      <c r="S26" s="67"/>
    </row>
    <row r="27" spans="1:19" s="445" customFormat="1" ht="17.25" thickTop="1" thickBot="1">
      <c r="A27" s="692" t="s">
        <v>115</v>
      </c>
      <c r="B27" s="799"/>
      <c r="C27" s="693">
        <f ca="1">C22+C16+C26</f>
        <v>221865.95133932633</v>
      </c>
      <c r="D27" s="693">
        <f t="shared" ref="D27:R27" ca="1" si="3">D22+D16+D26</f>
        <v>62182.889961389963</v>
      </c>
      <c r="E27" s="693">
        <f t="shared" ca="1" si="3"/>
        <v>252793.48813215175</v>
      </c>
      <c r="F27" s="693">
        <f t="shared" si="3"/>
        <v>3183.3879194033543</v>
      </c>
      <c r="G27" s="693">
        <f t="shared" ca="1" si="3"/>
        <v>74296.935449486307</v>
      </c>
      <c r="H27" s="693">
        <f t="shared" si="3"/>
        <v>171319.58218003213</v>
      </c>
      <c r="I27" s="693">
        <f t="shared" si="3"/>
        <v>42955.812973491469</v>
      </c>
      <c r="J27" s="693">
        <f t="shared" si="3"/>
        <v>0</v>
      </c>
      <c r="K27" s="693">
        <f t="shared" si="3"/>
        <v>647.92931942411064</v>
      </c>
      <c r="L27" s="693">
        <f t="shared" si="3"/>
        <v>0</v>
      </c>
      <c r="M27" s="693">
        <f t="shared" ca="1" si="3"/>
        <v>0</v>
      </c>
      <c r="N27" s="693">
        <f t="shared" si="3"/>
        <v>12882.062880188083</v>
      </c>
      <c r="O27" s="693">
        <f t="shared" ca="1" si="3"/>
        <v>20014.636465137552</v>
      </c>
      <c r="P27" s="693">
        <f t="shared" si="3"/>
        <v>643.73180740846533</v>
      </c>
      <c r="Q27" s="693">
        <f t="shared" si="3"/>
        <v>2662.0865655099187</v>
      </c>
      <c r="R27" s="693">
        <f t="shared" ca="1" si="3"/>
        <v>865448.49499294942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13958.465883606465</v>
      </c>
      <c r="D40" s="683">
        <f ca="1">tertiair!C20</f>
        <v>2.8934820727566688</v>
      </c>
      <c r="E40" s="683">
        <f ca="1">tertiair!D20</f>
        <v>14379.753193199616</v>
      </c>
      <c r="F40" s="683">
        <f>tertiair!E20</f>
        <v>67.960418566884627</v>
      </c>
      <c r="G40" s="683">
        <f ca="1">tertiair!F20</f>
        <v>3239.7099847271143</v>
      </c>
      <c r="H40" s="683">
        <f>tertiair!G20</f>
        <v>0</v>
      </c>
      <c r="I40" s="683">
        <f>tertiair!H20</f>
        <v>0</v>
      </c>
      <c r="J40" s="683">
        <f>tertiair!I20</f>
        <v>0</v>
      </c>
      <c r="K40" s="683">
        <f>tertiair!J20</f>
        <v>2.7136925997495783E-2</v>
      </c>
      <c r="L40" s="683">
        <f>tertiair!K20</f>
        <v>0</v>
      </c>
      <c r="M40" s="683">
        <f ca="1">tertiair!L20</f>
        <v>0</v>
      </c>
      <c r="N40" s="683">
        <f>tertiair!M20</f>
        <v>0</v>
      </c>
      <c r="O40" s="683">
        <f ca="1">tertiair!N20</f>
        <v>0</v>
      </c>
      <c r="P40" s="683">
        <f>tertiair!O20</f>
        <v>0</v>
      </c>
      <c r="Q40" s="766">
        <f>tertiair!P20</f>
        <v>0</v>
      </c>
      <c r="R40" s="845">
        <f t="shared" ca="1" si="4"/>
        <v>31648.810099098831</v>
      </c>
    </row>
    <row r="41" spans="1:18">
      <c r="A41" s="817" t="s">
        <v>220</v>
      </c>
      <c r="B41" s="824"/>
      <c r="C41" s="683">
        <f ca="1">huishoudens!B12</f>
        <v>8919.4911470955194</v>
      </c>
      <c r="D41" s="683">
        <f ca="1">huishoudens!C12</f>
        <v>0</v>
      </c>
      <c r="E41" s="683">
        <f>huishoudens!D12</f>
        <v>26095.5171015821</v>
      </c>
      <c r="F41" s="683">
        <f>huishoudens!E12</f>
        <v>408.14299578208272</v>
      </c>
      <c r="G41" s="683">
        <f>huishoudens!F12</f>
        <v>10516.538959109648</v>
      </c>
      <c r="H41" s="683">
        <f>huishoudens!G12</f>
        <v>0</v>
      </c>
      <c r="I41" s="683">
        <f>huishoudens!H12</f>
        <v>0</v>
      </c>
      <c r="J41" s="683">
        <f>huishoudens!I12</f>
        <v>0</v>
      </c>
      <c r="K41" s="683">
        <f>huishoudens!J12</f>
        <v>79.464257076853471</v>
      </c>
      <c r="L41" s="683">
        <f>huishoudens!K12</f>
        <v>0</v>
      </c>
      <c r="M41" s="683">
        <f>huishoudens!L12</f>
        <v>0</v>
      </c>
      <c r="N41" s="683">
        <f>huishoudens!M12</f>
        <v>0</v>
      </c>
      <c r="O41" s="683">
        <f>huishoudens!N12</f>
        <v>0</v>
      </c>
      <c r="P41" s="683">
        <f>huishoudens!O12</f>
        <v>0</v>
      </c>
      <c r="Q41" s="766">
        <f>huishoudens!P12</f>
        <v>0</v>
      </c>
      <c r="R41" s="845">
        <f t="shared" ca="1" si="4"/>
        <v>46019.154460646205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22881.278369257881</v>
      </c>
      <c r="D43" s="683">
        <f ca="1">industrie!C22</f>
        <v>213.88002890742973</v>
      </c>
      <c r="E43" s="683">
        <f>industrie!D22</f>
        <v>9072.6657310426908</v>
      </c>
      <c r="F43" s="683">
        <f>industrie!E22</f>
        <v>153.74798031798795</v>
      </c>
      <c r="G43" s="683">
        <f>industrie!F22</f>
        <v>4807.587115774455</v>
      </c>
      <c r="H43" s="683">
        <f>industrie!G22</f>
        <v>0</v>
      </c>
      <c r="I43" s="683">
        <f>industrie!H22</f>
        <v>0</v>
      </c>
      <c r="J43" s="683">
        <f>industrie!I22</f>
        <v>0</v>
      </c>
      <c r="K43" s="683">
        <f>industrie!J22</f>
        <v>14.255155382384906</v>
      </c>
      <c r="L43" s="683">
        <f>industrie!K22</f>
        <v>0</v>
      </c>
      <c r="M43" s="683">
        <f>industrie!L22</f>
        <v>0</v>
      </c>
      <c r="N43" s="683">
        <f>industrie!M22</f>
        <v>0</v>
      </c>
      <c r="O43" s="683">
        <f>industrie!N22</f>
        <v>0</v>
      </c>
      <c r="P43" s="683">
        <f>industrie!O22</f>
        <v>0</v>
      </c>
      <c r="Q43" s="766">
        <f>industrie!P22</f>
        <v>0</v>
      </c>
      <c r="R43" s="844">
        <f t="shared" ca="1" si="4"/>
        <v>37143.414380682829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45759.235399959864</v>
      </c>
      <c r="D46" s="719">
        <f t="shared" ref="D46:Q46" ca="1" si="5">SUM(D39:D45)</f>
        <v>216.77351098018642</v>
      </c>
      <c r="E46" s="719">
        <f t="shared" ca="1" si="5"/>
        <v>49547.936025824405</v>
      </c>
      <c r="F46" s="719">
        <f t="shared" si="5"/>
        <v>629.85139466695534</v>
      </c>
      <c r="G46" s="719">
        <f t="shared" ca="1" si="5"/>
        <v>18563.836059611218</v>
      </c>
      <c r="H46" s="719">
        <f t="shared" si="5"/>
        <v>0</v>
      </c>
      <c r="I46" s="719">
        <f t="shared" si="5"/>
        <v>0</v>
      </c>
      <c r="J46" s="719">
        <f t="shared" si="5"/>
        <v>0</v>
      </c>
      <c r="K46" s="719">
        <f t="shared" si="5"/>
        <v>93.74654938523588</v>
      </c>
      <c r="L46" s="719">
        <f t="shared" si="5"/>
        <v>0</v>
      </c>
      <c r="M46" s="719">
        <f t="shared" ca="1" si="5"/>
        <v>0</v>
      </c>
      <c r="N46" s="719">
        <f t="shared" si="5"/>
        <v>0</v>
      </c>
      <c r="O46" s="719">
        <f t="shared" ca="1" si="5"/>
        <v>0</v>
      </c>
      <c r="P46" s="719">
        <f t="shared" si="5"/>
        <v>0</v>
      </c>
      <c r="Q46" s="719">
        <f t="shared" si="5"/>
        <v>0</v>
      </c>
      <c r="R46" s="719">
        <f ca="1">SUM(R39:R45)</f>
        <v>114811.37894042788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6.7476525804458456</v>
      </c>
      <c r="D49" s="683">
        <f ca="1">transport!C58</f>
        <v>0</v>
      </c>
      <c r="E49" s="683">
        <f>transport!D58</f>
        <v>0</v>
      </c>
      <c r="F49" s="683">
        <f>transport!E58</f>
        <v>0</v>
      </c>
      <c r="G49" s="683">
        <f>transport!F58</f>
        <v>0</v>
      </c>
      <c r="H49" s="683">
        <f>transport!G58</f>
        <v>538.78867260238076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545.53632518282666</v>
      </c>
    </row>
    <row r="50" spans="1:18">
      <c r="A50" s="820" t="s">
        <v>302</v>
      </c>
      <c r="B50" s="830"/>
      <c r="C50" s="689">
        <f ca="1">transport!B18</f>
        <v>109.43160942088164</v>
      </c>
      <c r="D50" s="689">
        <f>transport!C18</f>
        <v>0</v>
      </c>
      <c r="E50" s="689">
        <f>transport!D18</f>
        <v>174.1737888091659</v>
      </c>
      <c r="F50" s="689">
        <f>transport!E18</f>
        <v>82.981552919736259</v>
      </c>
      <c r="G50" s="689">
        <f>transport!F18</f>
        <v>0</v>
      </c>
      <c r="H50" s="689">
        <f>transport!G18</f>
        <v>45203.539769466195</v>
      </c>
      <c r="I50" s="689">
        <f>transport!H18</f>
        <v>10695.997430399375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56266.124151015349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116.17926200132749</v>
      </c>
      <c r="D52" s="719">
        <f t="shared" ref="D52:Q52" ca="1" si="6">SUM(D48:D51)</f>
        <v>0</v>
      </c>
      <c r="E52" s="719">
        <f t="shared" si="6"/>
        <v>174.1737888091659</v>
      </c>
      <c r="F52" s="719">
        <f t="shared" si="6"/>
        <v>82.981552919736259</v>
      </c>
      <c r="G52" s="719">
        <f t="shared" si="6"/>
        <v>0</v>
      </c>
      <c r="H52" s="719">
        <f t="shared" si="6"/>
        <v>45742.328442068574</v>
      </c>
      <c r="I52" s="719">
        <f t="shared" si="6"/>
        <v>10695.997430399375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56811.660476198173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315.40600047585991</v>
      </c>
      <c r="D54" s="689">
        <f ca="1">+landbouw!C12</f>
        <v>14560.646825119375</v>
      </c>
      <c r="E54" s="689">
        <f>+landbouw!D12</f>
        <v>0</v>
      </c>
      <c r="F54" s="689">
        <f>+landbouw!E12</f>
        <v>9.796110117869862</v>
      </c>
      <c r="G54" s="689">
        <f>+landbouw!F12</f>
        <v>1273.4457054016293</v>
      </c>
      <c r="H54" s="689">
        <f>+landbouw!G12</f>
        <v>0</v>
      </c>
      <c r="I54" s="689">
        <f>+landbouw!H12</f>
        <v>0</v>
      </c>
      <c r="J54" s="689">
        <f>+landbouw!I12</f>
        <v>0</v>
      </c>
      <c r="K54" s="689">
        <f>+landbouw!J12</f>
        <v>135.6204296908993</v>
      </c>
      <c r="L54" s="689">
        <f>+landbouw!K12</f>
        <v>0</v>
      </c>
      <c r="M54" s="689">
        <f>+landbouw!L12</f>
        <v>0</v>
      </c>
      <c r="N54" s="689">
        <f>+landbouw!M12</f>
        <v>0</v>
      </c>
      <c r="O54" s="689">
        <f>+landbouw!N12</f>
        <v>0</v>
      </c>
      <c r="P54" s="689">
        <f>+landbouw!O12</f>
        <v>0</v>
      </c>
      <c r="Q54" s="690">
        <f>+landbouw!P12</f>
        <v>0</v>
      </c>
      <c r="R54" s="718">
        <f ca="1">SUM(C54:Q54)</f>
        <v>16294.915070805633</v>
      </c>
    </row>
    <row r="55" spans="1:18" ht="15" thickBot="1">
      <c r="A55" s="820" t="s">
        <v>696</v>
      </c>
      <c r="B55" s="830"/>
      <c r="C55" s="689">
        <f ca="1">C25*'EF ele_warmte'!B12</f>
        <v>253.37900159154503</v>
      </c>
      <c r="D55" s="689"/>
      <c r="E55" s="689">
        <f>E25*EF_CO2_aardgas</f>
        <v>1342.1747880610856</v>
      </c>
      <c r="F55" s="689"/>
      <c r="G55" s="689"/>
      <c r="H55" s="689"/>
      <c r="I55" s="689"/>
      <c r="J55" s="689"/>
      <c r="K55" s="689"/>
      <c r="L55" s="689"/>
      <c r="M55" s="689"/>
      <c r="N55" s="689"/>
      <c r="O55" s="689"/>
      <c r="P55" s="689"/>
      <c r="Q55" s="690"/>
      <c r="R55" s="718">
        <f ca="1">SUM(C55:Q55)</f>
        <v>1595.5537896526307</v>
      </c>
    </row>
    <row r="56" spans="1:18" ht="15.75" thickBot="1">
      <c r="A56" s="818" t="s">
        <v>697</v>
      </c>
      <c r="B56" s="831"/>
      <c r="C56" s="719">
        <f ca="1">SUM(C54:C55)</f>
        <v>568.785002067405</v>
      </c>
      <c r="D56" s="719">
        <f t="shared" ref="D56:Q56" ca="1" si="7">SUM(D54:D55)</f>
        <v>14560.646825119375</v>
      </c>
      <c r="E56" s="719">
        <f t="shared" si="7"/>
        <v>1342.1747880610856</v>
      </c>
      <c r="F56" s="719">
        <f t="shared" si="7"/>
        <v>9.796110117869862</v>
      </c>
      <c r="G56" s="719">
        <f t="shared" si="7"/>
        <v>1273.4457054016293</v>
      </c>
      <c r="H56" s="719">
        <f t="shared" si="7"/>
        <v>0</v>
      </c>
      <c r="I56" s="719">
        <f t="shared" si="7"/>
        <v>0</v>
      </c>
      <c r="J56" s="719">
        <f t="shared" si="7"/>
        <v>0</v>
      </c>
      <c r="K56" s="719">
        <f t="shared" si="7"/>
        <v>135.6204296908993</v>
      </c>
      <c r="L56" s="719">
        <f t="shared" si="7"/>
        <v>0</v>
      </c>
      <c r="M56" s="719">
        <f t="shared" si="7"/>
        <v>0</v>
      </c>
      <c r="N56" s="719">
        <f t="shared" si="7"/>
        <v>0</v>
      </c>
      <c r="O56" s="719">
        <f t="shared" si="7"/>
        <v>0</v>
      </c>
      <c r="P56" s="719">
        <f t="shared" si="7"/>
        <v>0</v>
      </c>
      <c r="Q56" s="720">
        <f t="shared" si="7"/>
        <v>0</v>
      </c>
      <c r="R56" s="721">
        <f ca="1">SUM(R54:R55)</f>
        <v>17890.468860458262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46444.199664028594</v>
      </c>
      <c r="D61" s="727">
        <f t="shared" ref="D61:Q61" ca="1" si="8">D46+D52+D56</f>
        <v>14777.420336099562</v>
      </c>
      <c r="E61" s="727">
        <f t="shared" ca="1" si="8"/>
        <v>51064.284602694657</v>
      </c>
      <c r="F61" s="727">
        <f t="shared" si="8"/>
        <v>722.62905770456143</v>
      </c>
      <c r="G61" s="727">
        <f t="shared" ca="1" si="8"/>
        <v>19837.281765012849</v>
      </c>
      <c r="H61" s="727">
        <f t="shared" si="8"/>
        <v>45742.328442068574</v>
      </c>
      <c r="I61" s="727">
        <f t="shared" si="8"/>
        <v>10695.997430399375</v>
      </c>
      <c r="J61" s="727">
        <f t="shared" si="8"/>
        <v>0</v>
      </c>
      <c r="K61" s="727">
        <f t="shared" si="8"/>
        <v>229.36697907613518</v>
      </c>
      <c r="L61" s="727">
        <f t="shared" si="8"/>
        <v>0</v>
      </c>
      <c r="M61" s="727">
        <f t="shared" ca="1" si="8"/>
        <v>0</v>
      </c>
      <c r="N61" s="727">
        <f t="shared" si="8"/>
        <v>0</v>
      </c>
      <c r="O61" s="727">
        <f t="shared" ca="1" si="8"/>
        <v>0</v>
      </c>
      <c r="P61" s="727">
        <f t="shared" si="8"/>
        <v>0</v>
      </c>
      <c r="Q61" s="727">
        <f t="shared" si="8"/>
        <v>0</v>
      </c>
      <c r="R61" s="727">
        <f ca="1">R46+R52+R56</f>
        <v>189513.5082770843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0.20933450754233074</v>
      </c>
      <c r="D63" s="773">
        <f t="shared" ca="1" si="9"/>
        <v>0.23764447656381077</v>
      </c>
      <c r="E63" s="965">
        <f t="shared" ca="1" si="9"/>
        <v>0.20200000000000001</v>
      </c>
      <c r="F63" s="773">
        <f t="shared" si="9"/>
        <v>0.22700000000000001</v>
      </c>
      <c r="G63" s="773">
        <f t="shared" ca="1" si="9"/>
        <v>0.26700000000000007</v>
      </c>
      <c r="H63" s="773">
        <f t="shared" si="9"/>
        <v>0.26699999999999996</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14089.485782045656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43528</v>
      </c>
      <c r="D76" s="948">
        <f>'lokale energieproductie'!C8</f>
        <v>51208.855326086908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10344.188775869556</v>
      </c>
      <c r="R76" s="847">
        <v>0</v>
      </c>
    </row>
    <row r="77" spans="1:18" ht="15.75" thickBot="1">
      <c r="A77" s="743" t="s">
        <v>742</v>
      </c>
      <c r="B77" s="740">
        <f>'lokale energieproductie'!B9*IFERROR(SUM(I77:O77)/SUM(D77:O77),0)</f>
        <v>900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2571.4285714285716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14989.485782045656</v>
      </c>
      <c r="C78" s="745">
        <f>SUM(C72:C77)</f>
        <v>43528</v>
      </c>
      <c r="D78" s="746">
        <f t="shared" ref="D78:H78" si="10">SUM(D76:D77)</f>
        <v>51208.855326086908</v>
      </c>
      <c r="E78" s="746">
        <f t="shared" si="10"/>
        <v>0</v>
      </c>
      <c r="F78" s="746">
        <f t="shared" si="10"/>
        <v>0</v>
      </c>
      <c r="G78" s="746">
        <f t="shared" si="10"/>
        <v>0</v>
      </c>
      <c r="H78" s="746">
        <f t="shared" si="10"/>
        <v>0</v>
      </c>
      <c r="I78" s="746">
        <f>SUM(I76:I77)</f>
        <v>0</v>
      </c>
      <c r="J78" s="746">
        <f>SUM(J76:J77)</f>
        <v>2571.4285714285716</v>
      </c>
      <c r="K78" s="746">
        <f t="shared" ref="K78:L78" si="11">SUM(K76:K77)</f>
        <v>0</v>
      </c>
      <c r="L78" s="746">
        <f t="shared" si="11"/>
        <v>0</v>
      </c>
      <c r="M78" s="746">
        <f>SUM(M76:M77)</f>
        <v>0</v>
      </c>
      <c r="N78" s="746">
        <f>SUM(N76:N77)</f>
        <v>0</v>
      </c>
      <c r="O78" s="855">
        <f>SUM(O76:O77)</f>
        <v>0</v>
      </c>
      <c r="P78" s="747">
        <v>0</v>
      </c>
      <c r="Q78" s="747">
        <f>SUM(Q76:Q77)</f>
        <v>10344.188775869556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62182.889961389956</v>
      </c>
      <c r="D87" s="769">
        <f>'lokale energieproductie'!C17</f>
        <v>73155.546218314659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14777.420336099562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62182.889961389956</v>
      </c>
      <c r="D90" s="745">
        <f t="shared" ref="D90:H90" si="12">SUM(D87:D89)</f>
        <v>73155.546218314659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14777.420336099562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42608.795137571178</v>
      </c>
      <c r="C4" s="449">
        <f>huishoudens!C8</f>
        <v>0</v>
      </c>
      <c r="D4" s="449">
        <f>huishoudens!D8</f>
        <v>129185.72822565395</v>
      </c>
      <c r="E4" s="449">
        <f>huishoudens!E8</f>
        <v>1797.9867655598357</v>
      </c>
      <c r="F4" s="449">
        <f>huishoudens!F8</f>
        <v>39387.786363706546</v>
      </c>
      <c r="G4" s="449">
        <f>huishoudens!G8</f>
        <v>0</v>
      </c>
      <c r="H4" s="449">
        <f>huishoudens!H8</f>
        <v>0</v>
      </c>
      <c r="I4" s="449">
        <f>huishoudens!I8</f>
        <v>0</v>
      </c>
      <c r="J4" s="449">
        <f>huishoudens!J8</f>
        <v>224.47530247698722</v>
      </c>
      <c r="K4" s="449">
        <f>huishoudens!K8</f>
        <v>0</v>
      </c>
      <c r="L4" s="449">
        <f>huishoudens!L8</f>
        <v>0</v>
      </c>
      <c r="M4" s="449">
        <f>huishoudens!M8</f>
        <v>0</v>
      </c>
      <c r="N4" s="449">
        <f>huishoudens!N8</f>
        <v>15818.295456553709</v>
      </c>
      <c r="O4" s="449">
        <f>huishoudens!O8</f>
        <v>638.83454664262422</v>
      </c>
      <c r="P4" s="450">
        <f>huishoudens!P8</f>
        <v>1453.6863844605332</v>
      </c>
      <c r="Q4" s="451">
        <f>SUM(B4:P4)</f>
        <v>231115.58818262539</v>
      </c>
    </row>
    <row r="5" spans="1:17">
      <c r="A5" s="448" t="s">
        <v>155</v>
      </c>
      <c r="B5" s="449">
        <f ca="1">tertiair!B16</f>
        <v>65357.004479877301</v>
      </c>
      <c r="C5" s="449">
        <f ca="1">tertiair!C16</f>
        <v>12.175675675675675</v>
      </c>
      <c r="D5" s="449">
        <f ca="1">tertiair!D16</f>
        <v>71186.8969960377</v>
      </c>
      <c r="E5" s="449">
        <f>tertiair!E16</f>
        <v>299.385103818875</v>
      </c>
      <c r="F5" s="449">
        <f ca="1">tertiair!F16</f>
        <v>12133.745261150239</v>
      </c>
      <c r="G5" s="449">
        <f>tertiair!G16</f>
        <v>0</v>
      </c>
      <c r="H5" s="449">
        <f>tertiair!H16</f>
        <v>0</v>
      </c>
      <c r="I5" s="449">
        <f>tertiair!I16</f>
        <v>0</v>
      </c>
      <c r="J5" s="449">
        <f>tertiair!J16</f>
        <v>7.6657983043773401E-2</v>
      </c>
      <c r="K5" s="449">
        <f>tertiair!K16</f>
        <v>0</v>
      </c>
      <c r="L5" s="449">
        <f ca="1">tertiair!L16</f>
        <v>0</v>
      </c>
      <c r="M5" s="449">
        <f>tertiair!M16</f>
        <v>0</v>
      </c>
      <c r="N5" s="449">
        <f ca="1">tertiair!N16</f>
        <v>431.72033266416747</v>
      </c>
      <c r="O5" s="449">
        <f>tertiair!O16</f>
        <v>4.8972607658411542</v>
      </c>
      <c r="P5" s="450">
        <f>tertiair!P16</f>
        <v>1208.4001810493855</v>
      </c>
      <c r="Q5" s="448">
        <f t="shared" ref="Q5:Q14" ca="1" si="0">SUM(B5:P5)</f>
        <v>150634.30194902222</v>
      </c>
    </row>
    <row r="6" spans="1:17">
      <c r="A6" s="448" t="s">
        <v>193</v>
      </c>
      <c r="B6" s="449">
        <f>'openbare verlichting'!B8</f>
        <v>1323.191</v>
      </c>
      <c r="C6" s="449"/>
      <c r="D6" s="449"/>
      <c r="E6" s="449"/>
      <c r="F6" s="449"/>
      <c r="G6" s="449"/>
      <c r="H6" s="449"/>
      <c r="I6" s="449"/>
      <c r="J6" s="449"/>
      <c r="K6" s="449"/>
      <c r="L6" s="449"/>
      <c r="M6" s="449"/>
      <c r="N6" s="449"/>
      <c r="O6" s="449"/>
      <c r="P6" s="450"/>
      <c r="Q6" s="448">
        <f t="shared" si="0"/>
        <v>1323.191</v>
      </c>
    </row>
    <row r="7" spans="1:17">
      <c r="A7" s="448" t="s">
        <v>111</v>
      </c>
      <c r="B7" s="449">
        <f>landbouw!B8</f>
        <v>1506.70811123713</v>
      </c>
      <c r="C7" s="449">
        <f>landbouw!C8</f>
        <v>61270.71428571429</v>
      </c>
      <c r="D7" s="449">
        <f>landbouw!D8</f>
        <v>0</v>
      </c>
      <c r="E7" s="449">
        <f>landbouw!E8</f>
        <v>43.154670122774718</v>
      </c>
      <c r="F7" s="449">
        <f>landbouw!F8</f>
        <v>4769.4595707926192</v>
      </c>
      <c r="G7" s="449">
        <f>landbouw!G8</f>
        <v>0</v>
      </c>
      <c r="H7" s="449">
        <f>landbouw!H8</f>
        <v>0</v>
      </c>
      <c r="I7" s="449">
        <f>landbouw!I8</f>
        <v>0</v>
      </c>
      <c r="J7" s="449">
        <f>landbouw!J8</f>
        <v>383.10855844886811</v>
      </c>
      <c r="K7" s="449">
        <f>landbouw!K8</f>
        <v>0</v>
      </c>
      <c r="L7" s="449">
        <f>landbouw!L8</f>
        <v>0</v>
      </c>
      <c r="M7" s="449">
        <f>landbouw!M8</f>
        <v>0</v>
      </c>
      <c r="N7" s="449">
        <f>landbouw!N8</f>
        <v>0</v>
      </c>
      <c r="O7" s="449">
        <f>landbouw!O8</f>
        <v>0</v>
      </c>
      <c r="P7" s="450">
        <f>landbouw!P8</f>
        <v>0</v>
      </c>
      <c r="Q7" s="448">
        <f t="shared" si="0"/>
        <v>67973.145196315672</v>
      </c>
    </row>
    <row r="8" spans="1:17">
      <c r="A8" s="448" t="s">
        <v>617</v>
      </c>
      <c r="B8" s="449">
        <f>industrie!B18</f>
        <v>109304.85679543744</v>
      </c>
      <c r="C8" s="449">
        <f>industrie!C18</f>
        <v>900.00000000000023</v>
      </c>
      <c r="D8" s="449">
        <f>industrie!D18</f>
        <v>44914.186787340048</v>
      </c>
      <c r="E8" s="449">
        <f>industrie!E18</f>
        <v>677.30387805281032</v>
      </c>
      <c r="F8" s="449">
        <f>industrie!F18</f>
        <v>18005.944253836908</v>
      </c>
      <c r="G8" s="449">
        <f>industrie!G18</f>
        <v>0</v>
      </c>
      <c r="H8" s="449">
        <f>industrie!H18</f>
        <v>0</v>
      </c>
      <c r="I8" s="449">
        <f>industrie!I18</f>
        <v>0</v>
      </c>
      <c r="J8" s="449">
        <f>industrie!J18</f>
        <v>40.268800515211602</v>
      </c>
      <c r="K8" s="449">
        <f>industrie!K18</f>
        <v>0</v>
      </c>
      <c r="L8" s="449">
        <f>industrie!L18</f>
        <v>0</v>
      </c>
      <c r="M8" s="449">
        <f>industrie!M18</f>
        <v>0</v>
      </c>
      <c r="N8" s="449">
        <f>industrie!N18</f>
        <v>3764.6206759196743</v>
      </c>
      <c r="O8" s="449">
        <f>industrie!O18</f>
        <v>0</v>
      </c>
      <c r="P8" s="450">
        <f>industrie!P18</f>
        <v>0</v>
      </c>
      <c r="Q8" s="448">
        <f t="shared" si="0"/>
        <v>177607.18119110208</v>
      </c>
    </row>
    <row r="9" spans="1:17" s="454" customFormat="1">
      <c r="A9" s="452" t="s">
        <v>543</v>
      </c>
      <c r="B9" s="453">
        <f>transport!B14</f>
        <v>522.75953308248927</v>
      </c>
      <c r="C9" s="453">
        <f>transport!C14</f>
        <v>0</v>
      </c>
      <c r="D9" s="453">
        <f>transport!D14</f>
        <v>862.24647925329646</v>
      </c>
      <c r="E9" s="453">
        <f>transport!E14</f>
        <v>365.55750184905838</v>
      </c>
      <c r="F9" s="453">
        <f>transport!F14</f>
        <v>0</v>
      </c>
      <c r="G9" s="453">
        <f>transport!G14</f>
        <v>169301.64707665241</v>
      </c>
      <c r="H9" s="453">
        <f>transport!H14</f>
        <v>42955.812973491469</v>
      </c>
      <c r="I9" s="453">
        <f>transport!I14</f>
        <v>0</v>
      </c>
      <c r="J9" s="453">
        <f>transport!J14</f>
        <v>0</v>
      </c>
      <c r="K9" s="453">
        <f>transport!K14</f>
        <v>0</v>
      </c>
      <c r="L9" s="453">
        <f>transport!L14</f>
        <v>0</v>
      </c>
      <c r="M9" s="453">
        <f>transport!M14</f>
        <v>12766.197514730202</v>
      </c>
      <c r="N9" s="453">
        <f>transport!N14</f>
        <v>0</v>
      </c>
      <c r="O9" s="453">
        <f>transport!O14</f>
        <v>0</v>
      </c>
      <c r="P9" s="453">
        <f>transport!P14</f>
        <v>0</v>
      </c>
      <c r="Q9" s="452">
        <f>SUM(B9:P9)</f>
        <v>226774.22107905895</v>
      </c>
    </row>
    <row r="10" spans="1:17">
      <c r="A10" s="448" t="s">
        <v>533</v>
      </c>
      <c r="B10" s="449">
        <f>transport!B54</f>
        <v>32.233828333732141</v>
      </c>
      <c r="C10" s="449">
        <f>transport!C54</f>
        <v>0</v>
      </c>
      <c r="D10" s="449">
        <f>transport!D54</f>
        <v>0</v>
      </c>
      <c r="E10" s="449">
        <f>transport!E54</f>
        <v>0</v>
      </c>
      <c r="F10" s="449">
        <f>transport!F54</f>
        <v>0</v>
      </c>
      <c r="G10" s="449">
        <f>transport!G54</f>
        <v>2017.9351033797029</v>
      </c>
      <c r="H10" s="449">
        <f>transport!H54</f>
        <v>0</v>
      </c>
      <c r="I10" s="449">
        <f>transport!I54</f>
        <v>0</v>
      </c>
      <c r="J10" s="449">
        <f>transport!J54</f>
        <v>0</v>
      </c>
      <c r="K10" s="449">
        <f>transport!K54</f>
        <v>0</v>
      </c>
      <c r="L10" s="449">
        <f>transport!L54</f>
        <v>0</v>
      </c>
      <c r="M10" s="449">
        <f>transport!M54</f>
        <v>115.8653654578808</v>
      </c>
      <c r="N10" s="449">
        <f>transport!N54</f>
        <v>0</v>
      </c>
      <c r="O10" s="449">
        <f>transport!O54</f>
        <v>0</v>
      </c>
      <c r="P10" s="450">
        <f>transport!P54</f>
        <v>0</v>
      </c>
      <c r="Q10" s="448">
        <f t="shared" si="0"/>
        <v>2166.0342971713158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1210.40245378707</v>
      </c>
      <c r="C14" s="456"/>
      <c r="D14" s="456">
        <f>'SEAP template'!E25</f>
        <v>6644.4296438667598</v>
      </c>
      <c r="E14" s="456"/>
      <c r="F14" s="456"/>
      <c r="G14" s="456"/>
      <c r="H14" s="456"/>
      <c r="I14" s="456"/>
      <c r="J14" s="456"/>
      <c r="K14" s="456"/>
      <c r="L14" s="456"/>
      <c r="M14" s="456"/>
      <c r="N14" s="456"/>
      <c r="O14" s="456"/>
      <c r="P14" s="457"/>
      <c r="Q14" s="448">
        <f t="shared" si="0"/>
        <v>7854.8320976538298</v>
      </c>
    </row>
    <row r="15" spans="1:17" s="460" customFormat="1">
      <c r="A15" s="458" t="s">
        <v>537</v>
      </c>
      <c r="B15" s="459">
        <f ca="1">SUM(B4:B14)</f>
        <v>221865.95133932633</v>
      </c>
      <c r="C15" s="459">
        <f t="shared" ref="C15:Q15" ca="1" si="1">SUM(C4:C14)</f>
        <v>62182.889961389963</v>
      </c>
      <c r="D15" s="459">
        <f t="shared" ca="1" si="1"/>
        <v>252793.48813215175</v>
      </c>
      <c r="E15" s="459">
        <f t="shared" si="1"/>
        <v>3183.3879194033543</v>
      </c>
      <c r="F15" s="459">
        <f t="shared" ca="1" si="1"/>
        <v>74296.935449486307</v>
      </c>
      <c r="G15" s="459">
        <f t="shared" si="1"/>
        <v>171319.58218003213</v>
      </c>
      <c r="H15" s="459">
        <f t="shared" si="1"/>
        <v>42955.812973491469</v>
      </c>
      <c r="I15" s="459">
        <f t="shared" si="1"/>
        <v>0</v>
      </c>
      <c r="J15" s="459">
        <f t="shared" si="1"/>
        <v>647.92931942411076</v>
      </c>
      <c r="K15" s="459">
        <f t="shared" si="1"/>
        <v>0</v>
      </c>
      <c r="L15" s="459">
        <f t="shared" ca="1" si="1"/>
        <v>0</v>
      </c>
      <c r="M15" s="459">
        <f t="shared" si="1"/>
        <v>12882.062880188083</v>
      </c>
      <c r="N15" s="459">
        <f t="shared" ca="1" si="1"/>
        <v>20014.636465137552</v>
      </c>
      <c r="O15" s="459">
        <f t="shared" si="1"/>
        <v>643.73180740846533</v>
      </c>
      <c r="P15" s="459">
        <f t="shared" si="1"/>
        <v>2662.0865655099187</v>
      </c>
      <c r="Q15" s="459">
        <f t="shared" ca="1" si="1"/>
        <v>865448.49499294942</v>
      </c>
    </row>
    <row r="17" spans="1:17">
      <c r="A17" s="461" t="s">
        <v>538</v>
      </c>
      <c r="B17" s="778">
        <f ca="1">huishoudens!B10</f>
        <v>0.20933450754233074</v>
      </c>
      <c r="C17" s="778">
        <f ca="1">huishoudens!C10</f>
        <v>0.23764447656381077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8919.4911470955194</v>
      </c>
      <c r="C22" s="449">
        <f t="shared" ref="C22:C32" ca="1" si="3">C4*$C$17</f>
        <v>0</v>
      </c>
      <c r="D22" s="449">
        <f t="shared" ref="D22:D32" si="4">D4*$D$17</f>
        <v>26095.5171015821</v>
      </c>
      <c r="E22" s="449">
        <f t="shared" ref="E22:E32" si="5">E4*$E$17</f>
        <v>408.14299578208272</v>
      </c>
      <c r="F22" s="449">
        <f t="shared" ref="F22:F32" si="6">F4*$F$17</f>
        <v>10516.538959109648</v>
      </c>
      <c r="G22" s="449">
        <f t="shared" ref="G22:G32" si="7">G4*$G$17</f>
        <v>0</v>
      </c>
      <c r="H22" s="449">
        <f t="shared" ref="H22:H32" si="8">H4*$H$17</f>
        <v>0</v>
      </c>
      <c r="I22" s="449">
        <f t="shared" ref="I22:I32" si="9">I4*$I$17</f>
        <v>0</v>
      </c>
      <c r="J22" s="449">
        <f t="shared" ref="J22:J32" si="10">J4*$J$17</f>
        <v>79.464257076853471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46019.154460646205</v>
      </c>
    </row>
    <row r="23" spans="1:17">
      <c r="A23" s="448" t="s">
        <v>155</v>
      </c>
      <c r="B23" s="449">
        <f t="shared" ca="1" si="2"/>
        <v>13681.47634723702</v>
      </c>
      <c r="C23" s="449">
        <f t="shared" ca="1" si="3"/>
        <v>2.8934820727566688</v>
      </c>
      <c r="D23" s="449">
        <f t="shared" ca="1" si="4"/>
        <v>14379.753193199616</v>
      </c>
      <c r="E23" s="449">
        <f t="shared" si="5"/>
        <v>67.960418566884627</v>
      </c>
      <c r="F23" s="449">
        <f t="shared" ca="1" si="6"/>
        <v>3239.7099847271143</v>
      </c>
      <c r="G23" s="449">
        <f t="shared" si="7"/>
        <v>0</v>
      </c>
      <c r="H23" s="449">
        <f t="shared" si="8"/>
        <v>0</v>
      </c>
      <c r="I23" s="449">
        <f t="shared" si="9"/>
        <v>0</v>
      </c>
      <c r="J23" s="449">
        <f t="shared" si="10"/>
        <v>2.7136925997495783E-2</v>
      </c>
      <c r="K23" s="449">
        <f t="shared" si="11"/>
        <v>0</v>
      </c>
      <c r="L23" s="449">
        <f t="shared" ca="1" si="12"/>
        <v>0</v>
      </c>
      <c r="M23" s="449">
        <f t="shared" si="13"/>
        <v>0</v>
      </c>
      <c r="N23" s="449">
        <f t="shared" ca="1" si="14"/>
        <v>0</v>
      </c>
      <c r="O23" s="449">
        <f t="shared" si="15"/>
        <v>0</v>
      </c>
      <c r="P23" s="450">
        <f t="shared" si="16"/>
        <v>0</v>
      </c>
      <c r="Q23" s="448">
        <f t="shared" ref="Q23:Q31" ca="1" si="17">SUM(B23:P23)</f>
        <v>31371.820562729386</v>
      </c>
    </row>
    <row r="24" spans="1:17">
      <c r="A24" s="448" t="s">
        <v>193</v>
      </c>
      <c r="B24" s="449">
        <f t="shared" ca="1" si="2"/>
        <v>276.98953636944418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276.98953636944418</v>
      </c>
    </row>
    <row r="25" spans="1:17">
      <c r="A25" s="448" t="s">
        <v>111</v>
      </c>
      <c r="B25" s="449">
        <f t="shared" ca="1" si="2"/>
        <v>315.40600047585991</v>
      </c>
      <c r="C25" s="449">
        <f t="shared" ca="1" si="3"/>
        <v>14560.646825119375</v>
      </c>
      <c r="D25" s="449">
        <f t="shared" si="4"/>
        <v>0</v>
      </c>
      <c r="E25" s="449">
        <f t="shared" si="5"/>
        <v>9.796110117869862</v>
      </c>
      <c r="F25" s="449">
        <f t="shared" si="6"/>
        <v>1273.4457054016293</v>
      </c>
      <c r="G25" s="449">
        <f t="shared" si="7"/>
        <v>0</v>
      </c>
      <c r="H25" s="449">
        <f t="shared" si="8"/>
        <v>0</v>
      </c>
      <c r="I25" s="449">
        <f t="shared" si="9"/>
        <v>0</v>
      </c>
      <c r="J25" s="449">
        <f t="shared" si="10"/>
        <v>135.6204296908993</v>
      </c>
      <c r="K25" s="449">
        <f t="shared" si="11"/>
        <v>0</v>
      </c>
      <c r="L25" s="449">
        <f t="shared" si="12"/>
        <v>0</v>
      </c>
      <c r="M25" s="449">
        <f t="shared" si="13"/>
        <v>0</v>
      </c>
      <c r="N25" s="449">
        <f t="shared" si="14"/>
        <v>0</v>
      </c>
      <c r="O25" s="449">
        <f t="shared" si="15"/>
        <v>0</v>
      </c>
      <c r="P25" s="450">
        <f t="shared" si="16"/>
        <v>0</v>
      </c>
      <c r="Q25" s="448">
        <f t="shared" ca="1" si="17"/>
        <v>16294.915070805633</v>
      </c>
    </row>
    <row r="26" spans="1:17">
      <c r="A26" s="448" t="s">
        <v>617</v>
      </c>
      <c r="B26" s="449">
        <f t="shared" ca="1" si="2"/>
        <v>22881.278369257881</v>
      </c>
      <c r="C26" s="449">
        <f t="shared" ca="1" si="3"/>
        <v>213.88002890742973</v>
      </c>
      <c r="D26" s="449">
        <f t="shared" si="4"/>
        <v>9072.6657310426908</v>
      </c>
      <c r="E26" s="449">
        <f t="shared" si="5"/>
        <v>153.74798031798795</v>
      </c>
      <c r="F26" s="449">
        <f t="shared" si="6"/>
        <v>4807.587115774455</v>
      </c>
      <c r="G26" s="449">
        <f t="shared" si="7"/>
        <v>0</v>
      </c>
      <c r="H26" s="449">
        <f t="shared" si="8"/>
        <v>0</v>
      </c>
      <c r="I26" s="449">
        <f t="shared" si="9"/>
        <v>0</v>
      </c>
      <c r="J26" s="449">
        <f t="shared" si="10"/>
        <v>14.255155382384906</v>
      </c>
      <c r="K26" s="449">
        <f t="shared" si="11"/>
        <v>0</v>
      </c>
      <c r="L26" s="449">
        <f t="shared" si="12"/>
        <v>0</v>
      </c>
      <c r="M26" s="449">
        <f t="shared" si="13"/>
        <v>0</v>
      </c>
      <c r="N26" s="449">
        <f t="shared" si="14"/>
        <v>0</v>
      </c>
      <c r="O26" s="449">
        <f t="shared" si="15"/>
        <v>0</v>
      </c>
      <c r="P26" s="450">
        <f t="shared" si="16"/>
        <v>0</v>
      </c>
      <c r="Q26" s="448">
        <f t="shared" ca="1" si="17"/>
        <v>37143.414380682829</v>
      </c>
    </row>
    <row r="27" spans="1:17" s="454" customFormat="1">
      <c r="A27" s="452" t="s">
        <v>543</v>
      </c>
      <c r="B27" s="772">
        <f t="shared" ca="1" si="2"/>
        <v>109.43160942088164</v>
      </c>
      <c r="C27" s="453">
        <f t="shared" ca="1" si="3"/>
        <v>0</v>
      </c>
      <c r="D27" s="453">
        <f t="shared" si="4"/>
        <v>174.1737888091659</v>
      </c>
      <c r="E27" s="453">
        <f t="shared" si="5"/>
        <v>82.981552919736259</v>
      </c>
      <c r="F27" s="453">
        <f t="shared" si="6"/>
        <v>0</v>
      </c>
      <c r="G27" s="453">
        <f t="shared" si="7"/>
        <v>45203.539769466195</v>
      </c>
      <c r="H27" s="453">
        <f t="shared" si="8"/>
        <v>10695.997430399375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56266.124151015349</v>
      </c>
    </row>
    <row r="28" spans="1:17" ht="16.5" customHeight="1">
      <c r="A28" s="448" t="s">
        <v>533</v>
      </c>
      <c r="B28" s="449">
        <f t="shared" ca="1" si="2"/>
        <v>6.7476525804458456</v>
      </c>
      <c r="C28" s="449">
        <f t="shared" ca="1" si="3"/>
        <v>0</v>
      </c>
      <c r="D28" s="449">
        <f t="shared" si="4"/>
        <v>0</v>
      </c>
      <c r="E28" s="449">
        <f t="shared" si="5"/>
        <v>0</v>
      </c>
      <c r="F28" s="449">
        <f t="shared" si="6"/>
        <v>0</v>
      </c>
      <c r="G28" s="449">
        <f t="shared" si="7"/>
        <v>538.78867260238076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545.53632518282666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253.37900159154503</v>
      </c>
      <c r="C32" s="449">
        <f t="shared" ca="1" si="3"/>
        <v>0</v>
      </c>
      <c r="D32" s="449">
        <f t="shared" si="4"/>
        <v>1342.1747880610856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1595.5537896526307</v>
      </c>
    </row>
    <row r="33" spans="1:17" s="460" customFormat="1">
      <c r="A33" s="458" t="s">
        <v>537</v>
      </c>
      <c r="B33" s="459">
        <f ca="1">SUM(B22:B32)</f>
        <v>46444.199664028594</v>
      </c>
      <c r="C33" s="459">
        <f t="shared" ref="C33:Q33" ca="1" si="19">SUM(C22:C32)</f>
        <v>14777.420336099562</v>
      </c>
      <c r="D33" s="459">
        <f t="shared" ca="1" si="19"/>
        <v>51064.284602694657</v>
      </c>
      <c r="E33" s="459">
        <f t="shared" si="19"/>
        <v>722.62905770456143</v>
      </c>
      <c r="F33" s="459">
        <f t="shared" ca="1" si="19"/>
        <v>19837.281765012849</v>
      </c>
      <c r="G33" s="459">
        <f t="shared" si="19"/>
        <v>45742.328442068574</v>
      </c>
      <c r="H33" s="459">
        <f t="shared" si="19"/>
        <v>10695.997430399375</v>
      </c>
      <c r="I33" s="459">
        <f t="shared" si="19"/>
        <v>0</v>
      </c>
      <c r="J33" s="459">
        <f t="shared" si="19"/>
        <v>229.36697907613518</v>
      </c>
      <c r="K33" s="459">
        <f t="shared" si="19"/>
        <v>0</v>
      </c>
      <c r="L33" s="459">
        <f t="shared" ca="1" si="19"/>
        <v>0</v>
      </c>
      <c r="M33" s="459">
        <f t="shared" si="19"/>
        <v>0</v>
      </c>
      <c r="N33" s="459">
        <f t="shared" ca="1" si="19"/>
        <v>0</v>
      </c>
      <c r="O33" s="459">
        <f t="shared" si="19"/>
        <v>0</v>
      </c>
      <c r="P33" s="459">
        <f t="shared" si="19"/>
        <v>0</v>
      </c>
      <c r="Q33" s="459">
        <f t="shared" ca="1" si="19"/>
        <v>189513.5082770843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14089.485782045656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43528</v>
      </c>
      <c r="D8" s="1016">
        <f>'SEAP template'!D76</f>
        <v>51208.855326086908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10344.188775869556</v>
      </c>
    </row>
    <row r="9" spans="1:16">
      <c r="A9" s="1022" t="s">
        <v>743</v>
      </c>
      <c r="B9" s="1016">
        <f>'SEAP template'!B77</f>
        <v>900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2571.4285714285716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14989.485782045656</v>
      </c>
      <c r="C10" s="1018">
        <f>SUM(C4:C9)</f>
        <v>43528</v>
      </c>
      <c r="D10" s="1018">
        <f t="shared" ref="D10:H10" si="0">SUM(D8:D9)</f>
        <v>51208.855326086908</v>
      </c>
      <c r="E10" s="1018">
        <f t="shared" si="0"/>
        <v>0</v>
      </c>
      <c r="F10" s="1018">
        <f t="shared" si="0"/>
        <v>0</v>
      </c>
      <c r="G10" s="1018">
        <f t="shared" si="0"/>
        <v>0</v>
      </c>
      <c r="H10" s="1018">
        <f t="shared" si="0"/>
        <v>0</v>
      </c>
      <c r="I10" s="1018">
        <f>SUM(I8:I9)</f>
        <v>0</v>
      </c>
      <c r="J10" s="1018">
        <f>SUM(J8:J9)</f>
        <v>2571.4285714285716</v>
      </c>
      <c r="K10" s="1018">
        <f t="shared" ref="K10:L10" si="1">SUM(K8:K9)</f>
        <v>0</v>
      </c>
      <c r="L10" s="1018">
        <f t="shared" si="1"/>
        <v>0</v>
      </c>
      <c r="M10" s="1018">
        <f>SUM(M8:M9)</f>
        <v>0</v>
      </c>
      <c r="N10" s="1018">
        <f>SUM(N8:N9)</f>
        <v>0</v>
      </c>
      <c r="O10" s="1018">
        <f>SUM(O8:O9)</f>
        <v>0</v>
      </c>
      <c r="P10" s="1018">
        <f>SUM(P8:P9)</f>
        <v>10344.188775869556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0.20933450754233074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62182.889961389956</v>
      </c>
      <c r="D17" s="1017">
        <f>'SEAP template'!D87</f>
        <v>73155.546218314659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14777.420336099562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62182.889961389956</v>
      </c>
      <c r="D20" s="1018">
        <f t="shared" ref="D20:H20" si="2">SUM(D17:D19)</f>
        <v>73155.546218314659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14777.420336099562</v>
      </c>
    </row>
    <row r="21" spans="1:16">
      <c r="B21" s="883"/>
    </row>
    <row r="22" spans="1:16">
      <c r="A22" s="461" t="s">
        <v>755</v>
      </c>
      <c r="B22" s="778" t="s">
        <v>753</v>
      </c>
      <c r="C22" s="778">
        <f ca="1">'EF ele_warmte'!B22</f>
        <v>0.23764447656381077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0.20933450754233074</v>
      </c>
      <c r="C17" s="498">
        <f ca="1">'EF ele_warmte'!B22</f>
        <v>0.23764447656381077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0.20933450754233074</v>
      </c>
      <c r="C17" s="498">
        <f ca="1">'EF ele_warmte'!B22</f>
        <v>0.23764447656381077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0.20933450754233074</v>
      </c>
      <c r="C29" s="499">
        <f ca="1">'EF ele_warmte'!B22</f>
        <v>0.23764447656381077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12632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1578.15</v>
      </c>
      <c r="C14" s="326"/>
      <c r="D14" s="326"/>
      <c r="E14" s="326"/>
      <c r="F14" s="326"/>
    </row>
    <row r="15" spans="1:6">
      <c r="A15" s="1312" t="s">
        <v>183</v>
      </c>
      <c r="B15" s="1313">
        <v>2151</v>
      </c>
      <c r="C15" s="326"/>
      <c r="D15" s="326"/>
      <c r="E15" s="326"/>
      <c r="F15" s="326"/>
    </row>
    <row r="16" spans="1:6">
      <c r="A16" s="1312" t="s">
        <v>6</v>
      </c>
      <c r="B16" s="1313">
        <v>666</v>
      </c>
      <c r="C16" s="326"/>
      <c r="D16" s="326"/>
      <c r="E16" s="326"/>
      <c r="F16" s="326"/>
    </row>
    <row r="17" spans="1:6">
      <c r="A17" s="1312" t="s">
        <v>7</v>
      </c>
      <c r="B17" s="1313">
        <v>99</v>
      </c>
      <c r="C17" s="326"/>
      <c r="D17" s="326"/>
      <c r="E17" s="326"/>
      <c r="F17" s="326"/>
    </row>
    <row r="18" spans="1:6">
      <c r="A18" s="1312" t="s">
        <v>8</v>
      </c>
      <c r="B18" s="1313">
        <v>348</v>
      </c>
      <c r="C18" s="326"/>
      <c r="D18" s="326"/>
      <c r="E18" s="326"/>
      <c r="F18" s="326"/>
    </row>
    <row r="19" spans="1:6">
      <c r="A19" s="1312" t="s">
        <v>9</v>
      </c>
      <c r="B19" s="1313">
        <v>315</v>
      </c>
      <c r="C19" s="326"/>
      <c r="D19" s="326"/>
      <c r="E19" s="326"/>
      <c r="F19" s="326"/>
    </row>
    <row r="20" spans="1:6">
      <c r="A20" s="1312" t="s">
        <v>10</v>
      </c>
      <c r="B20" s="1313">
        <v>172</v>
      </c>
      <c r="C20" s="326"/>
      <c r="D20" s="326"/>
      <c r="E20" s="326"/>
      <c r="F20" s="326"/>
    </row>
    <row r="21" spans="1:6">
      <c r="A21" s="1312" t="s">
        <v>11</v>
      </c>
      <c r="B21" s="1313">
        <v>1069</v>
      </c>
      <c r="C21" s="326"/>
      <c r="D21" s="326"/>
      <c r="E21" s="326"/>
      <c r="F21" s="326"/>
    </row>
    <row r="22" spans="1:6">
      <c r="A22" s="1312" t="s">
        <v>12</v>
      </c>
      <c r="B22" s="1313">
        <v>4939</v>
      </c>
      <c r="C22" s="326"/>
      <c r="D22" s="326"/>
      <c r="E22" s="326"/>
      <c r="F22" s="326"/>
    </row>
    <row r="23" spans="1:6">
      <c r="A23" s="1312" t="s">
        <v>13</v>
      </c>
      <c r="B23" s="1313">
        <v>49</v>
      </c>
      <c r="C23" s="326"/>
      <c r="D23" s="326"/>
      <c r="E23" s="326"/>
      <c r="F23" s="326"/>
    </row>
    <row r="24" spans="1:6">
      <c r="A24" s="1312" t="s">
        <v>14</v>
      </c>
      <c r="B24" s="1313">
        <v>2</v>
      </c>
      <c r="C24" s="326"/>
      <c r="D24" s="326"/>
      <c r="E24" s="326"/>
      <c r="F24" s="326"/>
    </row>
    <row r="25" spans="1:6">
      <c r="A25" s="1312" t="s">
        <v>15</v>
      </c>
      <c r="B25" s="1313">
        <v>292</v>
      </c>
      <c r="C25" s="326"/>
      <c r="D25" s="326"/>
      <c r="E25" s="326"/>
      <c r="F25" s="326"/>
    </row>
    <row r="26" spans="1:6">
      <c r="A26" s="1312" t="s">
        <v>16</v>
      </c>
      <c r="B26" s="1313">
        <v>64</v>
      </c>
      <c r="C26" s="326"/>
      <c r="D26" s="326"/>
      <c r="E26" s="326"/>
      <c r="F26" s="326"/>
    </row>
    <row r="27" spans="1:6">
      <c r="A27" s="1312" t="s">
        <v>17</v>
      </c>
      <c r="B27" s="1313">
        <v>1097</v>
      </c>
      <c r="C27" s="326"/>
      <c r="D27" s="326"/>
      <c r="E27" s="326"/>
      <c r="F27" s="326"/>
    </row>
    <row r="28" spans="1:6" s="43" customFormat="1">
      <c r="A28" s="1314" t="s">
        <v>18</v>
      </c>
      <c r="B28" s="1315">
        <v>121142</v>
      </c>
      <c r="C28" s="332"/>
      <c r="D28" s="332"/>
      <c r="E28" s="332"/>
      <c r="F28" s="332"/>
    </row>
    <row r="29" spans="1:6">
      <c r="A29" s="1314" t="s">
        <v>684</v>
      </c>
      <c r="B29" s="1315">
        <v>259</v>
      </c>
      <c r="C29" s="332"/>
      <c r="D29" s="332"/>
      <c r="E29" s="332"/>
      <c r="F29" s="332"/>
    </row>
    <row r="30" spans="1:6">
      <c r="A30" s="1307" t="s">
        <v>685</v>
      </c>
      <c r="B30" s="1316">
        <v>27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6</v>
      </c>
      <c r="F35" s="1313">
        <v>29304.670784459599</v>
      </c>
    </row>
    <row r="36" spans="1:6">
      <c r="A36" s="1312" t="s">
        <v>24</v>
      </c>
      <c r="B36" s="1312" t="s">
        <v>26</v>
      </c>
      <c r="C36" s="1313">
        <v>4</v>
      </c>
      <c r="D36" s="1313">
        <v>617791.91268390405</v>
      </c>
      <c r="E36" s="1313">
        <v>13</v>
      </c>
      <c r="F36" s="1313">
        <v>187053.000674348</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10170</v>
      </c>
      <c r="D39" s="1313">
        <v>143062821.95532</v>
      </c>
      <c r="E39" s="1313">
        <v>12607</v>
      </c>
      <c r="F39" s="1313">
        <v>35433630.312719896</v>
      </c>
    </row>
    <row r="40" spans="1:6">
      <c r="A40" s="1312" t="s">
        <v>29</v>
      </c>
      <c r="B40" s="1312" t="s">
        <v>28</v>
      </c>
      <c r="C40" s="1313">
        <v>0</v>
      </c>
      <c r="D40" s="1313">
        <v>0</v>
      </c>
      <c r="E40" s="1313">
        <v>0</v>
      </c>
      <c r="F40" s="1313">
        <v>0</v>
      </c>
    </row>
    <row r="41" spans="1:6">
      <c r="A41" s="1312" t="s">
        <v>31</v>
      </c>
      <c r="B41" s="1312" t="s">
        <v>32</v>
      </c>
      <c r="C41" s="1313">
        <v>166</v>
      </c>
      <c r="D41" s="1313">
        <v>8791539.6763837095</v>
      </c>
      <c r="E41" s="1313">
        <v>292</v>
      </c>
      <c r="F41" s="1313">
        <v>22970750.458654001</v>
      </c>
    </row>
    <row r="42" spans="1:6">
      <c r="A42" s="1312" t="s">
        <v>31</v>
      </c>
      <c r="B42" s="1312" t="s">
        <v>33</v>
      </c>
      <c r="C42" s="1313">
        <v>0</v>
      </c>
      <c r="D42" s="1313">
        <v>0</v>
      </c>
      <c r="E42" s="1313">
        <v>4</v>
      </c>
      <c r="F42" s="1313">
        <v>1494043.33890073</v>
      </c>
    </row>
    <row r="43" spans="1:6">
      <c r="A43" s="1312" t="s">
        <v>31</v>
      </c>
      <c r="B43" s="1312" t="s">
        <v>34</v>
      </c>
      <c r="C43" s="1313">
        <v>0</v>
      </c>
      <c r="D43" s="1313">
        <v>0</v>
      </c>
      <c r="E43" s="1313">
        <v>0</v>
      </c>
      <c r="F43" s="1313">
        <v>0</v>
      </c>
    </row>
    <row r="44" spans="1:6">
      <c r="A44" s="1312" t="s">
        <v>31</v>
      </c>
      <c r="B44" s="1312" t="s">
        <v>35</v>
      </c>
      <c r="C44" s="1313">
        <v>33</v>
      </c>
      <c r="D44" s="1313">
        <v>8949531.8776060808</v>
      </c>
      <c r="E44" s="1313">
        <v>53</v>
      </c>
      <c r="F44" s="1313">
        <v>33187024.204361498</v>
      </c>
    </row>
    <row r="45" spans="1:6">
      <c r="A45" s="1312" t="s">
        <v>31</v>
      </c>
      <c r="B45" s="1312" t="s">
        <v>36</v>
      </c>
      <c r="C45" s="1313">
        <v>0</v>
      </c>
      <c r="D45" s="1313">
        <v>0</v>
      </c>
      <c r="E45" s="1313">
        <v>4</v>
      </c>
      <c r="F45" s="1313">
        <v>346215.67698945</v>
      </c>
    </row>
    <row r="46" spans="1:6">
      <c r="A46" s="1312" t="s">
        <v>31</v>
      </c>
      <c r="B46" s="1312" t="s">
        <v>37</v>
      </c>
      <c r="C46" s="1313">
        <v>0</v>
      </c>
      <c r="D46" s="1313">
        <v>0</v>
      </c>
      <c r="E46" s="1313">
        <v>0</v>
      </c>
      <c r="F46" s="1313">
        <v>0</v>
      </c>
    </row>
    <row r="47" spans="1:6">
      <c r="A47" s="1312" t="s">
        <v>31</v>
      </c>
      <c r="B47" s="1312" t="s">
        <v>38</v>
      </c>
      <c r="C47" s="1313">
        <v>13</v>
      </c>
      <c r="D47" s="1313">
        <v>1264742.8009319101</v>
      </c>
      <c r="E47" s="1313">
        <v>16</v>
      </c>
      <c r="F47" s="1313">
        <v>2131627.1147979801</v>
      </c>
    </row>
    <row r="48" spans="1:6">
      <c r="A48" s="1312" t="s">
        <v>31</v>
      </c>
      <c r="B48" s="1312" t="s">
        <v>28</v>
      </c>
      <c r="C48" s="1313">
        <v>5</v>
      </c>
      <c r="D48" s="1313">
        <v>86975.169476382594</v>
      </c>
      <c r="E48" s="1313">
        <v>1</v>
      </c>
      <c r="F48" s="1313">
        <v>50291.810762629997</v>
      </c>
    </row>
    <row r="49" spans="1:6">
      <c r="A49" s="1312" t="s">
        <v>31</v>
      </c>
      <c r="B49" s="1312" t="s">
        <v>39</v>
      </c>
      <c r="C49" s="1313">
        <v>0</v>
      </c>
      <c r="D49" s="1313">
        <v>0</v>
      </c>
      <c r="E49" s="1313">
        <v>5</v>
      </c>
      <c r="F49" s="1313">
        <v>35728.601856658002</v>
      </c>
    </row>
    <row r="50" spans="1:6">
      <c r="A50" s="1312" t="s">
        <v>31</v>
      </c>
      <c r="B50" s="1312" t="s">
        <v>40</v>
      </c>
      <c r="C50" s="1313">
        <v>29</v>
      </c>
      <c r="D50" s="1313">
        <v>32639421.757263102</v>
      </c>
      <c r="E50" s="1313">
        <v>41</v>
      </c>
      <c r="F50" s="1313">
        <v>48459175.589114502</v>
      </c>
    </row>
    <row r="51" spans="1:6">
      <c r="A51" s="1312" t="s">
        <v>41</v>
      </c>
      <c r="B51" s="1312" t="s">
        <v>42</v>
      </c>
      <c r="C51" s="1313">
        <v>13</v>
      </c>
      <c r="D51" s="1313">
        <v>98848872.7443773</v>
      </c>
      <c r="E51" s="1313">
        <v>74</v>
      </c>
      <c r="F51" s="1313">
        <v>1506708.1112371299</v>
      </c>
    </row>
    <row r="52" spans="1:6">
      <c r="A52" s="1312" t="s">
        <v>41</v>
      </c>
      <c r="B52" s="1312" t="s">
        <v>28</v>
      </c>
      <c r="C52" s="1313">
        <v>0</v>
      </c>
      <c r="D52" s="1313">
        <v>0</v>
      </c>
      <c r="E52" s="1313">
        <v>0</v>
      </c>
      <c r="F52" s="1313">
        <v>0</v>
      </c>
    </row>
    <row r="53" spans="1:6">
      <c r="A53" s="1312" t="s">
        <v>43</v>
      </c>
      <c r="B53" s="1312" t="s">
        <v>44</v>
      </c>
      <c r="C53" s="1313">
        <v>210</v>
      </c>
      <c r="D53" s="1313">
        <v>6644429.6438667597</v>
      </c>
      <c r="E53" s="1313">
        <v>435</v>
      </c>
      <c r="F53" s="1313">
        <v>1210402.45378707</v>
      </c>
    </row>
    <row r="54" spans="1:6">
      <c r="A54" s="1312" t="s">
        <v>45</v>
      </c>
      <c r="B54" s="1312" t="s">
        <v>46</v>
      </c>
      <c r="C54" s="1313">
        <v>0</v>
      </c>
      <c r="D54" s="1313">
        <v>0</v>
      </c>
      <c r="E54" s="1313">
        <v>1</v>
      </c>
      <c r="F54" s="1313">
        <v>1323191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105</v>
      </c>
      <c r="D57" s="1313">
        <v>10765452.827619599</v>
      </c>
      <c r="E57" s="1313">
        <v>148</v>
      </c>
      <c r="F57" s="1313">
        <v>7579264.2395417197</v>
      </c>
    </row>
    <row r="58" spans="1:6">
      <c r="A58" s="1312" t="s">
        <v>48</v>
      </c>
      <c r="B58" s="1312" t="s">
        <v>50</v>
      </c>
      <c r="C58" s="1313">
        <v>66</v>
      </c>
      <c r="D58" s="1313">
        <v>8814660.0923987906</v>
      </c>
      <c r="E58" s="1313">
        <v>93</v>
      </c>
      <c r="F58" s="1313">
        <v>9033024.3638706598</v>
      </c>
    </row>
    <row r="59" spans="1:6">
      <c r="A59" s="1312" t="s">
        <v>48</v>
      </c>
      <c r="B59" s="1312" t="s">
        <v>51</v>
      </c>
      <c r="C59" s="1313">
        <v>286</v>
      </c>
      <c r="D59" s="1313">
        <v>23633203.032041602</v>
      </c>
      <c r="E59" s="1313">
        <v>472</v>
      </c>
      <c r="F59" s="1313">
        <v>24652966.8735587</v>
      </c>
    </row>
    <row r="60" spans="1:6">
      <c r="A60" s="1312" t="s">
        <v>48</v>
      </c>
      <c r="B60" s="1312" t="s">
        <v>52</v>
      </c>
      <c r="C60" s="1313">
        <v>143</v>
      </c>
      <c r="D60" s="1313">
        <v>7120214.0496314103</v>
      </c>
      <c r="E60" s="1313">
        <v>166</v>
      </c>
      <c r="F60" s="1313">
        <v>4482829.0767174596</v>
      </c>
    </row>
    <row r="61" spans="1:6">
      <c r="A61" s="1312" t="s">
        <v>48</v>
      </c>
      <c r="B61" s="1312" t="s">
        <v>53</v>
      </c>
      <c r="C61" s="1313">
        <v>438</v>
      </c>
      <c r="D61" s="1313">
        <v>22984594.136633199</v>
      </c>
      <c r="E61" s="1313">
        <v>931</v>
      </c>
      <c r="F61" s="1313">
        <v>17028450.979336102</v>
      </c>
    </row>
    <row r="62" spans="1:6">
      <c r="A62" s="1312" t="s">
        <v>48</v>
      </c>
      <c r="B62" s="1312" t="s">
        <v>54</v>
      </c>
      <c r="C62" s="1313">
        <v>28</v>
      </c>
      <c r="D62" s="1313">
        <v>5541089.5593616404</v>
      </c>
      <c r="E62" s="1313">
        <v>27</v>
      </c>
      <c r="F62" s="1313">
        <v>1671968.94685266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153123.71612538499</v>
      </c>
      <c r="E65" s="1313">
        <v>0</v>
      </c>
      <c r="F65" s="1313">
        <v>0</v>
      </c>
    </row>
    <row r="66" spans="1:6">
      <c r="A66" s="1312" t="s">
        <v>55</v>
      </c>
      <c r="B66" s="1312" t="s">
        <v>57</v>
      </c>
      <c r="C66" s="1313">
        <v>0</v>
      </c>
      <c r="D66" s="1313">
        <v>0</v>
      </c>
      <c r="E66" s="1313">
        <v>12</v>
      </c>
      <c r="F66" s="1313">
        <v>401971.14003675798</v>
      </c>
    </row>
    <row r="67" spans="1:6">
      <c r="A67" s="1314" t="s">
        <v>55</v>
      </c>
      <c r="B67" s="1314" t="s">
        <v>58</v>
      </c>
      <c r="C67" s="1313">
        <v>0</v>
      </c>
      <c r="D67" s="1313">
        <v>0</v>
      </c>
      <c r="E67" s="1313">
        <v>0</v>
      </c>
      <c r="F67" s="1313">
        <v>0</v>
      </c>
    </row>
    <row r="68" spans="1:6">
      <c r="A68" s="1307" t="s">
        <v>55</v>
      </c>
      <c r="B68" s="1307" t="s">
        <v>59</v>
      </c>
      <c r="C68" s="1316">
        <v>12</v>
      </c>
      <c r="D68" s="1316">
        <v>650749.12928165402</v>
      </c>
      <c r="E68" s="1316">
        <v>33</v>
      </c>
      <c r="F68" s="1316">
        <v>649983.779852484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116943049</v>
      </c>
      <c r="E73" s="447"/>
      <c r="F73" s="326"/>
    </row>
    <row r="74" spans="1:6">
      <c r="A74" s="1312" t="s">
        <v>63</v>
      </c>
      <c r="B74" s="1312" t="s">
        <v>638</v>
      </c>
      <c r="C74" s="1326" t="s">
        <v>640</v>
      </c>
      <c r="D74" s="1327">
        <v>7918841.4470007131</v>
      </c>
      <c r="E74" s="447"/>
      <c r="F74" s="326"/>
    </row>
    <row r="75" spans="1:6">
      <c r="A75" s="1312" t="s">
        <v>64</v>
      </c>
      <c r="B75" s="1312" t="s">
        <v>637</v>
      </c>
      <c r="C75" s="1326" t="s">
        <v>641</v>
      </c>
      <c r="D75" s="1327">
        <v>31685073</v>
      </c>
      <c r="E75" s="447"/>
      <c r="F75" s="326"/>
    </row>
    <row r="76" spans="1:6">
      <c r="A76" s="1312" t="s">
        <v>64</v>
      </c>
      <c r="B76" s="1312" t="s">
        <v>638</v>
      </c>
      <c r="C76" s="1326" t="s">
        <v>642</v>
      </c>
      <c r="D76" s="1327">
        <v>1536835.4470007136</v>
      </c>
      <c r="E76" s="447"/>
      <c r="F76" s="326"/>
    </row>
    <row r="77" spans="1:6">
      <c r="A77" s="1312" t="s">
        <v>65</v>
      </c>
      <c r="B77" s="1312" t="s">
        <v>637</v>
      </c>
      <c r="C77" s="1326" t="s">
        <v>643</v>
      </c>
      <c r="D77" s="1327">
        <v>93962824</v>
      </c>
      <c r="E77" s="447"/>
      <c r="F77" s="326"/>
    </row>
    <row r="78" spans="1:6">
      <c r="A78" s="1307" t="s">
        <v>65</v>
      </c>
      <c r="B78" s="1307" t="s">
        <v>638</v>
      </c>
      <c r="C78" s="1307" t="s">
        <v>644</v>
      </c>
      <c r="D78" s="1328">
        <v>15367229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601231.10599857301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7175.1648248512765</v>
      </c>
      <c r="C91" s="326"/>
      <c r="D91" s="326"/>
      <c r="E91" s="326"/>
      <c r="F91" s="326"/>
    </row>
    <row r="92" spans="1:6">
      <c r="A92" s="1307" t="s">
        <v>68</v>
      </c>
      <c r="B92" s="1308">
        <v>6914.3209571943808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6292</v>
      </c>
      <c r="C97" s="326"/>
      <c r="D97" s="326"/>
      <c r="E97" s="326"/>
      <c r="F97" s="326"/>
    </row>
    <row r="98" spans="1:6">
      <c r="A98" s="1312" t="s">
        <v>71</v>
      </c>
      <c r="B98" s="1313">
        <v>7</v>
      </c>
      <c r="C98" s="326"/>
      <c r="D98" s="326"/>
      <c r="E98" s="326"/>
      <c r="F98" s="326"/>
    </row>
    <row r="99" spans="1:6">
      <c r="A99" s="1312" t="s">
        <v>72</v>
      </c>
      <c r="B99" s="1313">
        <v>107</v>
      </c>
      <c r="C99" s="326"/>
      <c r="D99" s="326"/>
      <c r="E99" s="326"/>
      <c r="F99" s="326"/>
    </row>
    <row r="100" spans="1:6">
      <c r="A100" s="1312" t="s">
        <v>73</v>
      </c>
      <c r="B100" s="1313">
        <v>383</v>
      </c>
      <c r="C100" s="326"/>
      <c r="D100" s="326"/>
      <c r="E100" s="326"/>
      <c r="F100" s="326"/>
    </row>
    <row r="101" spans="1:6">
      <c r="A101" s="1312" t="s">
        <v>74</v>
      </c>
      <c r="B101" s="1313">
        <v>115</v>
      </c>
      <c r="C101" s="326"/>
      <c r="D101" s="326"/>
      <c r="E101" s="326"/>
      <c r="F101" s="326"/>
    </row>
    <row r="102" spans="1:6">
      <c r="A102" s="1312" t="s">
        <v>75</v>
      </c>
      <c r="B102" s="1313">
        <v>106</v>
      </c>
      <c r="C102" s="326"/>
      <c r="D102" s="326"/>
      <c r="E102" s="326"/>
      <c r="F102" s="326"/>
    </row>
    <row r="103" spans="1:6">
      <c r="A103" s="1312" t="s">
        <v>76</v>
      </c>
      <c r="B103" s="1313">
        <v>207</v>
      </c>
      <c r="C103" s="326"/>
      <c r="D103" s="326"/>
      <c r="E103" s="326"/>
      <c r="F103" s="326"/>
    </row>
    <row r="104" spans="1:6">
      <c r="A104" s="1312" t="s">
        <v>77</v>
      </c>
      <c r="B104" s="1313">
        <v>2932</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92</v>
      </c>
      <c r="C123" s="1313">
        <v>71</v>
      </c>
      <c r="D123" s="326"/>
      <c r="E123" s="326"/>
      <c r="F123" s="326"/>
    </row>
    <row r="124" spans="1:6" s="43" customFormat="1">
      <c r="A124" s="1314" t="s">
        <v>88</v>
      </c>
      <c r="B124" s="1335">
        <v>4</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251</v>
      </c>
      <c r="C129" s="326"/>
      <c r="D129" s="326"/>
      <c r="E129" s="326"/>
      <c r="F129" s="326"/>
    </row>
    <row r="130" spans="1:6">
      <c r="A130" s="1312" t="s">
        <v>290</v>
      </c>
      <c r="B130" s="1313">
        <v>1</v>
      </c>
      <c r="C130" s="326"/>
      <c r="D130" s="326"/>
      <c r="E130" s="326"/>
      <c r="F130" s="326"/>
    </row>
    <row r="131" spans="1:6">
      <c r="A131" s="1312" t="s">
        <v>291</v>
      </c>
      <c r="B131" s="1313">
        <v>20</v>
      </c>
      <c r="C131" s="326"/>
      <c r="D131" s="326"/>
      <c r="E131" s="326"/>
      <c r="F131" s="326"/>
    </row>
    <row r="132" spans="1:6">
      <c r="A132" s="1307" t="s">
        <v>292</v>
      </c>
      <c r="B132" s="1308">
        <v>42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221865.95133932633</v>
      </c>
      <c r="C3" s="43" t="s">
        <v>169</v>
      </c>
      <c r="D3" s="43"/>
      <c r="E3" s="154"/>
      <c r="F3" s="43"/>
      <c r="G3" s="43"/>
      <c r="H3" s="43"/>
      <c r="I3" s="43"/>
      <c r="J3" s="43"/>
      <c r="K3" s="96"/>
    </row>
    <row r="4" spans="1:11">
      <c r="A4" s="354" t="s">
        <v>170</v>
      </c>
      <c r="B4" s="49">
        <f>IF(ISERROR('SEAP template'!B78+'SEAP template'!C78),0,'SEAP template'!B78+'SEAP template'!C78)</f>
        <v>58517.485782045653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10344.188775869556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0.20933450754233074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14777.420336099562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62182.889961389963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0.23764447656381077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1323.191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1323.191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0.20933450754233074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276.98953636944418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35433.630312719899</v>
      </c>
      <c r="C5" s="17">
        <f>IF(ISERROR('Eigen informatie GS &amp; warmtenet'!B59),0,'Eigen informatie GS &amp; warmtenet'!B59)</f>
        <v>0</v>
      </c>
      <c r="D5" s="30">
        <f>(SUM(HH_hh_gas_kWh,HH_rest_gas_kWh)/1000)*0.903</f>
        <v>129185.72822565395</v>
      </c>
      <c r="E5" s="17">
        <f>B32*B41</f>
        <v>1797.9867655598357</v>
      </c>
      <c r="F5" s="17">
        <f>B36*B45</f>
        <v>39387.786363706546</v>
      </c>
      <c r="G5" s="18"/>
      <c r="H5" s="17"/>
      <c r="I5" s="17"/>
      <c r="J5" s="17">
        <f>B35*B44+C35*C44</f>
        <v>224.47530247698722</v>
      </c>
      <c r="K5" s="17"/>
      <c r="L5" s="17"/>
      <c r="M5" s="17"/>
      <c r="N5" s="17">
        <f>B34*B43+C34*C43</f>
        <v>15818.295456553709</v>
      </c>
      <c r="O5" s="17">
        <f>B52*B53*B54</f>
        <v>638.83454664262422</v>
      </c>
      <c r="P5" s="17">
        <f>B60*B61*B62/1000-B60*B61*B62/1000/B63</f>
        <v>1453.6863844605332</v>
      </c>
    </row>
    <row r="6" spans="1:16">
      <c r="A6" s="16" t="s">
        <v>603</v>
      </c>
      <c r="B6" s="780">
        <f>kWh_PV_kleiner_dan_10kW</f>
        <v>7175.1648248512765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42608.795137571178</v>
      </c>
      <c r="C8" s="21">
        <f>C5</f>
        <v>0</v>
      </c>
      <c r="D8" s="21">
        <f>D5</f>
        <v>129185.72822565395</v>
      </c>
      <c r="E8" s="21">
        <f>E5</f>
        <v>1797.9867655598357</v>
      </c>
      <c r="F8" s="21">
        <f>F5</f>
        <v>39387.786363706546</v>
      </c>
      <c r="G8" s="21"/>
      <c r="H8" s="21"/>
      <c r="I8" s="21"/>
      <c r="J8" s="21">
        <f>J5</f>
        <v>224.47530247698722</v>
      </c>
      <c r="K8" s="21"/>
      <c r="L8" s="21">
        <f>L5</f>
        <v>0</v>
      </c>
      <c r="M8" s="21">
        <f>M5</f>
        <v>0</v>
      </c>
      <c r="N8" s="21">
        <f>N5</f>
        <v>15818.295456553709</v>
      </c>
      <c r="O8" s="21">
        <f>O5</f>
        <v>638.83454664262422</v>
      </c>
      <c r="P8" s="21">
        <f>P5</f>
        <v>1453.6863844605332</v>
      </c>
    </row>
    <row r="9" spans="1:16">
      <c r="B9" s="19"/>
      <c r="C9" s="19"/>
      <c r="D9" s="254"/>
      <c r="E9" s="19"/>
      <c r="F9" s="19"/>
      <c r="G9" s="19"/>
      <c r="H9" s="19"/>
      <c r="I9" s="19"/>
      <c r="J9" s="19"/>
      <c r="K9" s="19"/>
      <c r="L9" s="19"/>
      <c r="M9" s="19"/>
      <c r="N9" s="19"/>
      <c r="O9" s="19"/>
      <c r="P9" s="19"/>
    </row>
    <row r="10" spans="1:16">
      <c r="A10" s="24" t="s">
        <v>213</v>
      </c>
      <c r="B10" s="25">
        <f ca="1">'EF ele_warmte'!B12</f>
        <v>0.20933450754233074</v>
      </c>
      <c r="C10" s="25">
        <f ca="1">'EF ele_warmte'!B22</f>
        <v>0.23764447656381077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8919.4911470955194</v>
      </c>
      <c r="C12" s="23">
        <f ca="1">C10*C8</f>
        <v>0</v>
      </c>
      <c r="D12" s="23">
        <f>D8*D10</f>
        <v>26095.5171015821</v>
      </c>
      <c r="E12" s="23">
        <f>E10*E8</f>
        <v>408.14299578208272</v>
      </c>
      <c r="F12" s="23">
        <f>F10*F8</f>
        <v>10516.538959109648</v>
      </c>
      <c r="G12" s="23"/>
      <c r="H12" s="23"/>
      <c r="I12" s="23"/>
      <c r="J12" s="23">
        <f>J10*J8</f>
        <v>79.464257076853471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12632</v>
      </c>
      <c r="C26" s="36"/>
      <c r="D26" s="225"/>
    </row>
    <row r="27" spans="1:5" s="15" customFormat="1">
      <c r="A27" s="227" t="s">
        <v>866</v>
      </c>
      <c r="B27" s="37">
        <f>SUM(HH_hh_gas_aantal,HH_rest_gas_aantal)</f>
        <v>10170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9661.5</v>
      </c>
      <c r="C31" s="34" t="s">
        <v>110</v>
      </c>
      <c r="D31" s="171"/>
    </row>
    <row r="32" spans="1:5">
      <c r="A32" s="168" t="s">
        <v>72</v>
      </c>
      <c r="B32" s="33">
        <f>IF((B21*($B$26-($B$27-0.05*$B$27)-$B$60))&lt;0,0,(B21*($B$26-($B$27-0.05*$B$27)-$B$60)))</f>
        <v>44.966500300570033</v>
      </c>
      <c r="C32" s="34" t="s">
        <v>110</v>
      </c>
      <c r="D32" s="171"/>
    </row>
    <row r="33" spans="1:6">
      <c r="A33" s="168" t="s">
        <v>73</v>
      </c>
      <c r="B33" s="33">
        <f>IF((B22*($B$26-($B$27-0.05*$B$27)-$B$60))&lt;0,0,B22*($B$26-($B$27-0.05*$B$27)-$B$60))</f>
        <v>730.16690774993094</v>
      </c>
      <c r="C33" s="34" t="s">
        <v>110</v>
      </c>
      <c r="D33" s="171"/>
    </row>
    <row r="34" spans="1:6">
      <c r="A34" s="168" t="s">
        <v>74</v>
      </c>
      <c r="B34" s="33">
        <f>IF((B24*($B$26-($B$27-0.05*$B$27)-$B$60))&lt;0,0,B24*($B$26-($B$27-0.05*$B$27)-$B$60))</f>
        <v>139.98276764808875</v>
      </c>
      <c r="C34" s="33">
        <f>B26*C24</f>
        <v>2588.3718316362661</v>
      </c>
      <c r="D34" s="230"/>
    </row>
    <row r="35" spans="1:6">
      <c r="A35" s="168" t="s">
        <v>76</v>
      </c>
      <c r="B35" s="33">
        <f>IF((B19*($B$26-($B$27-0.05*$B$27)-$B$60))&lt;0,0,B19*($B$26-($B$27-0.05*$B$27)-$B$60))</f>
        <v>19.546830477586777</v>
      </c>
      <c r="C35" s="33">
        <f>B35/2</f>
        <v>9.7734152387933886</v>
      </c>
      <c r="D35" s="230"/>
    </row>
    <row r="36" spans="1:6">
      <c r="A36" s="168" t="s">
        <v>77</v>
      </c>
      <c r="B36" s="33">
        <f>IF((B18*($B$26-($B$27-0.05*$B$27)-$B$60))&lt;0,0,B18*($B$26-($B$27-0.05*$B$27)-$B$60))</f>
        <v>1897.8369938238229</v>
      </c>
      <c r="C36" s="34" t="s">
        <v>110</v>
      </c>
      <c r="D36" s="171"/>
    </row>
    <row r="37" spans="1:6">
      <c r="A37" s="168" t="s">
        <v>78</v>
      </c>
      <c r="B37" s="33">
        <f>B60</f>
        <v>138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322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64448.504479877301</v>
      </c>
      <c r="C5" s="17">
        <f>IF(ISERROR('Eigen informatie GS &amp; warmtenet'!B60),0,'Eigen informatie GS &amp; warmtenet'!B60)</f>
        <v>0</v>
      </c>
      <c r="D5" s="30">
        <f>SUM(D6:D12)</f>
        <v>71209.869969010673</v>
      </c>
      <c r="E5" s="17">
        <f>SUM(E6:E12)</f>
        <v>299.385103818875</v>
      </c>
      <c r="F5" s="17">
        <f>SUM(F6:F12)</f>
        <v>12133.745261150239</v>
      </c>
      <c r="G5" s="18"/>
      <c r="H5" s="17"/>
      <c r="I5" s="17"/>
      <c r="J5" s="17">
        <f>SUM(J6:J12)</f>
        <v>7.6657983043773401E-2</v>
      </c>
      <c r="K5" s="17"/>
      <c r="L5" s="17"/>
      <c r="M5" s="17"/>
      <c r="N5" s="17">
        <f>SUM(N6:N12)</f>
        <v>3003.148904092739</v>
      </c>
      <c r="O5" s="17">
        <f>B38*B39*B40</f>
        <v>4.8972607658411542</v>
      </c>
      <c r="P5" s="17">
        <f>B46*B47*B48/1000-B46*B47*B48/1000/B49</f>
        <v>1208.4001810493855</v>
      </c>
      <c r="R5" s="32"/>
    </row>
    <row r="6" spans="1:18">
      <c r="A6" s="32" t="s">
        <v>53</v>
      </c>
      <c r="B6" s="37">
        <f>B26</f>
        <v>17028.450979336103</v>
      </c>
      <c r="C6" s="33"/>
      <c r="D6" s="37">
        <f>IF(ISERROR(TER_kantoor_gas_kWh/1000),0,TER_kantoor_gas_kWh/1000)*0.903</f>
        <v>20755.088505379779</v>
      </c>
      <c r="E6" s="33">
        <f>$C$26*'E Balans VL '!I12/100/3.6*1000000</f>
        <v>4.0573779602711761</v>
      </c>
      <c r="F6" s="33">
        <f>$C$26*('E Balans VL '!L12+'E Balans VL '!N12)/100/3.6*1000000</f>
        <v>1479.0877807975141</v>
      </c>
      <c r="G6" s="34"/>
      <c r="H6" s="33"/>
      <c r="I6" s="33"/>
      <c r="J6" s="33">
        <f>$C$26*('E Balans VL '!D12+'E Balans VL '!E12)/100/3.6*1000000</f>
        <v>0</v>
      </c>
      <c r="K6" s="33"/>
      <c r="L6" s="33"/>
      <c r="M6" s="33"/>
      <c r="N6" s="33">
        <f>$C$26*'E Balans VL '!Y12/100/3.6*1000000</f>
        <v>22.760907017564243</v>
      </c>
      <c r="O6" s="33"/>
      <c r="P6" s="33"/>
      <c r="R6" s="32"/>
    </row>
    <row r="7" spans="1:18">
      <c r="A7" s="32" t="s">
        <v>52</v>
      </c>
      <c r="B7" s="37">
        <f t="shared" ref="B7:B12" si="0">B27</f>
        <v>4482.8290767174594</v>
      </c>
      <c r="C7" s="33"/>
      <c r="D7" s="37">
        <f>IF(ISERROR(TER_horeca_gas_kWh/1000),0,TER_horeca_gas_kWh/1000)*0.903</f>
        <v>6429.553286817164</v>
      </c>
      <c r="E7" s="33">
        <f>$C$27*'E Balans VL '!I9/100/3.6*1000000</f>
        <v>0</v>
      </c>
      <c r="F7" s="33">
        <f>$C$27*('E Balans VL '!L9+'E Balans VL '!N9)/100/3.6*1000000</f>
        <v>365.26944213500138</v>
      </c>
      <c r="G7" s="34"/>
      <c r="H7" s="33"/>
      <c r="I7" s="33"/>
      <c r="J7" s="33">
        <f>$C$27*('E Balans VL '!D9+'E Balans VL '!E9)/100/3.6*1000000</f>
        <v>0</v>
      </c>
      <c r="K7" s="33"/>
      <c r="L7" s="33"/>
      <c r="M7" s="33"/>
      <c r="N7" s="33">
        <f>$C$27*'E Balans VL '!Y9/100/3.6*1000000</f>
        <v>1.2416601958493612</v>
      </c>
      <c r="O7" s="33"/>
      <c r="P7" s="33"/>
      <c r="R7" s="32"/>
    </row>
    <row r="8" spans="1:18">
      <c r="A8" s="6" t="s">
        <v>51</v>
      </c>
      <c r="B8" s="37">
        <f t="shared" si="0"/>
        <v>24652.9668735587</v>
      </c>
      <c r="C8" s="33"/>
      <c r="D8" s="37">
        <f>IF(ISERROR(TER_handel_gas_kWh/1000),0,TER_handel_gas_kWh/1000)*0.903</f>
        <v>21340.782337933568</v>
      </c>
      <c r="E8" s="33">
        <f>$C$28*'E Balans VL '!I13/100/3.6*1000000</f>
        <v>197.06631589976212</v>
      </c>
      <c r="F8" s="33">
        <f>$C$28*('E Balans VL '!L13+'E Balans VL '!N13)/100/3.6*1000000</f>
        <v>2449.1190071045235</v>
      </c>
      <c r="G8" s="34"/>
      <c r="H8" s="33"/>
      <c r="I8" s="33"/>
      <c r="J8" s="33">
        <f>$C$28*('E Balans VL '!D13+'E Balans VL '!E13)/100/3.6*1000000</f>
        <v>0</v>
      </c>
      <c r="K8" s="33"/>
      <c r="L8" s="33"/>
      <c r="M8" s="33"/>
      <c r="N8" s="33">
        <f>$C$28*'E Balans VL '!Y13/100/3.6*1000000</f>
        <v>9.2093505695405771</v>
      </c>
      <c r="O8" s="33"/>
      <c r="P8" s="33"/>
      <c r="R8" s="32"/>
    </row>
    <row r="9" spans="1:18">
      <c r="A9" s="32" t="s">
        <v>50</v>
      </c>
      <c r="B9" s="37">
        <f t="shared" si="0"/>
        <v>9033.0243638706597</v>
      </c>
      <c r="C9" s="33"/>
      <c r="D9" s="37">
        <f>IF(ISERROR(TER_gezond_gas_kWh/1000),0,TER_gezond_gas_kWh/1000)*0.903</f>
        <v>7959.6380634361076</v>
      </c>
      <c r="E9" s="33">
        <f>$C$29*'E Balans VL '!I10/100/3.6*1000000</f>
        <v>0</v>
      </c>
      <c r="F9" s="33">
        <f>$C$29*('E Balans VL '!L10+'E Balans VL '!N10)/100/3.6*1000000</f>
        <v>823.50737019170936</v>
      </c>
      <c r="G9" s="34"/>
      <c r="H9" s="33"/>
      <c r="I9" s="33"/>
      <c r="J9" s="33">
        <f>$C$29*('E Balans VL '!D10+'E Balans VL '!E10)/100/3.6*1000000</f>
        <v>0</v>
      </c>
      <c r="K9" s="33"/>
      <c r="L9" s="33"/>
      <c r="M9" s="33"/>
      <c r="N9" s="33">
        <f>$C$29*'E Balans VL '!Y10/100/3.6*1000000</f>
        <v>66.023313064385476</v>
      </c>
      <c r="O9" s="33"/>
      <c r="P9" s="33"/>
      <c r="R9" s="32"/>
    </row>
    <row r="10" spans="1:18">
      <c r="A10" s="32" t="s">
        <v>49</v>
      </c>
      <c r="B10" s="37">
        <f t="shared" si="0"/>
        <v>7579.2642395417197</v>
      </c>
      <c r="C10" s="33"/>
      <c r="D10" s="37">
        <f>IF(ISERROR(TER_ander_gas_kWh/1000),0,TER_ander_gas_kWh/1000)*0.903</f>
        <v>9721.2039033404981</v>
      </c>
      <c r="E10" s="33">
        <f>$C$30*'E Balans VL '!I14/100/3.6*1000000</f>
        <v>98.261409958841739</v>
      </c>
      <c r="F10" s="33">
        <f>$C$30*('E Balans VL '!L14+'E Balans VL '!N14)/100/3.6*1000000</f>
        <v>6951.2494565642064</v>
      </c>
      <c r="G10" s="34"/>
      <c r="H10" s="33"/>
      <c r="I10" s="33"/>
      <c r="J10" s="33">
        <f>$C$30*('E Balans VL '!D14+'E Balans VL '!E14)/100/3.6*1000000</f>
        <v>7.6657983043773401E-2</v>
      </c>
      <c r="K10" s="33"/>
      <c r="L10" s="33"/>
      <c r="M10" s="33"/>
      <c r="N10" s="33">
        <f>$C$30*'E Balans VL '!Y14/100/3.6*1000000</f>
        <v>2898.6482299336672</v>
      </c>
      <c r="O10" s="33"/>
      <c r="P10" s="33"/>
      <c r="R10" s="32"/>
    </row>
    <row r="11" spans="1:18">
      <c r="A11" s="32" t="s">
        <v>54</v>
      </c>
      <c r="B11" s="37">
        <f t="shared" si="0"/>
        <v>1671.9689468526601</v>
      </c>
      <c r="C11" s="33"/>
      <c r="D11" s="37">
        <f>IF(ISERROR(TER_onderwijs_gas_kWh/1000),0,TER_onderwijs_gas_kWh/1000)*0.903</f>
        <v>5003.6038721035611</v>
      </c>
      <c r="E11" s="33">
        <f>$C$31*'E Balans VL '!I11/100/3.6*1000000</f>
        <v>0</v>
      </c>
      <c r="F11" s="33">
        <f>$C$31*('E Balans VL '!L11+'E Balans VL '!N11)/100/3.6*1000000</f>
        <v>65.51220435728635</v>
      </c>
      <c r="G11" s="34"/>
      <c r="H11" s="33"/>
      <c r="I11" s="33"/>
      <c r="J11" s="33">
        <f>$C$31*('E Balans VL '!D11+'E Balans VL '!E11)/100/3.6*1000000</f>
        <v>0</v>
      </c>
      <c r="K11" s="33"/>
      <c r="L11" s="33"/>
      <c r="M11" s="33"/>
      <c r="N11" s="33">
        <f>$C$31*'E Balans VL '!Y11/100/3.6*1000000</f>
        <v>5.2654433117323709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908.5</v>
      </c>
      <c r="C13" s="243">
        <f ca="1">'lokale energieproductie'!O41+'lokale energieproductie'!O34</f>
        <v>12.175675675675675</v>
      </c>
      <c r="D13" s="304">
        <f ca="1">('lokale energieproductie'!P34+'lokale energieproductie'!P41)*(-1)</f>
        <v>-22.972972972972972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-2571.4285714285716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65357.004479877301</v>
      </c>
      <c r="C16" s="21">
        <f t="shared" ca="1" si="1"/>
        <v>12.175675675675675</v>
      </c>
      <c r="D16" s="21">
        <f t="shared" ca="1" si="1"/>
        <v>71186.8969960377</v>
      </c>
      <c r="E16" s="21">
        <f t="shared" si="1"/>
        <v>299.385103818875</v>
      </c>
      <c r="F16" s="21">
        <f t="shared" ca="1" si="1"/>
        <v>12133.745261150239</v>
      </c>
      <c r="G16" s="21">
        <f t="shared" si="1"/>
        <v>0</v>
      </c>
      <c r="H16" s="21">
        <f t="shared" si="1"/>
        <v>0</v>
      </c>
      <c r="I16" s="21">
        <f t="shared" si="1"/>
        <v>0</v>
      </c>
      <c r="J16" s="21">
        <f t="shared" si="1"/>
        <v>7.6657983043773401E-2</v>
      </c>
      <c r="K16" s="21">
        <f t="shared" si="1"/>
        <v>0</v>
      </c>
      <c r="L16" s="21">
        <f t="shared" ca="1" si="1"/>
        <v>0</v>
      </c>
      <c r="M16" s="21">
        <f t="shared" si="1"/>
        <v>0</v>
      </c>
      <c r="N16" s="21">
        <f t="shared" ca="1" si="1"/>
        <v>431.72033266416747</v>
      </c>
      <c r="O16" s="21">
        <f>O5</f>
        <v>4.8972607658411542</v>
      </c>
      <c r="P16" s="21">
        <f>P5</f>
        <v>1208.4001810493855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0.20933450754233074</v>
      </c>
      <c r="C18" s="25">
        <f ca="1">'EF ele_warmte'!B22</f>
        <v>0.23764447656381077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13681.47634723702</v>
      </c>
      <c r="C20" s="23">
        <f t="shared" ref="C20:P20" ca="1" si="2">C16*C18</f>
        <v>2.8934820727566688</v>
      </c>
      <c r="D20" s="23">
        <f t="shared" ca="1" si="2"/>
        <v>14379.753193199616</v>
      </c>
      <c r="E20" s="23">
        <f t="shared" si="2"/>
        <v>67.960418566884627</v>
      </c>
      <c r="F20" s="23">
        <f t="shared" ca="1" si="2"/>
        <v>3239.7099847271143</v>
      </c>
      <c r="G20" s="23">
        <f t="shared" si="2"/>
        <v>0</v>
      </c>
      <c r="H20" s="23">
        <f t="shared" si="2"/>
        <v>0</v>
      </c>
      <c r="I20" s="23">
        <f t="shared" si="2"/>
        <v>0</v>
      </c>
      <c r="J20" s="23">
        <f t="shared" si="2"/>
        <v>2.7136925997495783E-2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17028.450979336103</v>
      </c>
      <c r="C26" s="39">
        <f>IF(ISERROR(B26*3.6/1000000/'E Balans VL '!Z12*100),0,B26*3.6/1000000/'E Balans VL '!Z12*100)</f>
        <v>0.4885446561329625</v>
      </c>
      <c r="D26" s="233" t="s">
        <v>841</v>
      </c>
      <c r="F26" s="6"/>
    </row>
    <row r="27" spans="1:18" ht="30">
      <c r="A27" s="228" t="s">
        <v>52</v>
      </c>
      <c r="B27" s="33">
        <f>IF(ISERROR(TER_horeca_ele_kWh/1000),0,TER_horeca_ele_kWh/1000)</f>
        <v>4482.8290767174594</v>
      </c>
      <c r="C27" s="39">
        <f>IF(ISERROR(B27*3.6/1000000/'E Balans VL '!Z9*100),0,B27*3.6/1000000/'E Balans VL '!Z9*100)</f>
        <v>0.32841364524122385</v>
      </c>
      <c r="D27" s="233" t="s">
        <v>841</v>
      </c>
      <c r="F27" s="6"/>
    </row>
    <row r="28" spans="1:18" ht="30">
      <c r="A28" s="168" t="s">
        <v>51</v>
      </c>
      <c r="B28" s="33">
        <f>IF(ISERROR(TER_handel_ele_kWh/1000),0,TER_handel_ele_kWh/1000)</f>
        <v>24652.9668735587</v>
      </c>
      <c r="C28" s="39">
        <f>IF(ISERROR(B28*3.6/1000000/'E Balans VL '!Z13*100),0,B28*3.6/1000000/'E Balans VL '!Z13*100)</f>
        <v>0.76179746997082687</v>
      </c>
      <c r="D28" s="233" t="s">
        <v>841</v>
      </c>
      <c r="F28" s="6"/>
    </row>
    <row r="29" spans="1:18" ht="30">
      <c r="A29" s="228" t="s">
        <v>50</v>
      </c>
      <c r="B29" s="33">
        <f>IF(ISERROR(TER_gezond_ele_kWh/1000),0,TER_gezond_ele_kWh/1000)</f>
        <v>9033.0243638706597</v>
      </c>
      <c r="C29" s="39">
        <f>IF(ISERROR(B29*3.6/1000000/'E Balans VL '!Z10*100),0,B29*3.6/1000000/'E Balans VL '!Z10*100)</f>
        <v>0.88529193131964068</v>
      </c>
      <c r="D29" s="233" t="s">
        <v>841</v>
      </c>
      <c r="F29" s="6"/>
    </row>
    <row r="30" spans="1:18" ht="30">
      <c r="A30" s="228" t="s">
        <v>49</v>
      </c>
      <c r="B30" s="33">
        <f>IF(ISERROR(TER_ander_ele_kWh/1000),0,TER_ander_ele_kWh/1000)</f>
        <v>7579.2642395417197</v>
      </c>
      <c r="C30" s="39">
        <f>IF(ISERROR(B30*3.6/1000000/'E Balans VL '!Z14*100),0,B30*3.6/1000000/'E Balans VL '!Z14*100)</f>
        <v>0.31395760973559073</v>
      </c>
      <c r="D30" s="233" t="s">
        <v>841</v>
      </c>
      <c r="F30" s="6"/>
    </row>
    <row r="31" spans="1:18" ht="30">
      <c r="A31" s="228" t="s">
        <v>54</v>
      </c>
      <c r="B31" s="33">
        <f>IF(ISERROR(TER_onderwijs_ele_kWh/1000),0,TER_onderwijs_ele_kWh/1000)</f>
        <v>1671.9689468526601</v>
      </c>
      <c r="C31" s="39">
        <f>IF(ISERROR(B31*3.6/1000000/'E Balans VL '!Z11*100),0,B31*3.6/1000000/'E Balans VL '!Z11*100)</f>
        <v>0.51374522513113663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108674.85679543744</v>
      </c>
      <c r="C5" s="17">
        <f>IF(ISERROR('Eigen informatie GS &amp; warmtenet'!B61),0,'Eigen informatie GS &amp; warmtenet'!B61)</f>
        <v>0</v>
      </c>
      <c r="D5" s="30">
        <f>SUM(D6:D15)</f>
        <v>46714.186787340048</v>
      </c>
      <c r="E5" s="17">
        <f>SUM(E6:E15)</f>
        <v>677.30387805281032</v>
      </c>
      <c r="F5" s="17">
        <f>SUM(F6:F15)</f>
        <v>18005.944253836908</v>
      </c>
      <c r="G5" s="18"/>
      <c r="H5" s="17"/>
      <c r="I5" s="17"/>
      <c r="J5" s="17">
        <f>SUM(J6:J15)</f>
        <v>40.268800515211602</v>
      </c>
      <c r="K5" s="17"/>
      <c r="L5" s="17"/>
      <c r="M5" s="17"/>
      <c r="N5" s="17">
        <f>SUM(N6:N15)</f>
        <v>3764.6206759196743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33187.0242043615</v>
      </c>
      <c r="C8" s="33"/>
      <c r="D8" s="37">
        <f>IF( ISERROR(IND_metaal_Gas_kWH/1000),0,IND_metaal_Gas_kWH/1000)*0.903</f>
        <v>8081.4272854782912</v>
      </c>
      <c r="E8" s="33">
        <f>C30*'E Balans VL '!I18/100/3.6*1000000</f>
        <v>180.9076447023734</v>
      </c>
      <c r="F8" s="33">
        <f>C30*'E Balans VL '!L18/100/3.6*1000000+C30*'E Balans VL '!N18/100/3.6*1000000</f>
        <v>2137.2468936754449</v>
      </c>
      <c r="G8" s="34"/>
      <c r="H8" s="33"/>
      <c r="I8" s="33"/>
      <c r="J8" s="40">
        <f>C30*'E Balans VL '!D18/100/3.6*1000000+C30*'E Balans VL '!E18/100/3.6*1000000</f>
        <v>27.184220923751184</v>
      </c>
      <c r="K8" s="33"/>
      <c r="L8" s="33"/>
      <c r="M8" s="33"/>
      <c r="N8" s="33">
        <f>C30*'E Balans VL '!Y18/100/3.6*1000000</f>
        <v>716.98372805259942</v>
      </c>
      <c r="O8" s="33"/>
      <c r="P8" s="33"/>
      <c r="R8" s="32"/>
    </row>
    <row r="9" spans="1:18">
      <c r="A9" s="6" t="s">
        <v>32</v>
      </c>
      <c r="B9" s="37">
        <f t="shared" si="0"/>
        <v>22970.750458654002</v>
      </c>
      <c r="C9" s="33"/>
      <c r="D9" s="37">
        <f>IF( ISERROR(IND_andere_gas_kWh/1000),0,IND_andere_gas_kWh/1000)*0.903</f>
        <v>7938.7603277744893</v>
      </c>
      <c r="E9" s="33">
        <f>C31*'E Balans VL '!I19/100/3.6*1000000</f>
        <v>74.153494412101637</v>
      </c>
      <c r="F9" s="33">
        <f>C31*'E Balans VL '!L19/100/3.6*1000000+C31*'E Balans VL '!N19/100/3.6*1000000</f>
        <v>14853.067568367613</v>
      </c>
      <c r="G9" s="34"/>
      <c r="H9" s="33"/>
      <c r="I9" s="33"/>
      <c r="J9" s="40">
        <f>C31*'E Balans VL '!D19/100/3.6*1000000+C31*'E Balans VL '!E19/100/3.6*1000000</f>
        <v>0</v>
      </c>
      <c r="K9" s="33"/>
      <c r="L9" s="33"/>
      <c r="M9" s="33"/>
      <c r="N9" s="33">
        <f>C31*'E Balans VL '!Y19/100/3.6*1000000</f>
        <v>928.22149249043912</v>
      </c>
      <c r="O9" s="33"/>
      <c r="P9" s="33"/>
      <c r="R9" s="32"/>
    </row>
    <row r="10" spans="1:18">
      <c r="A10" s="6" t="s">
        <v>40</v>
      </c>
      <c r="B10" s="37">
        <f t="shared" si="0"/>
        <v>48459.1755891145</v>
      </c>
      <c r="C10" s="33"/>
      <c r="D10" s="37">
        <f>IF( ISERROR(IND_voed_gas_kWh/1000),0,IND_voed_gas_kWh/1000)*0.903</f>
        <v>29473.397846808581</v>
      </c>
      <c r="E10" s="33">
        <f>C32*'E Balans VL '!I20/100/3.6*1000000</f>
        <v>101.58230809742864</v>
      </c>
      <c r="F10" s="33">
        <f>C32*'E Balans VL '!L20/100/3.6*1000000+C32*'E Balans VL '!N20/100/3.6*1000000</f>
        <v>944.15220943388192</v>
      </c>
      <c r="G10" s="34"/>
      <c r="H10" s="33"/>
      <c r="I10" s="33"/>
      <c r="J10" s="40">
        <f>C32*'E Balans VL '!D20/100/3.6*1000000+C32*'E Balans VL '!E20/100/3.6*1000000</f>
        <v>0</v>
      </c>
      <c r="K10" s="33"/>
      <c r="L10" s="33"/>
      <c r="M10" s="33"/>
      <c r="N10" s="33">
        <f>C32*'E Balans VL '!Y20/100/3.6*1000000</f>
        <v>1927.5716564103984</v>
      </c>
      <c r="O10" s="33"/>
      <c r="P10" s="33"/>
      <c r="R10" s="32"/>
    </row>
    <row r="11" spans="1:18">
      <c r="A11" s="6" t="s">
        <v>39</v>
      </c>
      <c r="B11" s="37">
        <f t="shared" si="0"/>
        <v>35.728601856658003</v>
      </c>
      <c r="C11" s="33"/>
      <c r="D11" s="37">
        <f>IF( ISERROR(IND_textiel_gas_kWh/1000),0,IND_textiel_gas_kWh/1000)*0.903</f>
        <v>0</v>
      </c>
      <c r="E11" s="33">
        <f>C33*'E Balans VL '!I21/100/3.6*1000000</f>
        <v>3.0700513556693378E-2</v>
      </c>
      <c r="F11" s="33">
        <f>C33*'E Balans VL '!L21/100/3.6*1000000+C33*'E Balans VL '!N21/100/3.6*1000000</f>
        <v>0.74908722000281192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346.21567698945</v>
      </c>
      <c r="C12" s="33"/>
      <c r="D12" s="37">
        <f>IF( ISERROR(IND_min_gas_kWh/1000),0,IND_min_gas_kWh/1000)*0.903</f>
        <v>0</v>
      </c>
      <c r="E12" s="33">
        <f>C34*'E Balans VL '!I22/100/3.6*1000000</f>
        <v>5.6658399412573806</v>
      </c>
      <c r="F12" s="33">
        <f>C34*'E Balans VL '!L22/100/3.6*1000000+C34*'E Balans VL '!N22/100/3.6*1000000</f>
        <v>52.844397281074684</v>
      </c>
      <c r="G12" s="34"/>
      <c r="H12" s="33"/>
      <c r="I12" s="33"/>
      <c r="J12" s="40">
        <f>C34*'E Balans VL '!D22/100/3.6*1000000+C34*'E Balans VL '!E22/100/3.6*1000000</f>
        <v>12.389870053905691</v>
      </c>
      <c r="K12" s="33"/>
      <c r="L12" s="33"/>
      <c r="M12" s="33"/>
      <c r="N12" s="33">
        <f>C34*'E Balans VL '!Y22/100/3.6*1000000</f>
        <v>189.73353902448258</v>
      </c>
      <c r="O12" s="33"/>
      <c r="P12" s="33"/>
      <c r="R12" s="32"/>
    </row>
    <row r="13" spans="1:18">
      <c r="A13" s="6" t="s">
        <v>38</v>
      </c>
      <c r="B13" s="37">
        <f t="shared" si="0"/>
        <v>2131.6271147979801</v>
      </c>
      <c r="C13" s="33"/>
      <c r="D13" s="37">
        <f>IF( ISERROR(IND_papier_gas_kWh/1000),0,IND_papier_gas_kWh/1000)*0.903</f>
        <v>1142.0627492415149</v>
      </c>
      <c r="E13" s="33">
        <f>C35*'E Balans VL '!I23/100/3.6*1000000</f>
        <v>0</v>
      </c>
      <c r="F13" s="33">
        <f>C35*'E Balans VL '!L23/100/3.6*1000000+C35*'E Balans VL '!N23/100/3.6*1000000</f>
        <v>0.28553817233372758</v>
      </c>
      <c r="G13" s="34"/>
      <c r="H13" s="33"/>
      <c r="I13" s="33"/>
      <c r="J13" s="40">
        <f>C35*'E Balans VL '!D23/100/3.6*1000000+C35*'E Balans VL '!E23/100/3.6*1000000</f>
        <v>0.42164925544221782</v>
      </c>
      <c r="K13" s="33"/>
      <c r="L13" s="33"/>
      <c r="M13" s="33"/>
      <c r="N13" s="33">
        <f>C35*'E Balans VL '!Y23/100/3.6*1000000</f>
        <v>0</v>
      </c>
      <c r="O13" s="33"/>
      <c r="P13" s="33"/>
      <c r="R13" s="32"/>
    </row>
    <row r="14" spans="1:18">
      <c r="A14" s="6" t="s">
        <v>33</v>
      </c>
      <c r="B14" s="37">
        <f t="shared" si="0"/>
        <v>1494.0433389007301</v>
      </c>
      <c r="C14" s="33"/>
      <c r="D14" s="37">
        <f>IF( ISERROR(IND_chemie_gas_kWh/1000),0,IND_chemie_gas_kWh/1000)*0.903</f>
        <v>0</v>
      </c>
      <c r="E14" s="33">
        <f>C36*'E Balans VL '!I24/100/3.6*1000000</f>
        <v>312.00308633032819</v>
      </c>
      <c r="F14" s="33">
        <f>C36*'E Balans VL '!L24/100/3.6*1000000+C36*'E Balans VL '!N24/100/3.6*1000000</f>
        <v>9.926366417898274</v>
      </c>
      <c r="G14" s="34"/>
      <c r="H14" s="33"/>
      <c r="I14" s="33"/>
      <c r="J14" s="40">
        <f>C36*'E Balans VL '!D24/100/3.6*1000000+C36*'E Balans VL '!E24/100/3.6*1000000</f>
        <v>0</v>
      </c>
      <c r="K14" s="33"/>
      <c r="L14" s="33"/>
      <c r="M14" s="33"/>
      <c r="N14" s="33">
        <f>C36*'E Balans VL '!Y24/100/3.6*1000000</f>
        <v>0.52135134300136776</v>
      </c>
      <c r="O14" s="33"/>
      <c r="P14" s="33"/>
      <c r="R14" s="32"/>
    </row>
    <row r="15" spans="1:18">
      <c r="A15" s="6" t="s">
        <v>265</v>
      </c>
      <c r="B15" s="37">
        <f t="shared" si="0"/>
        <v>50.29181076263</v>
      </c>
      <c r="C15" s="33"/>
      <c r="D15" s="37">
        <f>IF( ISERROR(IND_rest_gas_kWh/1000),0,IND_rest_gas_kWh/1000)*0.903</f>
        <v>78.53857803717348</v>
      </c>
      <c r="E15" s="33">
        <f>C37*'E Balans VL '!I15/100/3.6*1000000</f>
        <v>2.9608040557644597</v>
      </c>
      <c r="F15" s="33">
        <f>C37*'E Balans VL '!L15/100/3.6*1000000+C37*'E Balans VL '!N15/100/3.6*1000000</f>
        <v>7.6721932686547198</v>
      </c>
      <c r="G15" s="34"/>
      <c r="H15" s="33"/>
      <c r="I15" s="33"/>
      <c r="J15" s="40">
        <f>C37*'E Balans VL '!D15/100/3.6*1000000+C37*'E Balans VL '!E15/100/3.6*1000000</f>
        <v>0.27306028211251088</v>
      </c>
      <c r="K15" s="33"/>
      <c r="L15" s="33"/>
      <c r="M15" s="33"/>
      <c r="N15" s="33">
        <f>C37*'E Balans VL '!Y15/100/3.6*1000000</f>
        <v>1.588908598753807</v>
      </c>
      <c r="O15" s="33"/>
      <c r="P15" s="33"/>
      <c r="R15" s="32"/>
    </row>
    <row r="16" spans="1:18">
      <c r="A16" s="16" t="s">
        <v>473</v>
      </c>
      <c r="B16" s="243">
        <f>'lokale energieproductie'!N40+'lokale energieproductie'!N33</f>
        <v>630.00000000000011</v>
      </c>
      <c r="C16" s="243">
        <f>'lokale energieproductie'!O40+'lokale energieproductie'!O33</f>
        <v>900.00000000000023</v>
      </c>
      <c r="D16" s="304">
        <f>('lokale energieproductie'!P33+'lokale energieproductie'!P40)*(-1)</f>
        <v>-1800.0000000000005</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109304.85679543744</v>
      </c>
      <c r="C18" s="21">
        <f>C5+C16</f>
        <v>900.00000000000023</v>
      </c>
      <c r="D18" s="21">
        <f>MAX((D5+D16),0)</f>
        <v>44914.186787340048</v>
      </c>
      <c r="E18" s="21">
        <f>MAX((E5+E16),0)</f>
        <v>677.30387805281032</v>
      </c>
      <c r="F18" s="21">
        <f>MAX((F5+F16),0)</f>
        <v>18005.944253836908</v>
      </c>
      <c r="G18" s="21"/>
      <c r="H18" s="21"/>
      <c r="I18" s="21"/>
      <c r="J18" s="21">
        <f>MAX((J5+J16),0)</f>
        <v>40.268800515211602</v>
      </c>
      <c r="K18" s="21"/>
      <c r="L18" s="21">
        <f>MAX((L5+L16),0)</f>
        <v>0</v>
      </c>
      <c r="M18" s="21"/>
      <c r="N18" s="21">
        <f>MAX((N5+N16),0)</f>
        <v>3764.6206759196743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0.20933450754233074</v>
      </c>
      <c r="C20" s="25">
        <f ca="1">'EF ele_warmte'!B22</f>
        <v>0.23764447656381077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22881.278369257881</v>
      </c>
      <c r="C22" s="23">
        <f ca="1">C18*C20</f>
        <v>213.88002890742973</v>
      </c>
      <c r="D22" s="23">
        <f>D18*D20</f>
        <v>9072.6657310426908</v>
      </c>
      <c r="E22" s="23">
        <f>E18*E20</f>
        <v>153.74798031798795</v>
      </c>
      <c r="F22" s="23">
        <f>F18*F20</f>
        <v>4807.587115774455</v>
      </c>
      <c r="G22" s="23"/>
      <c r="H22" s="23"/>
      <c r="I22" s="23"/>
      <c r="J22" s="23">
        <f>J18*J20</f>
        <v>14.255155382384906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33187.0242043615</v>
      </c>
      <c r="C30" s="39">
        <f>IF(ISERROR(B30*3.6/1000000/'E Balans VL '!Z18*100),0,B30*3.6/1000000/'E Balans VL '!Z18*100)</f>
        <v>1.9984315974168789</v>
      </c>
      <c r="D30" s="233" t="s">
        <v>841</v>
      </c>
    </row>
    <row r="31" spans="1:18" ht="30">
      <c r="A31" s="6" t="s">
        <v>32</v>
      </c>
      <c r="B31" s="37">
        <f>IF( ISERROR(IND_ander_ele_kWh/1000),0,IND_ander_ele_kWh/1000)</f>
        <v>22970.750458654002</v>
      </c>
      <c r="C31" s="39">
        <f>IF(ISERROR(B31*3.6/1000000/'E Balans VL '!Z19*100),0,B31*3.6/1000000/'E Balans VL '!Z19*100)</f>
        <v>0.93587592861169511</v>
      </c>
      <c r="D31" s="233" t="s">
        <v>841</v>
      </c>
    </row>
    <row r="32" spans="1:18" ht="30">
      <c r="A32" s="168" t="s">
        <v>40</v>
      </c>
      <c r="B32" s="37">
        <f>IF( ISERROR(IND_voed_ele_kWh/1000),0,IND_voed_ele_kWh/1000)</f>
        <v>48459.1755891145</v>
      </c>
      <c r="C32" s="39">
        <f>IF(ISERROR(B32*3.6/1000000/'E Balans VL '!Z20*100),0,B32*3.6/1000000/'E Balans VL '!Z20*100)</f>
        <v>1.4011497805758801</v>
      </c>
      <c r="D32" s="233" t="s">
        <v>841</v>
      </c>
    </row>
    <row r="33" spans="1:5" ht="30">
      <c r="A33" s="168" t="s">
        <v>39</v>
      </c>
      <c r="B33" s="37">
        <f>IF( ISERROR(IND_textiel_ele_kWh/1000),0,IND_textiel_ele_kWh/1000)</f>
        <v>35.728601856658003</v>
      </c>
      <c r="C33" s="39">
        <f>IF(ISERROR(B33*3.6/1000000/'E Balans VL '!Z21*100),0,B33*3.6/1000000/'E Balans VL '!Z21*100)</f>
        <v>5.8756963744867703E-3</v>
      </c>
      <c r="D33" s="233" t="s">
        <v>841</v>
      </c>
    </row>
    <row r="34" spans="1:5" ht="30">
      <c r="A34" s="168" t="s">
        <v>36</v>
      </c>
      <c r="B34" s="37">
        <f>IF( ISERROR(IND_min_ele_kWh/1000),0,IND_min_ele_kWh/1000)</f>
        <v>346.21567698945</v>
      </c>
      <c r="C34" s="39">
        <f>IF(ISERROR(B34*3.6/1000000/'E Balans VL '!Z22*100),0,B34*3.6/1000000/'E Balans VL '!Z22*100)</f>
        <v>0.1478308769523414</v>
      </c>
      <c r="D34" s="233" t="s">
        <v>841</v>
      </c>
    </row>
    <row r="35" spans="1:5" ht="30">
      <c r="A35" s="168" t="s">
        <v>38</v>
      </c>
      <c r="B35" s="37">
        <f>IF( ISERROR(IND_papier_ele_kWh/1000),0,IND_papier_ele_kWh/1000)</f>
        <v>2131.6271147979801</v>
      </c>
      <c r="C35" s="39">
        <f>IF(ISERROR(B35*3.6/1000000/'E Balans VL '!Z22*100),0,B35*3.6/1000000/'E Balans VL '!Z22*100)</f>
        <v>0.91018497040957858</v>
      </c>
      <c r="D35" s="233" t="s">
        <v>841</v>
      </c>
    </row>
    <row r="36" spans="1:5" ht="30">
      <c r="A36" s="168" t="s">
        <v>33</v>
      </c>
      <c r="B36" s="37">
        <f>IF( ISERROR(IND_chemie_ele_kWh/1000),0,IND_chemie_ele_kWh/1000)</f>
        <v>1494.0433389007301</v>
      </c>
      <c r="C36" s="39">
        <f>IF(ISERROR(B36*3.6/1000000/'E Balans VL '!Z24*100),0,B36*3.6/1000000/'E Balans VL '!Z24*100)</f>
        <v>4.5334899391423537E-2</v>
      </c>
      <c r="D36" s="233" t="s">
        <v>841</v>
      </c>
    </row>
    <row r="37" spans="1:5" ht="30">
      <c r="A37" s="168" t="s">
        <v>265</v>
      </c>
      <c r="B37" s="37">
        <f>IF( ISERROR(IND_rest_ele_kWh/1000),0,IND_rest_ele_kWh/1000)</f>
        <v>50.29181076263</v>
      </c>
      <c r="C37" s="39">
        <f>IF(ISERROR(B37*3.6/1000000/'E Balans VL '!Z15*100),0,B37*3.6/1000000/'E Balans VL '!Z15*100)</f>
        <v>4.1293385846351949E-4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1506.70811123713</v>
      </c>
      <c r="C5" s="17">
        <f>'Eigen informatie GS &amp; warmtenet'!B62</f>
        <v>0</v>
      </c>
      <c r="D5" s="30">
        <f>IF(ISERROR(SUM(LB_lb_gas_kWh,LB_rest_gas_kWh)/1000),0,SUM(LB_lb_gas_kWh,LB_rest_gas_kWh)/1000)*0.903</f>
        <v>89260.532088172695</v>
      </c>
      <c r="E5" s="17">
        <f>B17*'E Balans VL '!I25/3.6*1000000/100</f>
        <v>43.154670122774718</v>
      </c>
      <c r="F5" s="17">
        <f>B17*('E Balans VL '!L25/3.6*1000000+'E Balans VL '!N25/3.6*1000000)/100</f>
        <v>4769.4595707926192</v>
      </c>
      <c r="G5" s="18"/>
      <c r="H5" s="17"/>
      <c r="I5" s="17"/>
      <c r="J5" s="17">
        <f>('E Balans VL '!D25+'E Balans VL '!E25)/3.6*1000000*landbouw!B17/100</f>
        <v>383.10855844886811</v>
      </c>
      <c r="K5" s="17"/>
      <c r="L5" s="17">
        <f>L6*(-1)</f>
        <v>0</v>
      </c>
      <c r="M5" s="17"/>
      <c r="N5" s="17">
        <f>N6*(-1)</f>
        <v>0</v>
      </c>
      <c r="O5" s="17"/>
      <c r="P5" s="17"/>
      <c r="R5" s="32"/>
    </row>
    <row r="6" spans="1:18">
      <c r="A6" s="16" t="s">
        <v>473</v>
      </c>
      <c r="B6" s="17" t="s">
        <v>210</v>
      </c>
      <c r="C6" s="17">
        <f>'lokale energieproductie'!O42+'lokale energieproductie'!O35</f>
        <v>61270.71428571429</v>
      </c>
      <c r="D6" s="304">
        <f>('lokale energieproductie'!P35+'lokale energieproductie'!P42)*(-1)</f>
        <v>-122541.42857142858</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1506.70811123713</v>
      </c>
      <c r="C8" s="21">
        <f>C5+C6</f>
        <v>61270.71428571429</v>
      </c>
      <c r="D8" s="21">
        <f>MAX((D5+D6),0)</f>
        <v>0</v>
      </c>
      <c r="E8" s="21">
        <f>MAX((E5+E6),0)</f>
        <v>43.154670122774718</v>
      </c>
      <c r="F8" s="21">
        <f>MAX((F5+F6),0)</f>
        <v>4769.4595707926192</v>
      </c>
      <c r="G8" s="21"/>
      <c r="H8" s="21"/>
      <c r="I8" s="21"/>
      <c r="J8" s="21">
        <f>MAX((J5+J6),0)</f>
        <v>383.10855844886811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0.20933450754233074</v>
      </c>
      <c r="C10" s="31">
        <f ca="1">'EF ele_warmte'!B22</f>
        <v>0.23764447656381077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315.40600047585991</v>
      </c>
      <c r="C12" s="23">
        <f ca="1">C8*C10</f>
        <v>14560.646825119375</v>
      </c>
      <c r="D12" s="23">
        <f>D8*D10</f>
        <v>0</v>
      </c>
      <c r="E12" s="23">
        <f>E8*E10</f>
        <v>9.796110117869862</v>
      </c>
      <c r="F12" s="23">
        <f>F8*F10</f>
        <v>1273.4457054016293</v>
      </c>
      <c r="G12" s="23"/>
      <c r="H12" s="23"/>
      <c r="I12" s="23"/>
      <c r="J12" s="23">
        <f>J8*J10</f>
        <v>135.6204296908993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0.20864489297985414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159.00388304717833</v>
      </c>
      <c r="C26" s="243">
        <f>B26*'GWP N2O_CH4'!B5</f>
        <v>3339.0815439907451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67.005599928427657</v>
      </c>
      <c r="C27" s="243">
        <f>B27*'GWP N2O_CH4'!B5</f>
        <v>1407.1175984969807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3.7844902966450227</v>
      </c>
      <c r="C28" s="243">
        <f>B28*'GWP N2O_CH4'!B4</f>
        <v>1173.191991959957</v>
      </c>
      <c r="D28" s="50"/>
    </row>
    <row r="29" spans="1:4">
      <c r="A29" s="41" t="s">
        <v>272</v>
      </c>
      <c r="B29" s="243">
        <f>B34*'ha_N2O bodem landbouw'!B4</f>
        <v>10.292224752963492</v>
      </c>
      <c r="C29" s="243">
        <f>B29*'GWP N2O_CH4'!B4</f>
        <v>3190.5896734186822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2.338209261068831E-3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1.8819343190969616E-3</v>
      </c>
      <c r="C5" s="434" t="s">
        <v>210</v>
      </c>
      <c r="D5" s="419">
        <f>SUM(D6:D11)</f>
        <v>3.104087325311867E-3</v>
      </c>
      <c r="E5" s="419">
        <f>SUM(E6:E11)</f>
        <v>1.3160070066566103E-3</v>
      </c>
      <c r="F5" s="432" t="s">
        <v>210</v>
      </c>
      <c r="G5" s="419">
        <f>SUM(G6:G11)</f>
        <v>0.60948592947594871</v>
      </c>
      <c r="H5" s="419">
        <f>SUM(H6:H11)</f>
        <v>0.15464092670456928</v>
      </c>
      <c r="I5" s="434" t="s">
        <v>210</v>
      </c>
      <c r="J5" s="434" t="s">
        <v>210</v>
      </c>
      <c r="K5" s="434" t="s">
        <v>210</v>
      </c>
      <c r="L5" s="434" t="s">
        <v>210</v>
      </c>
      <c r="M5" s="419">
        <f>SUM(M6:M11)</f>
        <v>4.5958311053028722E-2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8.2002868105506704E-4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1.3672225591484174E-3</v>
      </c>
      <c r="E6" s="886">
        <f>vkm_GW_PW*SUMIFS(TableVerdeelsleutelVkm[LPG],TableVerdeelsleutelVkm[Voertuigtype],"Lichte voertuigen")*SUMIFS(TableECFTransport[EnergieConsumptieFactor (PJ per km)],TableECFTransport[Index],CONCATENATE($A6,"_LPG_LPG"))</f>
        <v>5.4204813677987025E-4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0.16289908159017819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6.7050987276645602E-2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1.4106758581812505E-2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1.9266405217448776E-6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7.6373244664165035E-2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5.6352399908467821E-7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4.3852225504468966E-3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2.7724231110597955E-4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6.3306984812638628E-4</v>
      </c>
      <c r="E8" s="422">
        <f>vkm_NGW_PW*SUMIFS(TableVerdeelsleutelVkm[LPG],TableVerdeelsleutelVkm[Voertuigtype],"Lichte voertuigen")*SUMIFS(TableECFTransport[EnergieConsumptieFactor (PJ per km)],TableECFTransport[Index],CONCATENATE($A8,"_LPG_LPG"))</f>
        <v>2.4031657359974793E-4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6.6154365971327928E-2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3.0756962127462654E-2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5.9788943695090798E-3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3.7390942441042793E-7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1.9087259730700745E-2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1.32006277376437E-7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1.0959575484369556E-3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7.7862395657057491E-4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1.1037949180370632E-3</v>
      </c>
      <c r="E10" s="422">
        <f>vkm_SW_PW*SUMIFS(TableVerdeelsleutelVkm[LPG],TableVerdeelsleutelVkm[Voertuigtype],"Lichte voertuigen")*SUMIFS(TableECFTransport[EnergieConsumptieFactor (PJ per km)],TableECFTransport[Index],CONCATENATE($A10,"_LPG_LPG"))</f>
        <v>5.3364229627699195E-4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0.14549596441938717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5.6831156189138574E-2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1.2382994367021824E-2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3.7388204191847796E-6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0.13947601310018964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1.125581045966317E-6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8.0084836358014569E-3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522.75953308248927</v>
      </c>
      <c r="C14" s="21"/>
      <c r="D14" s="21">
        <f t="shared" ref="D14:M14" si="0">((D5)*10^9/3600)+D12</f>
        <v>862.24647925329646</v>
      </c>
      <c r="E14" s="21">
        <f t="shared" si="0"/>
        <v>365.55750184905838</v>
      </c>
      <c r="F14" s="21"/>
      <c r="G14" s="21">
        <f t="shared" si="0"/>
        <v>169301.64707665241</v>
      </c>
      <c r="H14" s="21">
        <f t="shared" si="0"/>
        <v>42955.812973491469</v>
      </c>
      <c r="I14" s="21"/>
      <c r="J14" s="21"/>
      <c r="K14" s="21"/>
      <c r="L14" s="21"/>
      <c r="M14" s="21">
        <f t="shared" si="0"/>
        <v>12766.197514730202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0.20933450754233074</v>
      </c>
      <c r="C16" s="56">
        <f ca="1">'EF ele_warmte'!B22</f>
        <v>0.23764447656381077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109.43160942088164</v>
      </c>
      <c r="C18" s="23"/>
      <c r="D18" s="23">
        <f t="shared" ref="D18:M18" si="1">D14*D16</f>
        <v>174.1737888091659</v>
      </c>
      <c r="E18" s="23">
        <f t="shared" si="1"/>
        <v>82.981552919736259</v>
      </c>
      <c r="F18" s="23"/>
      <c r="G18" s="23">
        <f t="shared" si="1"/>
        <v>45203.539769466195</v>
      </c>
      <c r="H18" s="23">
        <f t="shared" si="1"/>
        <v>10695.997430399375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1.160417820014357E-4</v>
      </c>
      <c r="C50" s="315">
        <f t="shared" ref="C50:P50" si="2">SUM(C51:C52)</f>
        <v>0</v>
      </c>
      <c r="D50" s="315">
        <f t="shared" si="2"/>
        <v>0</v>
      </c>
      <c r="E50" s="315">
        <f t="shared" si="2"/>
        <v>0</v>
      </c>
      <c r="F50" s="315">
        <f t="shared" si="2"/>
        <v>0</v>
      </c>
      <c r="G50" s="315">
        <f t="shared" si="2"/>
        <v>7.264566372166931E-3</v>
      </c>
      <c r="H50" s="315">
        <f t="shared" si="2"/>
        <v>0</v>
      </c>
      <c r="I50" s="315">
        <f t="shared" si="2"/>
        <v>0</v>
      </c>
      <c r="J50" s="315">
        <f t="shared" si="2"/>
        <v>0</v>
      </c>
      <c r="K50" s="315">
        <f t="shared" si="2"/>
        <v>0</v>
      </c>
      <c r="L50" s="315">
        <f t="shared" si="2"/>
        <v>0</v>
      </c>
      <c r="M50" s="315">
        <f t="shared" si="2"/>
        <v>4.1711531564837091E-4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1.160417820014357E-4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7.264566372166931E-3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4.1711531564837091E-4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32.233828333732141</v>
      </c>
      <c r="C54" s="21">
        <f t="shared" ref="C54:P54" si="3">(C50)*10^9/3600</f>
        <v>0</v>
      </c>
      <c r="D54" s="21">
        <f t="shared" si="3"/>
        <v>0</v>
      </c>
      <c r="E54" s="21">
        <f t="shared" si="3"/>
        <v>0</v>
      </c>
      <c r="F54" s="21">
        <f t="shared" si="3"/>
        <v>0</v>
      </c>
      <c r="G54" s="21">
        <f t="shared" si="3"/>
        <v>2017.9351033797029</v>
      </c>
      <c r="H54" s="21">
        <f t="shared" si="3"/>
        <v>0</v>
      </c>
      <c r="I54" s="21">
        <f t="shared" si="3"/>
        <v>0</v>
      </c>
      <c r="J54" s="21">
        <f t="shared" si="3"/>
        <v>0</v>
      </c>
      <c r="K54" s="21">
        <f t="shared" si="3"/>
        <v>0</v>
      </c>
      <c r="L54" s="21">
        <f t="shared" si="3"/>
        <v>0</v>
      </c>
      <c r="M54" s="21">
        <f t="shared" si="3"/>
        <v>115.8653654578808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0.20933450754233074</v>
      </c>
      <c r="C56" s="56">
        <f ca="1">'EF ele_warmte'!B22</f>
        <v>0.23764447656381077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6.7476525804458456</v>
      </c>
      <c r="C58" s="23">
        <f t="shared" ref="C58:P58" ca="1" si="4">C54*C56</f>
        <v>0</v>
      </c>
      <c r="D58" s="23">
        <f t="shared" si="4"/>
        <v>0</v>
      </c>
      <c r="E58" s="23">
        <f t="shared" si="4"/>
        <v>0</v>
      </c>
      <c r="F58" s="23">
        <f t="shared" si="4"/>
        <v>0</v>
      </c>
      <c r="G58" s="23">
        <f t="shared" si="4"/>
        <v>538.78867260238076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14089.485782045656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43528</v>
      </c>
      <c r="C8" s="545">
        <f>B51</f>
        <v>51208.855326086908</v>
      </c>
      <c r="D8" s="546"/>
      <c r="E8" s="546">
        <f>E51</f>
        <v>0</v>
      </c>
      <c r="F8" s="547"/>
      <c r="G8" s="548"/>
      <c r="H8" s="546">
        <f>I51</f>
        <v>0</v>
      </c>
      <c r="I8" s="546">
        <f>G51+F51</f>
        <v>0</v>
      </c>
      <c r="J8" s="546">
        <f>H51+D51+C51</f>
        <v>0</v>
      </c>
      <c r="K8" s="546"/>
      <c r="L8" s="546"/>
      <c r="M8" s="546"/>
      <c r="N8" s="549"/>
      <c r="O8" s="550">
        <f>C8*$C$12+D8*$D$12+E8*$E$12+F8*$F$12+G8*$G$12+H8*$H$12+I8*$I$12+J8*$J$12</f>
        <v>10344.188775869556</v>
      </c>
      <c r="P8" s="1285"/>
      <c r="Q8" s="1286"/>
      <c r="S8" s="540"/>
      <c r="T8" s="1282"/>
      <c r="U8" s="1282"/>
    </row>
    <row r="9" spans="1:21" s="531" customFormat="1" ht="17.45" customHeight="1" thickBot="1">
      <c r="A9" s="551" t="s">
        <v>243</v>
      </c>
      <c r="B9" s="552">
        <f>N39+'Eigen informatie GS &amp; warmtenet'!B12</f>
        <v>900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58517.485782045653</v>
      </c>
      <c r="C10" s="560">
        <f t="shared" ref="C10:L10" si="0">SUM(C8:C9)</f>
        <v>51208.855326086908</v>
      </c>
      <c r="D10" s="560">
        <f t="shared" si="0"/>
        <v>0</v>
      </c>
      <c r="E10" s="560">
        <f t="shared" si="0"/>
        <v>0</v>
      </c>
      <c r="F10" s="560">
        <f t="shared" si="0"/>
        <v>0</v>
      </c>
      <c r="G10" s="560">
        <f t="shared" si="0"/>
        <v>0</v>
      </c>
      <c r="H10" s="560">
        <f t="shared" si="0"/>
        <v>0</v>
      </c>
      <c r="I10" s="560">
        <f t="shared" si="0"/>
        <v>0</v>
      </c>
      <c r="J10" s="560">
        <f t="shared" si="0"/>
        <v>2571.4285714285716</v>
      </c>
      <c r="K10" s="560">
        <f t="shared" si="0"/>
        <v>0</v>
      </c>
      <c r="L10" s="560">
        <f t="shared" si="0"/>
        <v>0</v>
      </c>
      <c r="M10" s="961"/>
      <c r="N10" s="961"/>
      <c r="O10" s="561">
        <f>SUM(O4:O9)</f>
        <v>10344.188775869556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62182.889961389956</v>
      </c>
      <c r="C17" s="576">
        <f>B52</f>
        <v>73155.546218314659</v>
      </c>
      <c r="D17" s="577"/>
      <c r="E17" s="577">
        <f>E52</f>
        <v>0</v>
      </c>
      <c r="F17" s="578"/>
      <c r="G17" s="579"/>
      <c r="H17" s="576">
        <f>I52</f>
        <v>0</v>
      </c>
      <c r="I17" s="577">
        <f>G52+F52</f>
        <v>0</v>
      </c>
      <c r="J17" s="577">
        <f>H52+D52+C52</f>
        <v>0</v>
      </c>
      <c r="K17" s="577"/>
      <c r="L17" s="577"/>
      <c r="M17" s="577"/>
      <c r="N17" s="962"/>
      <c r="O17" s="580">
        <f>C17*$C$22+E17*$E$22+H17*$H$22+I17*$I$22+J17*$J$22+D17*$D$22+F17*$F$22+G17*$G$22+K17*$K$22+L17*$L$22</f>
        <v>14777.420336099562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62182.889961389956</v>
      </c>
      <c r="C20" s="559">
        <f>SUM(C17:C19)</f>
        <v>73155.546218314659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14777.420336099562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13011</v>
      </c>
      <c r="C28" s="787">
        <v>2200</v>
      </c>
      <c r="D28" s="637" t="s">
        <v>874</v>
      </c>
      <c r="E28" s="636" t="s">
        <v>875</v>
      </c>
      <c r="F28" s="636" t="s">
        <v>876</v>
      </c>
      <c r="G28" s="636" t="s">
        <v>877</v>
      </c>
      <c r="H28" s="636" t="s">
        <v>878</v>
      </c>
      <c r="I28" s="636" t="s">
        <v>875</v>
      </c>
      <c r="J28" s="786">
        <v>41323</v>
      </c>
      <c r="K28" s="786">
        <v>39511</v>
      </c>
      <c r="L28" s="636" t="s">
        <v>879</v>
      </c>
      <c r="M28" s="636">
        <v>5041</v>
      </c>
      <c r="N28" s="636">
        <v>22684.5</v>
      </c>
      <c r="O28" s="636">
        <v>32406.428571428572</v>
      </c>
      <c r="P28" s="636">
        <v>64812.857142857145</v>
      </c>
      <c r="Q28" s="636">
        <v>0</v>
      </c>
      <c r="R28" s="636">
        <v>0</v>
      </c>
      <c r="S28" s="636">
        <v>0</v>
      </c>
      <c r="T28" s="636">
        <v>0</v>
      </c>
      <c r="U28" s="636">
        <v>0</v>
      </c>
      <c r="V28" s="636">
        <v>0</v>
      </c>
      <c r="W28" s="636">
        <v>0</v>
      </c>
      <c r="X28" s="636">
        <v>10</v>
      </c>
      <c r="Y28" s="636" t="s">
        <v>111</v>
      </c>
      <c r="Z28" s="638" t="s">
        <v>111</v>
      </c>
    </row>
    <row r="29" spans="1:26" s="590" customFormat="1" ht="38.25">
      <c r="A29" s="589"/>
      <c r="B29" s="787">
        <v>13011</v>
      </c>
      <c r="C29" s="787">
        <v>2200</v>
      </c>
      <c r="D29" s="637" t="s">
        <v>880</v>
      </c>
      <c r="E29" s="636" t="s">
        <v>881</v>
      </c>
      <c r="F29" s="636" t="s">
        <v>882</v>
      </c>
      <c r="G29" s="636" t="s">
        <v>877</v>
      </c>
      <c r="H29" s="636" t="s">
        <v>878</v>
      </c>
      <c r="I29" s="636" t="s">
        <v>881</v>
      </c>
      <c r="J29" s="786">
        <v>41326</v>
      </c>
      <c r="K29" s="786">
        <v>41395</v>
      </c>
      <c r="L29" s="636" t="s">
        <v>879</v>
      </c>
      <c r="M29" s="636">
        <v>140</v>
      </c>
      <c r="N29" s="636">
        <v>630.00000000000011</v>
      </c>
      <c r="O29" s="636">
        <v>900.00000000000023</v>
      </c>
      <c r="P29" s="636">
        <v>1800.0000000000005</v>
      </c>
      <c r="Q29" s="636">
        <v>0</v>
      </c>
      <c r="R29" s="636">
        <v>0</v>
      </c>
      <c r="S29" s="636">
        <v>0</v>
      </c>
      <c r="T29" s="636">
        <v>0</v>
      </c>
      <c r="U29" s="636">
        <v>0</v>
      </c>
      <c r="V29" s="636">
        <v>0</v>
      </c>
      <c r="W29" s="636">
        <v>0</v>
      </c>
      <c r="X29" s="636">
        <v>800</v>
      </c>
      <c r="Y29" s="636" t="s">
        <v>35</v>
      </c>
      <c r="Z29" s="638" t="s">
        <v>379</v>
      </c>
    </row>
    <row r="30" spans="1:26" s="590" customFormat="1" ht="12.75">
      <c r="A30" s="589"/>
      <c r="B30" s="787">
        <v>13011</v>
      </c>
      <c r="C30" s="787">
        <v>2200</v>
      </c>
      <c r="D30" s="637" t="s">
        <v>883</v>
      </c>
      <c r="E30" s="636"/>
      <c r="F30" s="636" t="s">
        <v>884</v>
      </c>
      <c r="G30" s="636" t="s">
        <v>885</v>
      </c>
      <c r="H30" s="636" t="s">
        <v>885</v>
      </c>
      <c r="I30" s="636" t="s">
        <v>886</v>
      </c>
      <c r="J30" s="786">
        <v>43021</v>
      </c>
      <c r="K30" s="786">
        <v>43021</v>
      </c>
      <c r="L30" s="636" t="s">
        <v>887</v>
      </c>
      <c r="M30" s="636">
        <v>1.7</v>
      </c>
      <c r="N30" s="636">
        <v>8.5</v>
      </c>
      <c r="O30" s="636">
        <v>12.175675675675675</v>
      </c>
      <c r="P30" s="636">
        <v>22.972972972972972</v>
      </c>
      <c r="Q30" s="636">
        <v>0</v>
      </c>
      <c r="R30" s="636">
        <v>0</v>
      </c>
      <c r="S30" s="636">
        <v>0</v>
      </c>
      <c r="T30" s="636">
        <v>0</v>
      </c>
      <c r="U30" s="636">
        <v>0</v>
      </c>
      <c r="V30" s="636">
        <v>0</v>
      </c>
      <c r="W30" s="636">
        <v>0</v>
      </c>
      <c r="X30" s="636">
        <v>1200</v>
      </c>
      <c r="Y30" s="636" t="s">
        <v>52</v>
      </c>
      <c r="Z30" s="638" t="s">
        <v>155</v>
      </c>
    </row>
    <row r="31" spans="1:26" s="590" customFormat="1" ht="25.5">
      <c r="A31" s="589"/>
      <c r="B31" s="787">
        <v>13011</v>
      </c>
      <c r="C31" s="787">
        <v>2200</v>
      </c>
      <c r="D31" s="637" t="s">
        <v>888</v>
      </c>
      <c r="E31" s="636" t="s">
        <v>889</v>
      </c>
      <c r="F31" s="636" t="s">
        <v>890</v>
      </c>
      <c r="G31" s="636" t="s">
        <v>891</v>
      </c>
      <c r="H31" s="636" t="s">
        <v>878</v>
      </c>
      <c r="I31" s="636" t="s">
        <v>892</v>
      </c>
      <c r="J31" s="786">
        <v>43433</v>
      </c>
      <c r="K31" s="786">
        <v>43433</v>
      </c>
      <c r="L31" s="636" t="s">
        <v>887</v>
      </c>
      <c r="M31" s="636">
        <v>4490</v>
      </c>
      <c r="N31" s="636">
        <v>20205</v>
      </c>
      <c r="O31" s="636">
        <v>28864.285714285714</v>
      </c>
      <c r="P31" s="636">
        <v>57728.571428571435</v>
      </c>
      <c r="Q31" s="636">
        <v>0</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9672.7000000000007</v>
      </c>
      <c r="N32" s="594">
        <f>SUM(N28:N31)</f>
        <v>43528</v>
      </c>
      <c r="O32" s="594">
        <f>SUM(O28:O31)</f>
        <v>62182.889961389956</v>
      </c>
      <c r="P32" s="594">
        <f>SUM(P28:P31)</f>
        <v>124364.40154440155</v>
      </c>
      <c r="Q32" s="594">
        <f>SUM(Q28:Q31)</f>
        <v>0</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140</v>
      </c>
      <c r="N33" s="594">
        <f>SUMIF($Z$28:$Z$31,"industrie",N28:N31)</f>
        <v>630.00000000000011</v>
      </c>
      <c r="O33" s="594">
        <f>SUMIF($Z$28:$Z$31,"industrie",O28:O31)</f>
        <v>900.00000000000023</v>
      </c>
      <c r="P33" s="594">
        <f>SUMIF($Z$28:$Z$31,"industrie",P28:P31)</f>
        <v>1800.0000000000005</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1.7</v>
      </c>
      <c r="N34" s="594">
        <f ca="1">SUMIF($Z$28:AD31,"tertiair",N28:N31)</f>
        <v>8.5</v>
      </c>
      <c r="O34" s="594">
        <f ca="1">SUMIF($Z$28:AE31,"tertiair",O28:O31)</f>
        <v>12.175675675675675</v>
      </c>
      <c r="P34" s="594">
        <f ca="1">SUMIF($Z$28:AF31,"tertiair",P28:P31)</f>
        <v>22.972972972972972</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9531</v>
      </c>
      <c r="N35" s="599">
        <f>SUMIF($Z$28:$Z$31,"landbouw",N28:N31)</f>
        <v>42889.5</v>
      </c>
      <c r="O35" s="599">
        <f>SUMIF($Z$28:$Z$31,"landbouw",O28:O31)</f>
        <v>61270.71428571429</v>
      </c>
      <c r="P35" s="599">
        <f>SUMIF($Z$28:$Z$31,"landbouw",P28:P31)</f>
        <v>122541.42857142858</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63.75">
      <c r="A38" s="591"/>
      <c r="B38" s="787">
        <v>13011</v>
      </c>
      <c r="C38" s="787">
        <v>2200</v>
      </c>
      <c r="D38" s="639" t="s">
        <v>893</v>
      </c>
      <c r="E38" s="639" t="s">
        <v>894</v>
      </c>
      <c r="F38" s="639" t="s">
        <v>895</v>
      </c>
      <c r="G38" s="639" t="s">
        <v>896</v>
      </c>
      <c r="H38" s="639" t="s">
        <v>897</v>
      </c>
      <c r="I38" s="639" t="s">
        <v>898</v>
      </c>
      <c r="J38" s="786">
        <v>39217</v>
      </c>
      <c r="K38" s="786">
        <v>39227</v>
      </c>
      <c r="L38" s="639" t="s">
        <v>899</v>
      </c>
      <c r="M38" s="639">
        <v>200</v>
      </c>
      <c r="N38" s="639">
        <v>900</v>
      </c>
      <c r="O38" s="639">
        <v>0</v>
      </c>
      <c r="P38" s="639">
        <v>0</v>
      </c>
      <c r="Q38" s="639">
        <v>2571.4285714285716</v>
      </c>
      <c r="R38" s="639">
        <v>0</v>
      </c>
      <c r="S38" s="639">
        <v>0</v>
      </c>
      <c r="T38" s="639">
        <v>0</v>
      </c>
      <c r="U38" s="639">
        <v>0</v>
      </c>
      <c r="V38" s="639">
        <v>0</v>
      </c>
      <c r="W38" s="639">
        <v>0</v>
      </c>
      <c r="X38" s="639">
        <v>1600</v>
      </c>
      <c r="Y38" s="639" t="s">
        <v>49</v>
      </c>
      <c r="Z38" s="640" t="s">
        <v>155</v>
      </c>
    </row>
    <row r="39" spans="1:27" s="570" customFormat="1">
      <c r="A39" s="592" t="s">
        <v>275</v>
      </c>
      <c r="B39" s="593"/>
      <c r="C39" s="593"/>
      <c r="D39" s="593"/>
      <c r="E39" s="593"/>
      <c r="F39" s="593"/>
      <c r="G39" s="593"/>
      <c r="H39" s="593"/>
      <c r="I39" s="593"/>
      <c r="J39" s="593"/>
      <c r="K39" s="593"/>
      <c r="L39" s="594"/>
      <c r="M39" s="594">
        <f>SUM(M38:M38)</f>
        <v>200</v>
      </c>
      <c r="N39" s="594">
        <f>SUM(N38:N38)</f>
        <v>900</v>
      </c>
      <c r="O39" s="594">
        <f>SUM(O38:O38)</f>
        <v>0</v>
      </c>
      <c r="P39" s="594">
        <f>SUM(P38:P38)</f>
        <v>0</v>
      </c>
      <c r="Q39" s="594">
        <f>SUM(Q38:Q38)</f>
        <v>2571.4285714285716</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200</v>
      </c>
      <c r="N41" s="594">
        <f>SUMIF($Z$38:$Z$39,"tertiair",N38:N39)</f>
        <v>900</v>
      </c>
      <c r="O41" s="594">
        <f>SUMIF($Z$38:$Z$39,"tertiair",O38:O39)</f>
        <v>0</v>
      </c>
      <c r="P41" s="594">
        <f>SUMIF($Z$38:$Z$39,"tertiair",P38:P39)</f>
        <v>0</v>
      </c>
      <c r="Q41" s="594">
        <f>SUMIF($Z$38:$Z$39,"tertiair",Q38:Q39)</f>
        <v>2571.4285714285716</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0.58823542195228662</v>
      </c>
      <c r="C48" s="619">
        <f>IF(ISERROR(N32/(O32+N32)),0,N32/(N32+O32))</f>
        <v>0.41176457804771344</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51208.855326086908</v>
      </c>
      <c r="C51" s="628">
        <f t="shared" si="2"/>
        <v>0</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73155.546218314659</v>
      </c>
      <c r="C52" s="631">
        <f t="shared" si="3"/>
        <v>0</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2021-06-29T14:13:01Z</dcterms:modified>
</cp:coreProperties>
</file>