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F6" i="17" s="1"/>
  <c r="R36" i="18"/>
  <c r="Q36" i="18"/>
  <c r="P36" i="18"/>
  <c r="D6" i="17" s="1"/>
  <c r="O36" i="18"/>
  <c r="N36" i="18"/>
  <c r="M36" i="18"/>
  <c r="W35" i="18"/>
  <c r="V35" i="18"/>
  <c r="U35" i="18"/>
  <c r="T35" i="18"/>
  <c r="S35" i="18"/>
  <c r="R35" i="18"/>
  <c r="Q35" i="18"/>
  <c r="P35" i="18"/>
  <c r="O35" i="18"/>
  <c r="C13" i="15" s="1"/>
  <c r="N35" i="18"/>
  <c r="B13" i="15" s="1"/>
  <c r="M35" i="18"/>
  <c r="W34" i="18"/>
  <c r="V34" i="18"/>
  <c r="U34" i="18"/>
  <c r="T34" i="18"/>
  <c r="S34" i="18"/>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F16" i="16"/>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17" i="19"/>
  <c r="C19" i="19" s="1"/>
  <c r="D39" i="14" s="1"/>
  <c r="C20" i="16"/>
  <c r="C22" i="16" s="1"/>
  <c r="D43" i="14" s="1"/>
  <c r="C10" i="17"/>
  <c r="C12" i="17" s="1"/>
  <c r="D54" i="14" s="1"/>
  <c r="D56" i="14" s="1"/>
  <c r="C17" i="49"/>
  <c r="C18" i="15"/>
  <c r="C20" i="15" s="1"/>
  <c r="D40" i="14" s="1"/>
  <c r="C22" i="59"/>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<sst xmlns="http://schemas.openxmlformats.org/spreadsheetml/2006/main" count="2472" uniqueCount="897">
  <si>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</si>
  <si>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</si>
  <si>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</si>
  <si>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</si>
  <si>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</si>
  <si>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</si>
  <si>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</si>
  <si>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</si>
  <si>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</si>
  <si>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</si>
  <si>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</si>
  <si>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</si>
  <si>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</si>
  <si>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</si>
  <si>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</si>
  <si>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</si>
  <si>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</si>
  <si>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</si>
  <si>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</si>
  <si>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</si>
  <si>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</si>
  <si>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</si>
  <si>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</si>
  <si>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</si>
  <si>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</si>
  <si>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</si>
  <si>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</si>
  <si>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</si>
  <si>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</si>
  <si>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</si>
  <si>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</si>
  <si>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</si>
  <si>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</si>
  <si>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</si>
  <si>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</si>
  <si>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</si>
  <si>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</si>
  <si>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</si>
  <si>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</si>
  <si>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</si>
  <si>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</si>
  <si>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</si>
  <si>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</si>
  <si>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</si>
  <si>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</si>
  <si>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</si>
  <si>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</si>
  <si>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</si>
  <si>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</si>
  <si>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</si>
  <si>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</si>
  <si>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</si>
  <si>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</si>
  <si>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</si>
  <si>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</si>
  <si>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</si>
  <si>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</si>
  <si>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</si>
  <si>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</si>
  <si>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</si>
  <si>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</si>
  <si>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</si>
  <si>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</si>
  <si>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</si>
  <si>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</si>
  <si>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</si>
  <si>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</si>
  <si>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</si>
  <si>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</si>
  <si>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</si>
  <si>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</si>
  <si>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</si>
  <si>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</si>
  <si>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</si>
  <si>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</si>
  <si>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</si>
  <si>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</si>
  <si>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</si>
  <si>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</si>
  <si>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</si>
  <si>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</si>
  <si>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</si>
  <si>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</si>
  <si>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</si>
  <si>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</si>
  <si>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</si>
  <si>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</si>
  <si>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</si>
  <si>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</si>
  <si>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</si>
  <si>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</si>
  <si>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</si>
  <si>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</si>
  <si>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</si>
  <si>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</si>
  <si>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</si>
  <si>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</si>
  <si>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</si>
  <si>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</si>
  <si>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</si>
  <si>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</si>
  <si>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</si>
  <si>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</si>
  <si>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</si>
  <si>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</si>
  <si>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</si>
  <si>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</si>
  <si>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</si>
  <si>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</si>
  <si>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</si>
  <si>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</si>
  <si>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</si>
  <si>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</si>
  <si>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</si>
  <si>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</si>
  <si>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</si>
  <si>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</si>
  <si>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</si>
  <si>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</si>
  <si>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</si>
  <si>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</si>
  <si>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</si>
  <si>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</si>
  <si>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</si>
  <si>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</si>
  <si>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</si>
  <si>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</si>
  <si>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</si>
  <si>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</si>
  <si>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</si>
  <si>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</si>
  <si>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</si>
  <si>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</si>
  <si>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</si>
  <si>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</si>
  <si>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</si>
  <si>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</si>
  <si>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</si>
  <si>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</si>
  <si>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</si>
  <si>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</si>
  <si>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</si>
  <si>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</si>
  <si>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</si>
  <si>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</si>
  <si>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</si>
  <si>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</si>
  <si>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</si>
  <si>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</si>
  <si>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</si>
  <si>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</si>
  <si>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</si>
  <si>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</si>
  <si>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</si>
  <si>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</si>
  <si>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</si>
  <si>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</si>
  <si>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</si>
  <si>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</si>
  <si>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</si>
  <si>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</si>
  <si>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</si>
  <si>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</si>
  <si>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</si>
  <si>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</si>
  <si>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</si>
  <si>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</si>
  <si>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</si>
  <si>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</si>
  <si>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</si>
  <si>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</si>
  <si>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</si>
  <si>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</si>
  <si>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</si>
  <si>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</si>
  <si>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</si>
  <si>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</si>
  <si>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</si>
  <si>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</si>
  <si>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</si>
  <si>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</si>
  <si>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</si>
  <si>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</si>
  <si>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</si>
  <si>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</si>
  <si>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</si>
  <si>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</si>
  <si>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</si>
  <si>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</si>
  <si>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</si>
  <si>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</si>
  <si>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</si>
  <si>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</si>
  <si>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</si>
  <si>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</si>
  <si>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</si>
  <si>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</si>
  <si>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</si>
  <si>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</si>
  <si>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</si>
  <si>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</si>
  <si>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</si>
  <si>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</si>
  <si>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</si>
  <si>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</si>
  <si>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</si>
  <si>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</si>
  <si>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</si>
  <si>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</si>
  <si>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</si>
  <si>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</si>
  <si>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</si>
  <si>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</si>
  <si>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</si>
  <si>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</si>
  <si>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</si>
  <si>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</si>
  <si>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</si>
  <si>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</si>
  <si>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</si>
  <si>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</si>
  <si>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</si>
  <si>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</si>
  <si>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</si>
  <si>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</si>
  <si>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</si>
  <si>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</si>
  <si>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</si>
  <si>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</si>
  <si>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</si>
  <si>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</si>
  <si>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</si>
  <si>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</si>
  <si>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</si>
  <si>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</si>
  <si>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</si>
  <si>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</si>
  <si>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</si>
  <si>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</si>
  <si>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</si>
  <si>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</si>
  <si>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</si>
  <si>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</si>
  <si>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</si>
  <si>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</si>
  <si>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</si>
  <si>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</si>
  <si>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</si>
  <si>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</si>
  <si>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</si>
  <si>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</si>
  <si>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</si>
  <si>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</si>
  <si>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</si>
  <si>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</si>
  <si>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</si>
  <si>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</si>
  <si>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</si>
  <si>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</si>
  <si>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</si>
  <si>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</si>
  <si>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</si>
  <si>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</si>
  <si>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</si>
  <si>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</si>
  <si>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</si>
  <si>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</si>
  <si>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</si>
  <si>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</si>
  <si>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</si>
  <si>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</si>
  <si>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</si>
  <si>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</si>
  <si>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</si>
  <si>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</si>
  <si>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</si>
  <si>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</si>
  <si>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</si>
  <si>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</si>
  <si>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</si>
  <si>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</si>
  <si>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</si>
  <si>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</si>
  <si>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</si>
  <si>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</si>
  <si>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</si>
  <si>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</si>
  <si>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</si>
  <si>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</si>
  <si>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</si>
  <si>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</si>
  <si>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</si>
  <si>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</si>
  <si>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</si>
  <si>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</si>
  <si>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</si>
  <si>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</si>
  <si>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</si>
  <si>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</si>
  <si>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</si>
  <si>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</si>
  <si>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</si>
  <si>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</si>
  <si>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</si>
  <si>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</si>
  <si>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</si>
  <si>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</si>
  <si>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</si>
  <si>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</si>
  <si>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</si>
  <si>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</si>
  <si>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</si>
  <si>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</si>
  <si>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</si>
  <si>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</si>
  <si>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</si>
  <si>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</si>
  <si>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</si>
  <si>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</si>
  <si>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</si>
  <si>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</si>
  <si>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</si>
  <si>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</si>
  <si>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</si>
  <si>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</si>
  <si>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</si>
  <si>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</si>
  <si>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</si>
  <si>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</si>
  <si>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</si>
  <si>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</si>
  <si>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</si>
  <si>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</si>
  <si>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</si>
  <si>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</si>
  <si>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</si>
  <si>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</si>
  <si>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</si>
  <si>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</si>
  <si>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</si>
  <si>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</si>
  <si>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</si>
  <si>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</si>
  <si>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</si>
  <si>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</si>
  <si>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</si>
  <si>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</si>
  <si>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</si>
  <si>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</si>
  <si>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</si>
  <si>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</si>
  <si>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</si>
  <si>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</si>
  <si>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</si>
  <si>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</si>
  <si>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</si>
  <si>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</si>
  <si>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</si>
  <si>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</si>
  <si>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</si>
  <si>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</si>
  <si>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</si>
  <si>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</si>
  <si>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</si>
  <si>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</si>
  <si>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</si>
  <si>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</si>
  <si>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</si>
  <si>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</si>
  <si>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</si>
  <si>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</si>
  <si>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</si>
  <si>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</si>
  <si>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</si>
  <si>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</si>
  <si>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</si>
  <si>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</si>
  <si>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</si>
  <si>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</si>
  <si>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</si>
  <si>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</si>
  <si>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</si>
  <si>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</si>
  <si>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</si>
  <si>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</si>
  <si>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</si>
  <si>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</si>
  <si>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</si>
  <si>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</si>
  <si>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</si>
  <si>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</si>
  <si>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</si>
  <si>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</si>
  <si>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</si>
  <si>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</si>
  <si>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</si>
  <si>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</si>
  <si>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</si>
  <si>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</si>
  <si>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</si>
  <si>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</si>
  <si>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</si>
  <si>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</si>
  <si>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</si>
  <si>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</si>
  <si>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</si>
  <si>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</si>
  <si>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</si>
  <si>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</si>
  <si>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</si>
  <si>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</si>
  <si>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</si>
  <si>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</si>
  <si>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</si>
  <si>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</si>
  <si>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</si>
  <si>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</si>
  <si>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</si>
  <si>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</si>
  <si>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</si>
  <si>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</si>
  <si>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</si>
  <si>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</si>
  <si>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</si>
  <si>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</si>
  <si>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</si>
  <si>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</si>
  <si>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</si>
  <si>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</si>
  <si>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</si>
  <si>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</si>
  <si>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</si>
  <si>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</si>
  <si>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</si>
  <si>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</si>
  <si>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</si>
  <si>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</si>
  <si>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</si>
  <si>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</si>
  <si>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</si>
  <si>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</si>
  <si>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</si>
  <si>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</si>
  <si>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</si>
  <si>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</si>
  <si>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</si>
  <si>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</si>
  <si>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</si>
  <si>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</si>
  <si>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</si>
  <si>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</si>
  <si>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</si>
  <si>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</si>
  <si>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</si>
  <si>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</si>
  <si>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</si>
  <si>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</si>
  <si>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</si>
  <si>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</si>
  <si>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</si>
  <si>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</si>
  <si>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</si>
  <si>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</si>
  <si>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</si>
  <si>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</si>
  <si>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</si>
  <si>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</si>
  <si>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</si>
  <si>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</si>
  <si>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</si>
  <si>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</si>
  <si>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</si>
  <si>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</si>
  <si>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</si>
  <si>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</si>
  <si>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</si>
  <si>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</si>
  <si>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</si>
  <si>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</si>
  <si>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</si>
  <si>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</si>
  <si>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</si>
  <si>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</si>
  <si>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</si>
  <si>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</si>
  <si>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</si>
  <si>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</si>
  <si>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</si>
  <si>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</si>
  <si>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</si>
  <si>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</si>
  <si>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</si>
  <si>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</si>
  <si>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</si>
  <si>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</si>
  <si>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</si>
  <si>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</si>
  <si>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</si>
  <si>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</si>
  <si>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</si>
  <si>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</si>
  <si>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</si>
  <si>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</si>
  <si>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</si>
  <si>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</si>
  <si>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</si>
  <si>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</si>
  <si>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</si>
  <si>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</si>
  <si>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</si>
  <si>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</si>
  <si>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</si>
  <si>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</si>
  <si>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</si>
  <si>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</si>
  <si>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</si>
  <si>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</si>
  <si>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</si>
  <si>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</si>
  <si>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</si>
  <si>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</si>
  <si>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</si>
  <si>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</si>
  <si>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</si>
  <si>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</si>
  <si>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</si>
  <si>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</si>
  <si>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</si>
  <si>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</si>
  <si>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</si>
  <si>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</si>
  <si>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</si>
  <si>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</si>
  <si>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</si>
  <si>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</si>
  <si>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</si>
  <si>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</si>
  <si>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</si>
  <si>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</si>
  <si>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</si>
  <si>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</si>
  <si>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</si>
  <si>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</si>
  <si>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</si>
  <si>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</si>
  <si>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</si>
  <si>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</si>
  <si>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</si>
  <si>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</si>
  <si>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</si>
  <si>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</si>
  <si>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</si>
  <si>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</si>
  <si>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</si>
  <si>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</si>
  <si>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</si>
  <si>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</si>
  <si>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</si>
  <si>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</si>
  <si>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</si>
  <si>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</si>
  <si>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</si>
  <si>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</si>
  <si>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</si>
  <si>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</si>
  <si>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</si>
  <si>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</si>
  <si>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</si>
  <si>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</si>
  <si>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</si>
  <si>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</si>
  <si>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</si>
  <si>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</si>
  <si>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</si>
  <si>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</si>
  <si>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</si>
  <si>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</si>
  <si>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</si>
  <si>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</si>
  <si>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</si>
  <si>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</si>
  <si>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</si>
  <si>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</si>
  <si>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</si>
  <si>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</si>
  <si>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</si>
  <si>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</si>
  <si>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</si>
  <si>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</si>
  <si>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</si>
  <si>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</si>
  <si>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</si>
  <si>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</si>
  <si>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</si>
  <si>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</si>
  <si>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</si>
  <si>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</si>
  <si>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</si>
  <si>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</si>
  <si>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</si>
  <si>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</si>
  <si>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</si>
  <si>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</si>
  <si>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</si>
  <si>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</si>
  <si>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</si>
  <si>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</si>
  <si>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</si>
  <si>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</si>
  <si>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</si>
  <si>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</si>
  <si>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</si>
  <si>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</si>
  <si>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</si>
  <si>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</si>
  <si>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</si>
  <si>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</si>
  <si>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</si>
  <si>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</si>
  <si>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</si>
  <si>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</si>
  <si>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</si>
  <si>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</si>
  <si>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</si>
  <si>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</si>
  <si>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</si>
  <si>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</si>
  <si>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</si>
  <si>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</si>
  <si>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</si>
  <si>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</si>
  <si>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</si>
  <si>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</si>
  <si>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</si>
  <si>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</si>
  <si>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</si>
  <si>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</si>
  <si>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</si>
  <si>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</si>
  <si>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</si>
  <si>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</si>
  <si>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</si>
  <si>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</si>
  <si>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</si>
  <si>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</si>
  <si>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</si>
  <si>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</si>
  <si>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</si>
  <si>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</si>
  <si>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</si>
  <si>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</si>
  <si>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</si>
  <si>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</si>
  <si>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</si>
  <si>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</si>
  <si>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</si>
  <si>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</si>
  <si>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</si>
  <si>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</si>
  <si>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</si>
  <si>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</si>
  <si>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</si>
  <si>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</si>
  <si>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</si>
  <si>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</si>
  <si>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</si>
  <si>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</si>
  <si>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</si>
  <si>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</si>
  <si>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</si>
  <si>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</si>
  <si>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</si>
  <si>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</si>
  <si>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</si>
  <si>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</si>
  <si>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</si>
  <si>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</si>
  <si>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</si>
  <si>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</si>
  <si>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</si>
  <si>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</si>
  <si>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</si>
  <si>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</si>
  <si>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</si>
  <si>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</si>
  <si>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</si>
  <si>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</si>
  <si>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</si>
  <si>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</si>
  <si>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</si>
  <si>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</si>
  <si>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</si>
  <si>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</si>
  <si>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</si>
  <si>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</si>
  <si>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</si>
  <si>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</si>
  <si>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</si>
  <si>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</si>
  <si>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</si>
  <si>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</si>
  <si>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</si>
  <si>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</si>
  <si>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</si>
  <si>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</si>
  <si>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</si>
  <si>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</si>
  <si>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</si>
  <si>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</si>
  <si>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</si>
  <si>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</si>
  <si>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</si>
  <si>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</si>
  <si>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</si>
  <si>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</si>
  <si>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</si>
  <si>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</si>
  <si>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</si>
  <si>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</si>
  <si>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</si>
  <si>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</si>
  <si>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</si>
  <si>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</si>
  <si>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</si>
  <si>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</si>
  <si>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</si>
  <si>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</si>
  <si>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</si>
  <si>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</si>
  <si>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</si>
  <si>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</si>
  <si>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</si>
  <si>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</si>
  <si>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</si>
  <si>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</si>
  <si>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</si>
  <si>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</si>
  <si>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</si>
  <si>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</si>
  <si>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</si>
  <si>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</si>
  <si>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</si>
  <si>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</si>
  <si>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</si>
  <si>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</si>
  <si>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</si>
  <si>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</si>
  <si>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</si>
  <si>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</si>
  <si>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</si>
  <si>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</si>
  <si>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</si>
  <si>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</si>
  <si>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</si>
  <si>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</si>
  <si>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</si>
  <si>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</si>
  <si>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</si>
  <si>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</si>
  <si>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</si>
  <si>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</si>
  <si>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</si>
  <si>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</si>
  <si>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</si>
  <si>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</si>
  <si>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</si>
  <si>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</si>
  <si>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</si>
  <si>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</si>
  <si>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</si>
  <si>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</si>
  <si>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</si>
  <si>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</si>
  <si>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</si>
  <si>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</si>
  <si>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</si>
  <si>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</si>
  <si>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</si>
  <si>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</si>
  <si>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</si>
  <si>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</si>
  <si>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</si>
  <si>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</si>
  <si>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</si>
  <si>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</si>
  <si>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</si>
  <si>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</si>
  <si>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</si>
  <si>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</si>
  <si>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</si>
  <si>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</si>
  <si>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</si>
  <si>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</si>
  <si>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</si>
  <si>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</si>
  <si>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</si>
  <si>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</si>
  <si>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</si>
  <si>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</si>
  <si>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</si>
  <si>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</si>
  <si>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</si>
  <si>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</si>
  <si>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</si>
  <si>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</si>
  <si>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</si>
  <si>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</si>
  <si>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</si>
  <si>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</si>
  <si>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</si>
  <si>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</si>
  <si>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</si>
  <si>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</si>
  <si>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</si>
  <si>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</si>
  <si>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</si>
  <si>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</si>
  <si>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</si>
  <si>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</si>
  <si>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</si>
  <si>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</si>
  <si>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</si>
  <si>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</si>
  <si>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</si>
  <si>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</si>
  <si>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</si>
  <si>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</si>
  <si>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</si>
  <si>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</si>
  <si>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</si>
  <si>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</si>
  <si>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</si>
  <si>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</si>
  <si>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</si>
  <si>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</si>
  <si>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</si>
  <si>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</si>
  <si>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</si>
  <si>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</si>
  <si>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</si>
  <si>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</si>
  <si>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</si>
  <si>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</si>
  <si>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</si>
  <si>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</si>
  <si>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</si>
  <si>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</si>
  <si>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</si>
  <si>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</si>
  <si>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</si>
  <si>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</si>
  <si>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</si>
  <si>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</si>
  <si>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</si>
  <si>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</si>
  <si>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</si>
  <si>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</si>
  <si>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</si>
  <si>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</si>
  <si>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</si>
  <si>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</si>
  <si>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</si>
  <si>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</si>
  <si>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</si>
  <si>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</si>
  <si>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</si>
  <si>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</si>
  <si>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</si>
  <si>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</si>
  <si>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</si>
  <si>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13001</t>
  </si>
  <si>
    <t>ARENDONK</t>
  </si>
  <si>
    <t>referentietaak LNE (2017); Jaarverslag De Lijn</t>
  </si>
  <si>
    <t>waterkracht</t>
  </si>
  <si>
    <t>Biogas De Biezen</t>
  </si>
  <si>
    <t>De Biezen 6 , 2370 Arendonk</t>
  </si>
  <si>
    <t>WKK-0237 Biogas De Biezen</t>
  </si>
  <si>
    <t>interne verbrandingsmotor</t>
  </si>
  <si>
    <t>WKK interne verbrandinsgmotor (gas)</t>
  </si>
  <si>
    <t>IVEKA</t>
  </si>
  <si>
    <t>Arbio bvba</t>
  </si>
  <si>
    <t>Watering 20 A, 2370 Arendonk</t>
  </si>
  <si>
    <t>WKK-0531 Arbio</t>
  </si>
  <si>
    <t>Van Lint</t>
  </si>
  <si>
    <t>WKK-0829</t>
  </si>
  <si>
    <t>Brandstofcel</t>
  </si>
  <si>
    <t>brandstofcel</t>
  </si>
  <si>
    <t>Madritten 5</t>
  </si>
  <si>
    <t>IVEKA (via EANDIS)</t>
  </si>
  <si>
    <t>Van Lint II</t>
  </si>
  <si>
    <t>WKK-0850</t>
  </si>
  <si>
    <t>Madritten  3</t>
  </si>
  <si>
    <t>DAK</t>
  </si>
  <si>
    <t>Arendonk</t>
  </si>
  <si>
    <t>WKK-0899</t>
  </si>
  <si>
    <t>Interne verbrandingsmotor</t>
  </si>
  <si>
    <t>De Biezen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</si>
</sst>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110635.20300772824</c:v>
                </c:pt>
                <c:pt idx="1">
                  <c:v>106962.95937972913</c:v>
                </c:pt>
                <c:pt idx="2">
                  <c:v>706.68899999999996</c:v>
                </c:pt>
                <c:pt idx="3">
                  <c:v>77632.330962958644</c:v>
                </c:pt>
                <c:pt idx="4">
                  <c:v>37586.391718323313</c:v>
                </c:pt>
                <c:pt idx="5">
                  <c:v>97129.473271110415</c:v>
                </c:pt>
                <c:pt idx="6">
                  <c:v>703.74634496739088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110635.20300772824</c:v>
                </c:pt>
                <c:pt idx="1">
                  <c:v>106962.95937972913</c:v>
                </c:pt>
                <c:pt idx="2">
                  <c:v>706.68899999999996</c:v>
                </c:pt>
                <c:pt idx="3">
                  <c:v>77632.330962958644</c:v>
                </c:pt>
                <c:pt idx="4">
                  <c:v>37586.391718323313</c:v>
                </c:pt>
                <c:pt idx="5">
                  <c:v>97129.473271110415</c:v>
                </c:pt>
                <c:pt idx="6">
                  <c:v>703.74634496739088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18506.083158310204</c:v>
                </c:pt>
                <c:pt idx="1">
                  <c:v>13391.353312931498</c:v>
                </c:pt>
                <c:pt idx="2">
                  <c:v>25.884468609704051</c:v>
                </c:pt>
                <c:pt idx="3">
                  <c:v>5685.6896254484473</c:v>
                </c:pt>
                <c:pt idx="4">
                  <c:v>4239.9860854240114</c:v>
                </c:pt>
                <c:pt idx="5">
                  <c:v>24160.131448512013</c:v>
                </c:pt>
                <c:pt idx="6">
                  <c:v>175.43648353532859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18506.083158310204</c:v>
                </c:pt>
                <c:pt idx="1">
                  <c:v>13391.353312931498</c:v>
                </c:pt>
                <c:pt idx="2">
                  <c:v>25.884468609704051</c:v>
                </c:pt>
                <c:pt idx="3">
                  <c:v>5685.6896254484473</c:v>
                </c:pt>
                <c:pt idx="4">
                  <c:v>4239.9860854240114</c:v>
                </c:pt>
                <c:pt idx="5">
                  <c:v>24160.131448512013</c:v>
                </c:pt>
                <c:pt idx="6">
                  <c:v>175.43648353532859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13001</v>
      </c>
      <c r="B6" s="386"/>
      <c r="C6" s="387"/>
    </row>
    <row r="7" spans="1:7" s="384" customFormat="1" ht="15.75" customHeight="1">
      <c r="A7" s="388" t="str">
        <f>txtMunicipality</f>
        <v>ARENDONK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46456.17942489939</v>
      </c>
      <c r="D10" s="683">
        <f ca="1">tertiair!C16</f>
        <v>24.351351351351351</v>
      </c>
      <c r="E10" s="683">
        <f ca="1">tertiair!D16</f>
        <v>13295.234002718436</v>
      </c>
      <c r="F10" s="683">
        <f>tertiair!E16</f>
        <v>491.67981731171164</v>
      </c>
      <c r="G10" s="683">
        <f ca="1">tertiair!F16</f>
        <v>33401.767194004184</v>
      </c>
      <c r="H10" s="683">
        <f>tertiair!G16</f>
        <v>0</v>
      </c>
      <c r="I10" s="683">
        <f>tertiair!H16</f>
        <v>0</v>
      </c>
      <c r="J10" s="683">
        <f>tertiair!I16</f>
        <v>0</v>
      </c>
      <c r="K10" s="683">
        <f>tertiair!J16</f>
        <v>0.35816401339822751</v>
      </c>
      <c r="L10" s="683">
        <f>tertiair!K16</f>
        <v>0</v>
      </c>
      <c r="M10" s="683">
        <f ca="1">tertiair!L16</f>
        <v>0</v>
      </c>
      <c r="N10" s="683">
        <f>tertiair!M16</f>
        <v>0</v>
      </c>
      <c r="O10" s="683">
        <f ca="1">tertiair!N16</f>
        <v>13555.279015149477</v>
      </c>
      <c r="P10" s="683">
        <f>tertiair!O16</f>
        <v>24.486303829205774</v>
      </c>
      <c r="Q10" s="684">
        <f>tertiair!P16</f>
        <v>420.31310645196015</v>
      </c>
      <c r="R10" s="686">
        <f ca="1">SUM(C10:Q10)</f>
        <v>107669.64837972911</v>
      </c>
      <c r="S10" s="67"/>
    </row>
    <row r="11" spans="1:19" s="445" customFormat="1">
      <c r="A11" s="804" t="s">
        <v>220</v>
      </c>
      <c r="B11" s="809"/>
      <c r="C11" s="683">
        <f>huishoudens!B8</f>
        <v>21495.56811286688</v>
      </c>
      <c r="D11" s="683">
        <f>huishoudens!C8</f>
        <v>0</v>
      </c>
      <c r="E11" s="683">
        <f>huishoudens!D8</f>
        <v>58548.608379224766</v>
      </c>
      <c r="F11" s="683">
        <f>huishoudens!E8</f>
        <v>962.69257851652128</v>
      </c>
      <c r="G11" s="683">
        <f>huishoudens!F8</f>
        <v>21089.326319222364</v>
      </c>
      <c r="H11" s="683">
        <f>huishoudens!G8</f>
        <v>0</v>
      </c>
      <c r="I11" s="683">
        <f>huishoudens!H8</f>
        <v>0</v>
      </c>
      <c r="J11" s="683">
        <f>huishoudens!I8</f>
        <v>0</v>
      </c>
      <c r="K11" s="683">
        <f>huishoudens!J8</f>
        <v>120.19037731212669</v>
      </c>
      <c r="L11" s="683">
        <f>huishoudens!K8</f>
        <v>0</v>
      </c>
      <c r="M11" s="683">
        <f>huishoudens!L8</f>
        <v>0</v>
      </c>
      <c r="N11" s="683">
        <f>huishoudens!M8</f>
        <v>0</v>
      </c>
      <c r="O11" s="683">
        <f>huishoudens!N8</f>
        <v>6935.5165444208196</v>
      </c>
      <c r="P11" s="683">
        <f>huishoudens!O8</f>
        <v>440.43872470392103</v>
      </c>
      <c r="Q11" s="684">
        <f>huishoudens!P8</f>
        <v>1042.8619714608171</v>
      </c>
      <c r="R11" s="686">
        <f>SUM(C11:Q11)</f>
        <v>110635.20300772824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21306.35623563527</v>
      </c>
      <c r="D13" s="683">
        <f>industrie!C18</f>
        <v>0</v>
      </c>
      <c r="E13" s="683">
        <f>industrie!D18</f>
        <v>8928.1785003741443</v>
      </c>
      <c r="F13" s="683">
        <f>industrie!E18</f>
        <v>145.39763361414484</v>
      </c>
      <c r="G13" s="683">
        <f>industrie!F18</f>
        <v>6018.0947879839405</v>
      </c>
      <c r="H13" s="683">
        <f>industrie!G18</f>
        <v>0</v>
      </c>
      <c r="I13" s="683">
        <f>industrie!H18</f>
        <v>0</v>
      </c>
      <c r="J13" s="683">
        <f>industrie!I18</f>
        <v>0</v>
      </c>
      <c r="K13" s="683">
        <f>industrie!J18</f>
        <v>45.910575558249519</v>
      </c>
      <c r="L13" s="683">
        <f>industrie!K18</f>
        <v>0</v>
      </c>
      <c r="M13" s="683">
        <f>industrie!L18</f>
        <v>0</v>
      </c>
      <c r="N13" s="683">
        <f>industrie!M18</f>
        <v>0</v>
      </c>
      <c r="O13" s="683">
        <f>industrie!N18</f>
        <v>1142.4539851575605</v>
      </c>
      <c r="P13" s="683">
        <f>industrie!O18</f>
        <v>0</v>
      </c>
      <c r="Q13" s="684">
        <f>industrie!P18</f>
        <v>0</v>
      </c>
      <c r="R13" s="686">
        <f>SUM(C13:Q13)</f>
        <v>37586.391718323313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89258.103773401526</v>
      </c>
      <c r="D16" s="719">
        <f t="shared" ref="D16:R16" ca="1" si="0">SUM(D9:D15)</f>
        <v>24.351351351351351</v>
      </c>
      <c r="E16" s="719">
        <f t="shared" ca="1" si="0"/>
        <v>80772.020882317345</v>
      </c>
      <c r="F16" s="719">
        <f t="shared" si="0"/>
        <v>1599.7700294423778</v>
      </c>
      <c r="G16" s="719">
        <f t="shared" ca="1" si="0"/>
        <v>60509.188301210481</v>
      </c>
      <c r="H16" s="719">
        <f t="shared" si="0"/>
        <v>0</v>
      </c>
      <c r="I16" s="719">
        <f t="shared" si="0"/>
        <v>0</v>
      </c>
      <c r="J16" s="719">
        <f t="shared" si="0"/>
        <v>0</v>
      </c>
      <c r="K16" s="719">
        <f t="shared" si="0"/>
        <v>166.45911688377441</v>
      </c>
      <c r="L16" s="719">
        <f t="shared" si="0"/>
        <v>0</v>
      </c>
      <c r="M16" s="719">
        <f t="shared" ca="1" si="0"/>
        <v>0</v>
      </c>
      <c r="N16" s="719">
        <f t="shared" si="0"/>
        <v>0</v>
      </c>
      <c r="O16" s="719">
        <f t="shared" ca="1" si="0"/>
        <v>21633.249544727856</v>
      </c>
      <c r="P16" s="719">
        <f t="shared" si="0"/>
        <v>464.92502853312681</v>
      </c>
      <c r="Q16" s="719">
        <f t="shared" si="0"/>
        <v>1463.1750779127774</v>
      </c>
      <c r="R16" s="719">
        <f t="shared" ca="1" si="0"/>
        <v>255891.24310578065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10.472797639351578</v>
      </c>
      <c r="D19" s="683">
        <f>transport!C54</f>
        <v>0</v>
      </c>
      <c r="E19" s="683">
        <f>transport!D54</f>
        <v>0</v>
      </c>
      <c r="F19" s="683">
        <f>transport!E54</f>
        <v>0</v>
      </c>
      <c r="G19" s="683">
        <f>transport!F54</f>
        <v>0</v>
      </c>
      <c r="H19" s="683">
        <f>transport!G54</f>
        <v>655.62879370812675</v>
      </c>
      <c r="I19" s="683">
        <f>transport!H54</f>
        <v>0</v>
      </c>
      <c r="J19" s="683">
        <f>transport!I54</f>
        <v>0</v>
      </c>
      <c r="K19" s="683">
        <f>transport!J54</f>
        <v>0</v>
      </c>
      <c r="L19" s="683">
        <f>transport!K54</f>
        <v>0</v>
      </c>
      <c r="M19" s="683">
        <f>transport!L54</f>
        <v>0</v>
      </c>
      <c r="N19" s="683">
        <f>transport!M54</f>
        <v>37.644753619912535</v>
      </c>
      <c r="O19" s="683">
        <f>transport!N54</f>
        <v>0</v>
      </c>
      <c r="P19" s="683">
        <f>transport!O54</f>
        <v>0</v>
      </c>
      <c r="Q19" s="684">
        <f>transport!P54</f>
        <v>0</v>
      </c>
      <c r="R19" s="686">
        <f>SUM(C19:Q19)</f>
        <v>703.74634496739088</v>
      </c>
      <c r="S19" s="67"/>
    </row>
    <row r="20" spans="1:19" s="445" customFormat="1">
      <c r="A20" s="804" t="s">
        <v>302</v>
      </c>
      <c r="B20" s="809"/>
      <c r="C20" s="683">
        <f>transport!B14</f>
        <v>176.4092103857794</v>
      </c>
      <c r="D20" s="683">
        <f>transport!C14</f>
        <v>0</v>
      </c>
      <c r="E20" s="683">
        <f>transport!D14</f>
        <v>289.53019525321264</v>
      </c>
      <c r="F20" s="683">
        <f>transport!E14</f>
        <v>123.85820837620032</v>
      </c>
      <c r="G20" s="683">
        <f>transport!F14</f>
        <v>0</v>
      </c>
      <c r="H20" s="683">
        <f>transport!G14</f>
        <v>76657.953582628805</v>
      </c>
      <c r="I20" s="683">
        <f>transport!H14</f>
        <v>14455.403400078249</v>
      </c>
      <c r="J20" s="683">
        <f>transport!I14</f>
        <v>0</v>
      </c>
      <c r="K20" s="683">
        <f>transport!J14</f>
        <v>0</v>
      </c>
      <c r="L20" s="683">
        <f>transport!K14</f>
        <v>0</v>
      </c>
      <c r="M20" s="683">
        <f>transport!L14</f>
        <v>0</v>
      </c>
      <c r="N20" s="683">
        <f>transport!M14</f>
        <v>5426.3186743881643</v>
      </c>
      <c r="O20" s="683">
        <f>transport!N14</f>
        <v>0</v>
      </c>
      <c r="P20" s="683">
        <f>transport!O14</f>
        <v>0</v>
      </c>
      <c r="Q20" s="684">
        <f>transport!P14</f>
        <v>0</v>
      </c>
      <c r="R20" s="686">
        <f>SUM(C20:Q20)</f>
        <v>97129.473271110415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186.88200802513097</v>
      </c>
      <c r="D22" s="807">
        <f t="shared" ref="D22:R22" si="1">SUM(D18:D21)</f>
        <v>0</v>
      </c>
      <c r="E22" s="807">
        <f t="shared" si="1"/>
        <v>289.53019525321264</v>
      </c>
      <c r="F22" s="807">
        <f t="shared" si="1"/>
        <v>123.85820837620032</v>
      </c>
      <c r="G22" s="807">
        <f t="shared" si="1"/>
        <v>0</v>
      </c>
      <c r="H22" s="807">
        <f t="shared" si="1"/>
        <v>77313.582376336926</v>
      </c>
      <c r="I22" s="807">
        <f t="shared" si="1"/>
        <v>14455.403400078249</v>
      </c>
      <c r="J22" s="807">
        <f t="shared" si="1"/>
        <v>0</v>
      </c>
      <c r="K22" s="807">
        <f t="shared" si="1"/>
        <v>0</v>
      </c>
      <c r="L22" s="807">
        <f t="shared" si="1"/>
        <v>0</v>
      </c>
      <c r="M22" s="807">
        <f t="shared" si="1"/>
        <v>0</v>
      </c>
      <c r="N22" s="807">
        <f t="shared" si="1"/>
        <v>5463.9634280080772</v>
      </c>
      <c r="O22" s="807">
        <f t="shared" si="1"/>
        <v>0</v>
      </c>
      <c r="P22" s="807">
        <f t="shared" si="1"/>
        <v>0</v>
      </c>
      <c r="Q22" s="807">
        <f t="shared" si="1"/>
        <v>0</v>
      </c>
      <c r="R22" s="807">
        <f t="shared" si="1"/>
        <v>97833.219616077811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5586.3830546814397</v>
      </c>
      <c r="D24" s="683">
        <f>+landbouw!C8</f>
        <v>51717.857142857145</v>
      </c>
      <c r="E24" s="683">
        <f>+landbouw!D8</f>
        <v>1064.0424824660299</v>
      </c>
      <c r="F24" s="683">
        <f>+landbouw!E8</f>
        <v>160.00346457701821</v>
      </c>
      <c r="G24" s="683">
        <f>+landbouw!F8</f>
        <v>17683.603033362044</v>
      </c>
      <c r="H24" s="683">
        <f>+landbouw!G8</f>
        <v>0</v>
      </c>
      <c r="I24" s="683">
        <f>+landbouw!H8</f>
        <v>0</v>
      </c>
      <c r="J24" s="683">
        <f>+landbouw!I8</f>
        <v>0</v>
      </c>
      <c r="K24" s="683">
        <f>+landbouw!J8</f>
        <v>1420.4417850149623</v>
      </c>
      <c r="L24" s="683">
        <f>+landbouw!K8</f>
        <v>0</v>
      </c>
      <c r="M24" s="683">
        <f>+landbouw!L8</f>
        <v>0</v>
      </c>
      <c r="N24" s="683">
        <f>+landbouw!M8</f>
        <v>0</v>
      </c>
      <c r="O24" s="683">
        <f>+landbouw!N8</f>
        <v>0</v>
      </c>
      <c r="P24" s="683">
        <f>+landbouw!O8</f>
        <v>0</v>
      </c>
      <c r="Q24" s="684">
        <f>+landbouw!P8</f>
        <v>0</v>
      </c>
      <c r="R24" s="686">
        <f>SUM(C24:Q24)</f>
        <v>77632.330962958644</v>
      </c>
      <c r="S24" s="67"/>
    </row>
    <row r="25" spans="1:19" s="445" customFormat="1" ht="15" thickBot="1">
      <c r="A25" s="826" t="s">
        <v>696</v>
      </c>
      <c r="B25" s="939"/>
      <c r="C25" s="940">
        <f>IF(Onbekend_ele_kWh="---",0,Onbekend_ele_kWh)/1000+IF(REST_rest_ele_kWh="---",0,REST_rest_ele_kWh)/1000</f>
        <v>444.07079815380001</v>
      </c>
      <c r="D25" s="940"/>
      <c r="E25" s="940">
        <f>IF(onbekend_gas_kWh="---",0,onbekend_gas_kWh)/1000+IF(REST_rest_gas_kWh="---",0,REST_rest_gas_kWh)/1000</f>
        <v>1102.55794639339</v>
      </c>
      <c r="F25" s="940"/>
      <c r="G25" s="940"/>
      <c r="H25" s="940"/>
      <c r="I25" s="940"/>
      <c r="J25" s="940"/>
      <c r="K25" s="940"/>
      <c r="L25" s="940"/>
      <c r="M25" s="940"/>
      <c r="N25" s="940"/>
      <c r="O25" s="940"/>
      <c r="P25" s="940"/>
      <c r="Q25" s="941"/>
      <c r="R25" s="686">
        <f>SUM(C25:Q25)</f>
        <v>1546.6287445471901</v>
      </c>
      <c r="S25" s="67"/>
    </row>
    <row r="26" spans="1:19" s="445" customFormat="1" ht="15.75" thickBot="1">
      <c r="A26" s="691" t="s">
        <v>697</v>
      </c>
      <c r="B26" s="812"/>
      <c r="C26" s="807">
        <f>SUM(C24:C25)</f>
        <v>6030.4538528352396</v>
      </c>
      <c r="D26" s="807">
        <f t="shared" ref="D26:R26" si="2">SUM(D24:D25)</f>
        <v>51717.857142857145</v>
      </c>
      <c r="E26" s="807">
        <f t="shared" si="2"/>
        <v>2166.6004288594199</v>
      </c>
      <c r="F26" s="807">
        <f t="shared" si="2"/>
        <v>160.00346457701821</v>
      </c>
      <c r="G26" s="807">
        <f t="shared" si="2"/>
        <v>17683.603033362044</v>
      </c>
      <c r="H26" s="807">
        <f t="shared" si="2"/>
        <v>0</v>
      </c>
      <c r="I26" s="807">
        <f t="shared" si="2"/>
        <v>0</v>
      </c>
      <c r="J26" s="807">
        <f t="shared" si="2"/>
        <v>0</v>
      </c>
      <c r="K26" s="807">
        <f t="shared" si="2"/>
        <v>1420.4417850149623</v>
      </c>
      <c r="L26" s="807">
        <f t="shared" si="2"/>
        <v>0</v>
      </c>
      <c r="M26" s="807">
        <f t="shared" si="2"/>
        <v>0</v>
      </c>
      <c r="N26" s="807">
        <f t="shared" si="2"/>
        <v>0</v>
      </c>
      <c r="O26" s="807">
        <f t="shared" si="2"/>
        <v>0</v>
      </c>
      <c r="P26" s="807">
        <f t="shared" si="2"/>
        <v>0</v>
      </c>
      <c r="Q26" s="807">
        <f t="shared" si="2"/>
        <v>0</v>
      </c>
      <c r="R26" s="807">
        <f t="shared" si="2"/>
        <v>79178.959707505841</v>
      </c>
      <c r="S26" s="67"/>
    </row>
    <row r="27" spans="1:19" s="445" customFormat="1" ht="17.25" thickTop="1" thickBot="1">
      <c r="A27" s="692" t="s">
        <v>115</v>
      </c>
      <c r="B27" s="799"/>
      <c r="C27" s="693">
        <f ca="1">C22+C16+C26</f>
        <v>95475.4396342619</v>
      </c>
      <c r="D27" s="693">
        <f t="shared" ref="D27:R27" ca="1" si="3">D22+D16+D26</f>
        <v>51742.208494208498</v>
      </c>
      <c r="E27" s="693">
        <f t="shared" ca="1" si="3"/>
        <v>83228.151506429989</v>
      </c>
      <c r="F27" s="693">
        <f t="shared" si="3"/>
        <v>1883.6317023955962</v>
      </c>
      <c r="G27" s="693">
        <f t="shared" ca="1" si="3"/>
        <v>78192.791334572525</v>
      </c>
      <c r="H27" s="693">
        <f t="shared" si="3"/>
        <v>77313.582376336926</v>
      </c>
      <c r="I27" s="693">
        <f t="shared" si="3"/>
        <v>14455.403400078249</v>
      </c>
      <c r="J27" s="693">
        <f t="shared" si="3"/>
        <v>0</v>
      </c>
      <c r="K27" s="693">
        <f t="shared" si="3"/>
        <v>1586.9009018987367</v>
      </c>
      <c r="L27" s="693">
        <f t="shared" si="3"/>
        <v>0</v>
      </c>
      <c r="M27" s="693">
        <f t="shared" ca="1" si="3"/>
        <v>0</v>
      </c>
      <c r="N27" s="693">
        <f t="shared" si="3"/>
        <v>5463.9634280080772</v>
      </c>
      <c r="O27" s="693">
        <f t="shared" ca="1" si="3"/>
        <v>21633.249544727856</v>
      </c>
      <c r="P27" s="693">
        <f t="shared" si="3"/>
        <v>464.92502853312681</v>
      </c>
      <c r="Q27" s="693">
        <f t="shared" si="3"/>
        <v>1463.1750779127774</v>
      </c>
      <c r="R27" s="693">
        <f t="shared" ca="1" si="3"/>
        <v>432903.42242936429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1701.5879942245988</v>
      </c>
      <c r="D40" s="683">
        <f ca="1">tertiair!C20</f>
        <v>2.5693778599203284E-3</v>
      </c>
      <c r="E40" s="683">
        <f ca="1">tertiair!D20</f>
        <v>2685.6372685491242</v>
      </c>
      <c r="F40" s="683">
        <f>tertiair!E20</f>
        <v>111.61131852975855</v>
      </c>
      <c r="G40" s="683">
        <f ca="1">tertiair!F20</f>
        <v>8918.2718407991179</v>
      </c>
      <c r="H40" s="683">
        <f>tertiair!G20</f>
        <v>0</v>
      </c>
      <c r="I40" s="683">
        <f>tertiair!H20</f>
        <v>0</v>
      </c>
      <c r="J40" s="683">
        <f>tertiair!I20</f>
        <v>0</v>
      </c>
      <c r="K40" s="683">
        <f>tertiair!J20</f>
        <v>0.12679006074297253</v>
      </c>
      <c r="L40" s="683">
        <f>tertiair!K20</f>
        <v>0</v>
      </c>
      <c r="M40" s="683">
        <f ca="1">tertiair!L20</f>
        <v>0</v>
      </c>
      <c r="N40" s="683">
        <f>tertiair!M20</f>
        <v>0</v>
      </c>
      <c r="O40" s="683">
        <f ca="1">tertiair!N20</f>
        <v>0</v>
      </c>
      <c r="P40" s="683">
        <f>tertiair!O20</f>
        <v>0</v>
      </c>
      <c r="Q40" s="766">
        <f>tertiair!P20</f>
        <v>0</v>
      </c>
      <c r="R40" s="845">
        <f t="shared" ca="1" si="4"/>
        <v>13417.237781541202</v>
      </c>
    </row>
    <row r="41" spans="1:18">
      <c r="A41" s="817" t="s">
        <v>220</v>
      </c>
      <c r="B41" s="824"/>
      <c r="C41" s="683">
        <f ca="1">huishoudens!B12</f>
        <v>787.33552958268513</v>
      </c>
      <c r="D41" s="683">
        <f ca="1">huishoudens!C12</f>
        <v>0</v>
      </c>
      <c r="E41" s="683">
        <f>huishoudens!D12</f>
        <v>11826.818892603404</v>
      </c>
      <c r="F41" s="683">
        <f>huishoudens!E12</f>
        <v>218.53121532325034</v>
      </c>
      <c r="G41" s="683">
        <f>huishoudens!F12</f>
        <v>5630.8501272323711</v>
      </c>
      <c r="H41" s="683">
        <f>huishoudens!G12</f>
        <v>0</v>
      </c>
      <c r="I41" s="683">
        <f>huishoudens!H12</f>
        <v>0</v>
      </c>
      <c r="J41" s="683">
        <f>huishoudens!I12</f>
        <v>0</v>
      </c>
      <c r="K41" s="683">
        <f>huishoudens!J12</f>
        <v>42.547393568492843</v>
      </c>
      <c r="L41" s="683">
        <f>huishoudens!K12</f>
        <v>0</v>
      </c>
      <c r="M41" s="683">
        <f>huishoudens!L12</f>
        <v>0</v>
      </c>
      <c r="N41" s="683">
        <f>huishoudens!M12</f>
        <v>0</v>
      </c>
      <c r="O41" s="683">
        <f>huishoudens!N12</f>
        <v>0</v>
      </c>
      <c r="P41" s="683">
        <f>huishoudens!O12</f>
        <v>0</v>
      </c>
      <c r="Q41" s="766">
        <f>huishoudens!P12</f>
        <v>0</v>
      </c>
      <c r="R41" s="845">
        <f t="shared" ca="1" si="4"/>
        <v>18506.083158310204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780.40511337869043</v>
      </c>
      <c r="D43" s="683">
        <f ca="1">industrie!C22</f>
        <v>0</v>
      </c>
      <c r="E43" s="683">
        <f>industrie!D22</f>
        <v>1803.4920570755773</v>
      </c>
      <c r="F43" s="683">
        <f>industrie!E22</f>
        <v>33.005262830410878</v>
      </c>
      <c r="G43" s="683">
        <f>industrie!F22</f>
        <v>1606.8313083917121</v>
      </c>
      <c r="H43" s="683">
        <f>industrie!G22</f>
        <v>0</v>
      </c>
      <c r="I43" s="683">
        <f>industrie!H22</f>
        <v>0</v>
      </c>
      <c r="J43" s="683">
        <f>industrie!I22</f>
        <v>0</v>
      </c>
      <c r="K43" s="683">
        <f>industrie!J22</f>
        <v>16.25234374762033</v>
      </c>
      <c r="L43" s="683">
        <f>industrie!K22</f>
        <v>0</v>
      </c>
      <c r="M43" s="683">
        <f>industrie!L22</f>
        <v>0</v>
      </c>
      <c r="N43" s="683">
        <f>industrie!M22</f>
        <v>0</v>
      </c>
      <c r="O43" s="683">
        <f>industrie!N22</f>
        <v>0</v>
      </c>
      <c r="P43" s="683">
        <f>industrie!O22</f>
        <v>0</v>
      </c>
      <c r="Q43" s="766">
        <f>industrie!P22</f>
        <v>0</v>
      </c>
      <c r="R43" s="844">
        <f t="shared" ca="1" si="4"/>
        <v>4239.9860854240114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3269.328637185974</v>
      </c>
      <c r="D46" s="719">
        <f t="shared" ref="D46:Q46" ca="1" si="5">SUM(D39:D45)</f>
        <v>2.5693778599203284E-3</v>
      </c>
      <c r="E46" s="719">
        <f t="shared" ca="1" si="5"/>
        <v>16315.948218228104</v>
      </c>
      <c r="F46" s="719">
        <f t="shared" si="5"/>
        <v>363.14779668341976</v>
      </c>
      <c r="G46" s="719">
        <f t="shared" ca="1" si="5"/>
        <v>16155.953276423203</v>
      </c>
      <c r="H46" s="719">
        <f t="shared" si="5"/>
        <v>0</v>
      </c>
      <c r="I46" s="719">
        <f t="shared" si="5"/>
        <v>0</v>
      </c>
      <c r="J46" s="719">
        <f t="shared" si="5"/>
        <v>0</v>
      </c>
      <c r="K46" s="719">
        <f t="shared" si="5"/>
        <v>58.926527376856143</v>
      </c>
      <c r="L46" s="719">
        <f t="shared" si="5"/>
        <v>0</v>
      </c>
      <c r="M46" s="719">
        <f t="shared" ca="1" si="5"/>
        <v>0</v>
      </c>
      <c r="N46" s="719">
        <f t="shared" si="5"/>
        <v>0</v>
      </c>
      <c r="O46" s="719">
        <f t="shared" ca="1" si="5"/>
        <v>0</v>
      </c>
      <c r="P46" s="719">
        <f t="shared" si="5"/>
        <v>0</v>
      </c>
      <c r="Q46" s="719">
        <f t="shared" si="5"/>
        <v>0</v>
      </c>
      <c r="R46" s="719">
        <f ca="1">SUM(R39:R45)</f>
        <v>36163.307025275419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0.38359561525873276</v>
      </c>
      <c r="D49" s="683">
        <f ca="1">transport!C58</f>
        <v>0</v>
      </c>
      <c r="E49" s="683">
        <f>transport!D58</f>
        <v>0</v>
      </c>
      <c r="F49" s="683">
        <f>transport!E58</f>
        <v>0</v>
      </c>
      <c r="G49" s="683">
        <f>transport!F58</f>
        <v>0</v>
      </c>
      <c r="H49" s="683">
        <f>transport!G58</f>
        <v>175.05288792006985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175.43648353532859</v>
      </c>
    </row>
    <row r="50" spans="1:18">
      <c r="A50" s="820" t="s">
        <v>302</v>
      </c>
      <c r="B50" s="830"/>
      <c r="C50" s="689">
        <f ca="1">transport!B18</f>
        <v>6.4614825880880913</v>
      </c>
      <c r="D50" s="689">
        <f>transport!C18</f>
        <v>0</v>
      </c>
      <c r="E50" s="689">
        <f>transport!D18</f>
        <v>58.485099441148954</v>
      </c>
      <c r="F50" s="689">
        <f>transport!E18</f>
        <v>28.115813301397473</v>
      </c>
      <c r="G50" s="689">
        <f>transport!F18</f>
        <v>0</v>
      </c>
      <c r="H50" s="689">
        <f>transport!G18</f>
        <v>20467.673606561893</v>
      </c>
      <c r="I50" s="689">
        <f>transport!H18</f>
        <v>3599.3954466194837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24160.131448512013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6.8450782033468238</v>
      </c>
      <c r="D52" s="719">
        <f t="shared" ref="D52:Q52" ca="1" si="6">SUM(D48:D51)</f>
        <v>0</v>
      </c>
      <c r="E52" s="719">
        <f t="shared" si="6"/>
        <v>58.485099441148954</v>
      </c>
      <c r="F52" s="719">
        <f t="shared" si="6"/>
        <v>28.115813301397473</v>
      </c>
      <c r="G52" s="719">
        <f t="shared" si="6"/>
        <v>0</v>
      </c>
      <c r="H52" s="719">
        <f t="shared" si="6"/>
        <v>20642.726494481962</v>
      </c>
      <c r="I52" s="719">
        <f t="shared" si="6"/>
        <v>3599.3954466194837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24335.567932047343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204.61696279506879</v>
      </c>
      <c r="D54" s="689">
        <f ca="1">+landbouw!C12</f>
        <v>5.4568929332952765</v>
      </c>
      <c r="E54" s="689">
        <f>+landbouw!D12</f>
        <v>214.93658145813805</v>
      </c>
      <c r="F54" s="689">
        <f>+landbouw!E12</f>
        <v>36.320786458983136</v>
      </c>
      <c r="G54" s="689">
        <f>+landbouw!F12</f>
        <v>4721.522009907666</v>
      </c>
      <c r="H54" s="689">
        <f>+landbouw!G12</f>
        <v>0</v>
      </c>
      <c r="I54" s="689">
        <f>+landbouw!H12</f>
        <v>0</v>
      </c>
      <c r="J54" s="689">
        <f>+landbouw!I12</f>
        <v>0</v>
      </c>
      <c r="K54" s="689">
        <f>+landbouw!J12</f>
        <v>502.83639189529663</v>
      </c>
      <c r="L54" s="689">
        <f>+landbouw!K12</f>
        <v>0</v>
      </c>
      <c r="M54" s="689">
        <f>+landbouw!L12</f>
        <v>0</v>
      </c>
      <c r="N54" s="689">
        <f>+landbouw!M12</f>
        <v>0</v>
      </c>
      <c r="O54" s="689">
        <f>+landbouw!N12</f>
        <v>0</v>
      </c>
      <c r="P54" s="689">
        <f>+landbouw!O12</f>
        <v>0</v>
      </c>
      <c r="Q54" s="690">
        <f>+landbouw!P12</f>
        <v>0</v>
      </c>
      <c r="R54" s="718">
        <f ca="1">SUM(C54:Q54)</f>
        <v>5685.6896254484473</v>
      </c>
    </row>
    <row r="55" spans="1:18" ht="15" thickBot="1">
      <c r="A55" s="820" t="s">
        <v>696</v>
      </c>
      <c r="B55" s="830"/>
      <c r="C55" s="689">
        <f ca="1">C25*'EF ele_warmte'!B12</f>
        <v>16.265339683083027</v>
      </c>
      <c r="D55" s="689"/>
      <c r="E55" s="689">
        <f>E25*EF_CO2_aardgas</f>
        <v>222.71670517146481</v>
      </c>
      <c r="F55" s="689"/>
      <c r="G55" s="689"/>
      <c r="H55" s="689"/>
      <c r="I55" s="689"/>
      <c r="J55" s="689"/>
      <c r="K55" s="689"/>
      <c r="L55" s="689"/>
      <c r="M55" s="689"/>
      <c r="N55" s="689"/>
      <c r="O55" s="689"/>
      <c r="P55" s="689"/>
      <c r="Q55" s="690"/>
      <c r="R55" s="718">
        <f ca="1">SUM(C55:Q55)</f>
        <v>238.98204485454784</v>
      </c>
    </row>
    <row r="56" spans="1:18" ht="15.75" thickBot="1">
      <c r="A56" s="818" t="s">
        <v>697</v>
      </c>
      <c r="B56" s="831"/>
      <c r="C56" s="719">
        <f ca="1">SUM(C54:C55)</f>
        <v>220.88230247815181</v>
      </c>
      <c r="D56" s="719">
        <f t="shared" ref="D56:Q56" ca="1" si="7">SUM(D54:D55)</f>
        <v>5.4568929332952765</v>
      </c>
      <c r="E56" s="719">
        <f t="shared" si="7"/>
        <v>437.65328662960286</v>
      </c>
      <c r="F56" s="719">
        <f t="shared" si="7"/>
        <v>36.320786458983136</v>
      </c>
      <c r="G56" s="719">
        <f t="shared" si="7"/>
        <v>4721.522009907666</v>
      </c>
      <c r="H56" s="719">
        <f t="shared" si="7"/>
        <v>0</v>
      </c>
      <c r="I56" s="719">
        <f t="shared" si="7"/>
        <v>0</v>
      </c>
      <c r="J56" s="719">
        <f t="shared" si="7"/>
        <v>0</v>
      </c>
      <c r="K56" s="719">
        <f t="shared" si="7"/>
        <v>502.83639189529663</v>
      </c>
      <c r="L56" s="719">
        <f t="shared" si="7"/>
        <v>0</v>
      </c>
      <c r="M56" s="719">
        <f t="shared" si="7"/>
        <v>0</v>
      </c>
      <c r="N56" s="719">
        <f t="shared" si="7"/>
        <v>0</v>
      </c>
      <c r="O56" s="719">
        <f t="shared" si="7"/>
        <v>0</v>
      </c>
      <c r="P56" s="719">
        <f t="shared" si="7"/>
        <v>0</v>
      </c>
      <c r="Q56" s="720">
        <f t="shared" si="7"/>
        <v>0</v>
      </c>
      <c r="R56" s="721">
        <f ca="1">SUM(R54:R55)</f>
        <v>5924.6716703029952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3497.0560178674727</v>
      </c>
      <c r="D61" s="727">
        <f t="shared" ref="D61:Q61" ca="1" si="8">D46+D52+D56</f>
        <v>5.459462311155197</v>
      </c>
      <c r="E61" s="727">
        <f t="shared" ca="1" si="8"/>
        <v>16812.086604298856</v>
      </c>
      <c r="F61" s="727">
        <f t="shared" si="8"/>
        <v>427.58439644380036</v>
      </c>
      <c r="G61" s="727">
        <f t="shared" ca="1" si="8"/>
        <v>20877.475286330868</v>
      </c>
      <c r="H61" s="727">
        <f t="shared" si="8"/>
        <v>20642.726494481962</v>
      </c>
      <c r="I61" s="727">
        <f t="shared" si="8"/>
        <v>3599.3954466194837</v>
      </c>
      <c r="J61" s="727">
        <f t="shared" si="8"/>
        <v>0</v>
      </c>
      <c r="K61" s="727">
        <f t="shared" si="8"/>
        <v>561.76291927215277</v>
      </c>
      <c r="L61" s="727">
        <f t="shared" si="8"/>
        <v>0</v>
      </c>
      <c r="M61" s="727">
        <f t="shared" ca="1" si="8"/>
        <v>0</v>
      </c>
      <c r="N61" s="727">
        <f t="shared" si="8"/>
        <v>0</v>
      </c>
      <c r="O61" s="727">
        <f t="shared" ca="1" si="8"/>
        <v>0</v>
      </c>
      <c r="P61" s="727">
        <f t="shared" si="8"/>
        <v>0</v>
      </c>
      <c r="Q61" s="727">
        <f t="shared" si="8"/>
        <v>0</v>
      </c>
      <c r="R61" s="727">
        <f ca="1">R46+R52+R56</f>
        <v>66423.54662762575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3.6627807436799005E-2</v>
      </c>
      <c r="D63" s="773">
        <f t="shared" ca="1" si="9"/>
        <v>1.0551274230527431E-4</v>
      </c>
      <c r="E63" s="965">
        <f t="shared" ca="1" si="9"/>
        <v>0.20199999999999999</v>
      </c>
      <c r="F63" s="773">
        <f t="shared" si="9"/>
        <v>0.22700000000000001</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33365.555163361219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10083.893977246611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36203.418510918134</v>
      </c>
      <c r="C76" s="740">
        <f>'lokale energieproductie'!B8*IFERROR(SUM(D76:H76)/SUM(D76:O76),0)</f>
        <v>16.081489081869655</v>
      </c>
      <c r="D76" s="948">
        <f>'lokale energieproductie'!C8</f>
        <v>18.918904801613287</v>
      </c>
      <c r="E76" s="949">
        <f>'lokale energieproductie'!D8</f>
        <v>0</v>
      </c>
      <c r="F76" s="949">
        <f>'lokale energieproductie'!E8</f>
        <v>0</v>
      </c>
      <c r="G76" s="949">
        <f>'lokale energieproductie'!F8</f>
        <v>0</v>
      </c>
      <c r="H76" s="949">
        <f>'lokale energieproductie'!G8</f>
        <v>0</v>
      </c>
      <c r="I76" s="949">
        <f>'lokale energieproductie'!I8</f>
        <v>0</v>
      </c>
      <c r="J76" s="949">
        <f>'lokale energieproductie'!J8</f>
        <v>42591.144689033594</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3.8216187699258843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79652.867651525972</v>
      </c>
      <c r="C78" s="745">
        <f>SUM(C72:C77)</f>
        <v>16.081489081869655</v>
      </c>
      <c r="D78" s="746">
        <f t="shared" ref="D78:H78" si="10">SUM(D76:D77)</f>
        <v>18.918904801613287</v>
      </c>
      <c r="E78" s="746">
        <f t="shared" si="10"/>
        <v>0</v>
      </c>
      <c r="F78" s="746">
        <f t="shared" si="10"/>
        <v>0</v>
      </c>
      <c r="G78" s="746">
        <f t="shared" si="10"/>
        <v>0</v>
      </c>
      <c r="H78" s="746">
        <f t="shared" si="10"/>
        <v>0</v>
      </c>
      <c r="I78" s="746">
        <f>SUM(I76:I77)</f>
        <v>0</v>
      </c>
      <c r="J78" s="746">
        <f>SUM(J76:J77)</f>
        <v>42591.144689033594</v>
      </c>
      <c r="K78" s="746">
        <f t="shared" ref="K78:L78" si="11">SUM(K76:K77)</f>
        <v>0</v>
      </c>
      <c r="L78" s="746">
        <f t="shared" si="11"/>
        <v>0</v>
      </c>
      <c r="M78" s="746">
        <f>SUM(M76:M77)</f>
        <v>0</v>
      </c>
      <c r="N78" s="746">
        <f>SUM(N76:N77)</f>
        <v>0</v>
      </c>
      <c r="O78" s="855">
        <f>SUM(O76:O77)</f>
        <v>0</v>
      </c>
      <c r="P78" s="747">
        <v>0</v>
      </c>
      <c r="Q78" s="747">
        <f>SUM(Q76:Q77)</f>
        <v>3.8216187699258843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51719.234909234328</v>
      </c>
      <c r="C87" s="758">
        <f>'lokale energieproductie'!B17*IFERROR(SUM(D87:H87)/SUM(D87:O87),0)</f>
        <v>22.973584974155827</v>
      </c>
      <c r="D87" s="769">
        <f>'lokale energieproductie'!C17</f>
        <v>27.027041144332657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60844.569596680696</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5.459462311155197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51719.234909234328</v>
      </c>
      <c r="C90" s="745">
        <f>SUM(C87:C89)</f>
        <v>22.973584974155827</v>
      </c>
      <c r="D90" s="745">
        <f t="shared" ref="D90:H90" si="12">SUM(D87:D89)</f>
        <v>27.027041144332657</v>
      </c>
      <c r="E90" s="745">
        <f t="shared" si="12"/>
        <v>0</v>
      </c>
      <c r="F90" s="745">
        <f t="shared" si="12"/>
        <v>0</v>
      </c>
      <c r="G90" s="745">
        <f t="shared" si="12"/>
        <v>0</v>
      </c>
      <c r="H90" s="745">
        <f t="shared" si="12"/>
        <v>0</v>
      </c>
      <c r="I90" s="745">
        <f>SUM(I87:I89)</f>
        <v>0</v>
      </c>
      <c r="J90" s="745">
        <f>SUM(J87:J89)</f>
        <v>60844.569596680696</v>
      </c>
      <c r="K90" s="745">
        <f t="shared" ref="K90:L90" si="13">SUM(K87:K89)</f>
        <v>0</v>
      </c>
      <c r="L90" s="745">
        <f t="shared" si="13"/>
        <v>0</v>
      </c>
      <c r="M90" s="745">
        <f>SUM(M87:M89)</f>
        <v>0</v>
      </c>
      <c r="N90" s="745">
        <f>SUM(N87:N89)</f>
        <v>0</v>
      </c>
      <c r="O90" s="745">
        <f>SUM(O87:O89)</f>
        <v>0</v>
      </c>
      <c r="P90" s="745">
        <v>0</v>
      </c>
      <c r="Q90" s="745">
        <f>SUM(Q87:Q89)</f>
        <v>5.459462311155197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21495.56811286688</v>
      </c>
      <c r="C4" s="449">
        <f>huishoudens!C8</f>
        <v>0</v>
      </c>
      <c r="D4" s="449">
        <f>huishoudens!D8</f>
        <v>58548.608379224766</v>
      </c>
      <c r="E4" s="449">
        <f>huishoudens!E8</f>
        <v>962.69257851652128</v>
      </c>
      <c r="F4" s="449">
        <f>huishoudens!F8</f>
        <v>21089.326319222364</v>
      </c>
      <c r="G4" s="449">
        <f>huishoudens!G8</f>
        <v>0</v>
      </c>
      <c r="H4" s="449">
        <f>huishoudens!H8</f>
        <v>0</v>
      </c>
      <c r="I4" s="449">
        <f>huishoudens!I8</f>
        <v>0</v>
      </c>
      <c r="J4" s="449">
        <f>huishoudens!J8</f>
        <v>120.19037731212669</v>
      </c>
      <c r="K4" s="449">
        <f>huishoudens!K8</f>
        <v>0</v>
      </c>
      <c r="L4" s="449">
        <f>huishoudens!L8</f>
        <v>0</v>
      </c>
      <c r="M4" s="449">
        <f>huishoudens!M8</f>
        <v>0</v>
      </c>
      <c r="N4" s="449">
        <f>huishoudens!N8</f>
        <v>6935.5165444208196</v>
      </c>
      <c r="O4" s="449">
        <f>huishoudens!O8</f>
        <v>440.43872470392103</v>
      </c>
      <c r="P4" s="450">
        <f>huishoudens!P8</f>
        <v>1042.8619714608171</v>
      </c>
      <c r="Q4" s="451">
        <f>SUM(B4:P4)</f>
        <v>110635.20300772824</v>
      </c>
    </row>
    <row r="5" spans="1:17">
      <c r="A5" s="448" t="s">
        <v>155</v>
      </c>
      <c r="B5" s="449">
        <f ca="1">tertiair!B16</f>
        <v>45749.490424899392</v>
      </c>
      <c r="C5" s="449">
        <f ca="1">tertiair!C16</f>
        <v>24.351351351351351</v>
      </c>
      <c r="D5" s="449">
        <f ca="1">tertiair!D16</f>
        <v>13295.234002718436</v>
      </c>
      <c r="E5" s="449">
        <f>tertiair!E16</f>
        <v>491.67981731171164</v>
      </c>
      <c r="F5" s="449">
        <f ca="1">tertiair!F16</f>
        <v>33401.767194004184</v>
      </c>
      <c r="G5" s="449">
        <f>tertiair!G16</f>
        <v>0</v>
      </c>
      <c r="H5" s="449">
        <f>tertiair!H16</f>
        <v>0</v>
      </c>
      <c r="I5" s="449">
        <f>tertiair!I16</f>
        <v>0</v>
      </c>
      <c r="J5" s="449">
        <f>tertiair!J16</f>
        <v>0.35816401339822751</v>
      </c>
      <c r="K5" s="449">
        <f>tertiair!K16</f>
        <v>0</v>
      </c>
      <c r="L5" s="449">
        <f ca="1">tertiair!L16</f>
        <v>0</v>
      </c>
      <c r="M5" s="449">
        <f>tertiair!M16</f>
        <v>0</v>
      </c>
      <c r="N5" s="449">
        <f ca="1">tertiair!N16</f>
        <v>13555.279015149477</v>
      </c>
      <c r="O5" s="449">
        <f>tertiair!O16</f>
        <v>24.486303829205774</v>
      </c>
      <c r="P5" s="450">
        <f>tertiair!P16</f>
        <v>420.31310645196015</v>
      </c>
      <c r="Q5" s="448">
        <f t="shared" ref="Q5:Q14" ca="1" si="0">SUM(B5:P5)</f>
        <v>106962.95937972913</v>
      </c>
    </row>
    <row r="6" spans="1:17">
      <c r="A6" s="448" t="s">
        <v>193</v>
      </c>
      <c r="B6" s="449">
        <f>'openbare verlichting'!B8</f>
        <v>706.68899999999996</v>
      </c>
      <c r="C6" s="449"/>
      <c r="D6" s="449"/>
      <c r="E6" s="449"/>
      <c r="F6" s="449"/>
      <c r="G6" s="449"/>
      <c r="H6" s="449"/>
      <c r="I6" s="449"/>
      <c r="J6" s="449"/>
      <c r="K6" s="449"/>
      <c r="L6" s="449"/>
      <c r="M6" s="449"/>
      <c r="N6" s="449"/>
      <c r="O6" s="449"/>
      <c r="P6" s="450"/>
      <c r="Q6" s="448">
        <f t="shared" si="0"/>
        <v>706.68899999999996</v>
      </c>
    </row>
    <row r="7" spans="1:17">
      <c r="A7" s="448" t="s">
        <v>111</v>
      </c>
      <c r="B7" s="449">
        <f>landbouw!B8</f>
        <v>5586.3830546814397</v>
      </c>
      <c r="C7" s="449">
        <f>landbouw!C8</f>
        <v>51717.857142857145</v>
      </c>
      <c r="D7" s="449">
        <f>landbouw!D8</f>
        <v>1064.0424824660299</v>
      </c>
      <c r="E7" s="449">
        <f>landbouw!E8</f>
        <v>160.00346457701821</v>
      </c>
      <c r="F7" s="449">
        <f>landbouw!F8</f>
        <v>17683.603033362044</v>
      </c>
      <c r="G7" s="449">
        <f>landbouw!G8</f>
        <v>0</v>
      </c>
      <c r="H7" s="449">
        <f>landbouw!H8</f>
        <v>0</v>
      </c>
      <c r="I7" s="449">
        <f>landbouw!I8</f>
        <v>0</v>
      </c>
      <c r="J7" s="449">
        <f>landbouw!J8</f>
        <v>1420.4417850149623</v>
      </c>
      <c r="K7" s="449">
        <f>landbouw!K8</f>
        <v>0</v>
      </c>
      <c r="L7" s="449">
        <f>landbouw!L8</f>
        <v>0</v>
      </c>
      <c r="M7" s="449">
        <f>landbouw!M8</f>
        <v>0</v>
      </c>
      <c r="N7" s="449">
        <f>landbouw!N8</f>
        <v>0</v>
      </c>
      <c r="O7" s="449">
        <f>landbouw!O8</f>
        <v>0</v>
      </c>
      <c r="P7" s="450">
        <f>landbouw!P8</f>
        <v>0</v>
      </c>
      <c r="Q7" s="448">
        <f t="shared" si="0"/>
        <v>77632.330962958644</v>
      </c>
    </row>
    <row r="8" spans="1:17">
      <c r="A8" s="448" t="s">
        <v>617</v>
      </c>
      <c r="B8" s="449">
        <f>industrie!B18</f>
        <v>21306.35623563527</v>
      </c>
      <c r="C8" s="449">
        <f>industrie!C18</f>
        <v>0</v>
      </c>
      <c r="D8" s="449">
        <f>industrie!D18</f>
        <v>8928.1785003741443</v>
      </c>
      <c r="E8" s="449">
        <f>industrie!E18</f>
        <v>145.39763361414484</v>
      </c>
      <c r="F8" s="449">
        <f>industrie!F18</f>
        <v>6018.0947879839405</v>
      </c>
      <c r="G8" s="449">
        <f>industrie!G18</f>
        <v>0</v>
      </c>
      <c r="H8" s="449">
        <f>industrie!H18</f>
        <v>0</v>
      </c>
      <c r="I8" s="449">
        <f>industrie!I18</f>
        <v>0</v>
      </c>
      <c r="J8" s="449">
        <f>industrie!J18</f>
        <v>45.910575558249519</v>
      </c>
      <c r="K8" s="449">
        <f>industrie!K18</f>
        <v>0</v>
      </c>
      <c r="L8" s="449">
        <f>industrie!L18</f>
        <v>0</v>
      </c>
      <c r="M8" s="449">
        <f>industrie!M18</f>
        <v>0</v>
      </c>
      <c r="N8" s="449">
        <f>industrie!N18</f>
        <v>1142.4539851575605</v>
      </c>
      <c r="O8" s="449">
        <f>industrie!O18</f>
        <v>0</v>
      </c>
      <c r="P8" s="450">
        <f>industrie!P18</f>
        <v>0</v>
      </c>
      <c r="Q8" s="448">
        <f t="shared" si="0"/>
        <v>37586.391718323313</v>
      </c>
    </row>
    <row r="9" spans="1:17" s="454" customFormat="1">
      <c r="A9" s="452" t="s">
        <v>543</v>
      </c>
      <c r="B9" s="453">
        <f>transport!B14</f>
        <v>176.4092103857794</v>
      </c>
      <c r="C9" s="453">
        <f>transport!C14</f>
        <v>0</v>
      </c>
      <c r="D9" s="453">
        <f>transport!D14</f>
        <v>289.53019525321264</v>
      </c>
      <c r="E9" s="453">
        <f>transport!E14</f>
        <v>123.85820837620032</v>
      </c>
      <c r="F9" s="453">
        <f>transport!F14</f>
        <v>0</v>
      </c>
      <c r="G9" s="453">
        <f>transport!G14</f>
        <v>76657.953582628805</v>
      </c>
      <c r="H9" s="453">
        <f>transport!H14</f>
        <v>14455.403400078249</v>
      </c>
      <c r="I9" s="453">
        <f>transport!I14</f>
        <v>0</v>
      </c>
      <c r="J9" s="453">
        <f>transport!J14</f>
        <v>0</v>
      </c>
      <c r="K9" s="453">
        <f>transport!K14</f>
        <v>0</v>
      </c>
      <c r="L9" s="453">
        <f>transport!L14</f>
        <v>0</v>
      </c>
      <c r="M9" s="453">
        <f>transport!M14</f>
        <v>5426.3186743881643</v>
      </c>
      <c r="N9" s="453">
        <f>transport!N14</f>
        <v>0</v>
      </c>
      <c r="O9" s="453">
        <f>transport!O14</f>
        <v>0</v>
      </c>
      <c r="P9" s="453">
        <f>transport!P14</f>
        <v>0</v>
      </c>
      <c r="Q9" s="452">
        <f>SUM(B9:P9)</f>
        <v>97129.473271110415</v>
      </c>
    </row>
    <row r="10" spans="1:17">
      <c r="A10" s="448" t="s">
        <v>533</v>
      </c>
      <c r="B10" s="449">
        <f>transport!B54</f>
        <v>10.472797639351578</v>
      </c>
      <c r="C10" s="449">
        <f>transport!C54</f>
        <v>0</v>
      </c>
      <c r="D10" s="449">
        <f>transport!D54</f>
        <v>0</v>
      </c>
      <c r="E10" s="449">
        <f>transport!E54</f>
        <v>0</v>
      </c>
      <c r="F10" s="449">
        <f>transport!F54</f>
        <v>0</v>
      </c>
      <c r="G10" s="449">
        <f>transport!G54</f>
        <v>655.62879370812675</v>
      </c>
      <c r="H10" s="449">
        <f>transport!H54</f>
        <v>0</v>
      </c>
      <c r="I10" s="449">
        <f>transport!I54</f>
        <v>0</v>
      </c>
      <c r="J10" s="449">
        <f>transport!J54</f>
        <v>0</v>
      </c>
      <c r="K10" s="449">
        <f>transport!K54</f>
        <v>0</v>
      </c>
      <c r="L10" s="449">
        <f>transport!L54</f>
        <v>0</v>
      </c>
      <c r="M10" s="449">
        <f>transport!M54</f>
        <v>37.644753619912535</v>
      </c>
      <c r="N10" s="449">
        <f>transport!N54</f>
        <v>0</v>
      </c>
      <c r="O10" s="449">
        <f>transport!O54</f>
        <v>0</v>
      </c>
      <c r="P10" s="450">
        <f>transport!P54</f>
        <v>0</v>
      </c>
      <c r="Q10" s="448">
        <f t="shared" si="0"/>
        <v>703.74634496739088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444.07079815380001</v>
      </c>
      <c r="C14" s="456"/>
      <c r="D14" s="456">
        <f>'SEAP template'!E25</f>
        <v>1102.55794639339</v>
      </c>
      <c r="E14" s="456"/>
      <c r="F14" s="456"/>
      <c r="G14" s="456"/>
      <c r="H14" s="456"/>
      <c r="I14" s="456"/>
      <c r="J14" s="456"/>
      <c r="K14" s="456"/>
      <c r="L14" s="456"/>
      <c r="M14" s="456"/>
      <c r="N14" s="456"/>
      <c r="O14" s="456"/>
      <c r="P14" s="457"/>
      <c r="Q14" s="448">
        <f t="shared" si="0"/>
        <v>1546.6287445471901</v>
      </c>
    </row>
    <row r="15" spans="1:17" s="460" customFormat="1">
      <c r="A15" s="458" t="s">
        <v>537</v>
      </c>
      <c r="B15" s="459">
        <f ca="1">SUM(B4:B14)</f>
        <v>95475.439634261929</v>
      </c>
      <c r="C15" s="459">
        <f t="shared" ref="C15:Q15" ca="1" si="1">SUM(C4:C14)</f>
        <v>51742.208494208498</v>
      </c>
      <c r="D15" s="459">
        <f t="shared" ca="1" si="1"/>
        <v>83228.151506429975</v>
      </c>
      <c r="E15" s="459">
        <f t="shared" si="1"/>
        <v>1883.6317023955962</v>
      </c>
      <c r="F15" s="459">
        <f t="shared" ca="1" si="1"/>
        <v>78192.791334572525</v>
      </c>
      <c r="G15" s="459">
        <f t="shared" si="1"/>
        <v>77313.582376336926</v>
      </c>
      <c r="H15" s="459">
        <f t="shared" si="1"/>
        <v>14455.403400078249</v>
      </c>
      <c r="I15" s="459">
        <f t="shared" si="1"/>
        <v>0</v>
      </c>
      <c r="J15" s="459">
        <f t="shared" si="1"/>
        <v>1586.9009018987367</v>
      </c>
      <c r="K15" s="459">
        <f t="shared" si="1"/>
        <v>0</v>
      </c>
      <c r="L15" s="459">
        <f t="shared" ca="1" si="1"/>
        <v>0</v>
      </c>
      <c r="M15" s="459">
        <f t="shared" si="1"/>
        <v>5463.9634280080772</v>
      </c>
      <c r="N15" s="459">
        <f t="shared" ca="1" si="1"/>
        <v>21633.249544727856</v>
      </c>
      <c r="O15" s="459">
        <f t="shared" si="1"/>
        <v>464.92502853312681</v>
      </c>
      <c r="P15" s="459">
        <f t="shared" si="1"/>
        <v>1463.1750779127774</v>
      </c>
      <c r="Q15" s="459">
        <f t="shared" ca="1" si="1"/>
        <v>432903.42242936435</v>
      </c>
    </row>
    <row r="17" spans="1:17">
      <c r="A17" s="461" t="s">
        <v>538</v>
      </c>
      <c r="B17" s="778">
        <f ca="1">huishoudens!B10</f>
        <v>3.6627807436799005E-2</v>
      </c>
      <c r="C17" s="778">
        <f ca="1">huishoudens!C10</f>
        <v>1.0551274230527431E-4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787.33552958268513</v>
      </c>
      <c r="C22" s="449">
        <f t="shared" ref="C22:C32" ca="1" si="3">C4*$C$17</f>
        <v>0</v>
      </c>
      <c r="D22" s="449">
        <f t="shared" ref="D22:D32" si="4">D4*$D$17</f>
        <v>11826.818892603404</v>
      </c>
      <c r="E22" s="449">
        <f t="shared" ref="E22:E32" si="5">E4*$E$17</f>
        <v>218.53121532325034</v>
      </c>
      <c r="F22" s="449">
        <f t="shared" ref="F22:F32" si="6">F4*$F$17</f>
        <v>5630.8501272323711</v>
      </c>
      <c r="G22" s="449">
        <f t="shared" ref="G22:G32" si="7">G4*$G$17</f>
        <v>0</v>
      </c>
      <c r="H22" s="449">
        <f t="shared" ref="H22:H32" si="8">H4*$H$17</f>
        <v>0</v>
      </c>
      <c r="I22" s="449">
        <f t="shared" ref="I22:I32" si="9">I4*$I$17</f>
        <v>0</v>
      </c>
      <c r="J22" s="449">
        <f t="shared" ref="J22:J32" si="10">J4*$J$17</f>
        <v>42.547393568492843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18506.083158310204</v>
      </c>
    </row>
    <row r="23" spans="1:17">
      <c r="A23" s="448" t="s">
        <v>155</v>
      </c>
      <c r="B23" s="449">
        <f t="shared" ca="1" si="2"/>
        <v>1675.7035256148947</v>
      </c>
      <c r="C23" s="449">
        <f t="shared" ca="1" si="3"/>
        <v>2.5693778599203284E-3</v>
      </c>
      <c r="D23" s="449">
        <f t="shared" ca="1" si="4"/>
        <v>2685.6372685491242</v>
      </c>
      <c r="E23" s="449">
        <f t="shared" si="5"/>
        <v>111.61131852975855</v>
      </c>
      <c r="F23" s="449">
        <f t="shared" ca="1" si="6"/>
        <v>8918.2718407991179</v>
      </c>
      <c r="G23" s="449">
        <f t="shared" si="7"/>
        <v>0</v>
      </c>
      <c r="H23" s="449">
        <f t="shared" si="8"/>
        <v>0</v>
      </c>
      <c r="I23" s="449">
        <f t="shared" si="9"/>
        <v>0</v>
      </c>
      <c r="J23" s="449">
        <f t="shared" si="10"/>
        <v>0.12679006074297253</v>
      </c>
      <c r="K23" s="449">
        <f t="shared" si="11"/>
        <v>0</v>
      </c>
      <c r="L23" s="449">
        <f t="shared" ca="1" si="12"/>
        <v>0</v>
      </c>
      <c r="M23" s="449">
        <f t="shared" si="13"/>
        <v>0</v>
      </c>
      <c r="N23" s="449">
        <f t="shared" ca="1" si="14"/>
        <v>0</v>
      </c>
      <c r="O23" s="449">
        <f t="shared" si="15"/>
        <v>0</v>
      </c>
      <c r="P23" s="450">
        <f t="shared" si="16"/>
        <v>0</v>
      </c>
      <c r="Q23" s="448">
        <f t="shared" ref="Q23:Q31" ca="1" si="17">SUM(B23:P23)</f>
        <v>13391.353312931498</v>
      </c>
    </row>
    <row r="24" spans="1:17">
      <c r="A24" s="448" t="s">
        <v>193</v>
      </c>
      <c r="B24" s="449">
        <f t="shared" ca="1" si="2"/>
        <v>25.884468609704051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25.884468609704051</v>
      </c>
    </row>
    <row r="25" spans="1:17">
      <c r="A25" s="448" t="s">
        <v>111</v>
      </c>
      <c r="B25" s="449">
        <f t="shared" ca="1" si="2"/>
        <v>204.61696279506879</v>
      </c>
      <c r="C25" s="449">
        <f t="shared" ca="1" si="3"/>
        <v>5.4568929332952765</v>
      </c>
      <c r="D25" s="449">
        <f t="shared" si="4"/>
        <v>214.93658145813805</v>
      </c>
      <c r="E25" s="449">
        <f t="shared" si="5"/>
        <v>36.320786458983136</v>
      </c>
      <c r="F25" s="449">
        <f t="shared" si="6"/>
        <v>4721.522009907666</v>
      </c>
      <c r="G25" s="449">
        <f t="shared" si="7"/>
        <v>0</v>
      </c>
      <c r="H25" s="449">
        <f t="shared" si="8"/>
        <v>0</v>
      </c>
      <c r="I25" s="449">
        <f t="shared" si="9"/>
        <v>0</v>
      </c>
      <c r="J25" s="449">
        <f t="shared" si="10"/>
        <v>502.83639189529663</v>
      </c>
      <c r="K25" s="449">
        <f t="shared" si="11"/>
        <v>0</v>
      </c>
      <c r="L25" s="449">
        <f t="shared" si="12"/>
        <v>0</v>
      </c>
      <c r="M25" s="449">
        <f t="shared" si="13"/>
        <v>0</v>
      </c>
      <c r="N25" s="449">
        <f t="shared" si="14"/>
        <v>0</v>
      </c>
      <c r="O25" s="449">
        <f t="shared" si="15"/>
        <v>0</v>
      </c>
      <c r="P25" s="450">
        <f t="shared" si="16"/>
        <v>0</v>
      </c>
      <c r="Q25" s="448">
        <f t="shared" ca="1" si="17"/>
        <v>5685.6896254484473</v>
      </c>
    </row>
    <row r="26" spans="1:17">
      <c r="A26" s="448" t="s">
        <v>617</v>
      </c>
      <c r="B26" s="449">
        <f t="shared" ca="1" si="2"/>
        <v>780.40511337869043</v>
      </c>
      <c r="C26" s="449">
        <f t="shared" ca="1" si="3"/>
        <v>0</v>
      </c>
      <c r="D26" s="449">
        <f t="shared" si="4"/>
        <v>1803.4920570755773</v>
      </c>
      <c r="E26" s="449">
        <f t="shared" si="5"/>
        <v>33.005262830410878</v>
      </c>
      <c r="F26" s="449">
        <f t="shared" si="6"/>
        <v>1606.8313083917121</v>
      </c>
      <c r="G26" s="449">
        <f t="shared" si="7"/>
        <v>0</v>
      </c>
      <c r="H26" s="449">
        <f t="shared" si="8"/>
        <v>0</v>
      </c>
      <c r="I26" s="449">
        <f t="shared" si="9"/>
        <v>0</v>
      </c>
      <c r="J26" s="449">
        <f t="shared" si="10"/>
        <v>16.25234374762033</v>
      </c>
      <c r="K26" s="449">
        <f t="shared" si="11"/>
        <v>0</v>
      </c>
      <c r="L26" s="449">
        <f t="shared" si="12"/>
        <v>0</v>
      </c>
      <c r="M26" s="449">
        <f t="shared" si="13"/>
        <v>0</v>
      </c>
      <c r="N26" s="449">
        <f t="shared" si="14"/>
        <v>0</v>
      </c>
      <c r="O26" s="449">
        <f t="shared" si="15"/>
        <v>0</v>
      </c>
      <c r="P26" s="450">
        <f t="shared" si="16"/>
        <v>0</v>
      </c>
      <c r="Q26" s="448">
        <f t="shared" ca="1" si="17"/>
        <v>4239.9860854240114</v>
      </c>
    </row>
    <row r="27" spans="1:17" s="454" customFormat="1">
      <c r="A27" s="452" t="s">
        <v>543</v>
      </c>
      <c r="B27" s="772">
        <f t="shared" ca="1" si="2"/>
        <v>6.4614825880880913</v>
      </c>
      <c r="C27" s="453">
        <f t="shared" ca="1" si="3"/>
        <v>0</v>
      </c>
      <c r="D27" s="453">
        <f t="shared" si="4"/>
        <v>58.485099441148954</v>
      </c>
      <c r="E27" s="453">
        <f t="shared" si="5"/>
        <v>28.115813301397473</v>
      </c>
      <c r="F27" s="453">
        <f t="shared" si="6"/>
        <v>0</v>
      </c>
      <c r="G27" s="453">
        <f t="shared" si="7"/>
        <v>20467.673606561893</v>
      </c>
      <c r="H27" s="453">
        <f t="shared" si="8"/>
        <v>3599.3954466194837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24160.131448512013</v>
      </c>
    </row>
    <row r="28" spans="1:17" ht="16.5" customHeight="1">
      <c r="A28" s="448" t="s">
        <v>533</v>
      </c>
      <c r="B28" s="449">
        <f t="shared" ca="1" si="2"/>
        <v>0.38359561525873276</v>
      </c>
      <c r="C28" s="449">
        <f t="shared" ca="1" si="3"/>
        <v>0</v>
      </c>
      <c r="D28" s="449">
        <f t="shared" si="4"/>
        <v>0</v>
      </c>
      <c r="E28" s="449">
        <f t="shared" si="5"/>
        <v>0</v>
      </c>
      <c r="F28" s="449">
        <f t="shared" si="6"/>
        <v>0</v>
      </c>
      <c r="G28" s="449">
        <f t="shared" si="7"/>
        <v>175.05288792006985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175.43648353532859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16.265339683083027</v>
      </c>
      <c r="C32" s="449">
        <f t="shared" ca="1" si="3"/>
        <v>0</v>
      </c>
      <c r="D32" s="449">
        <f t="shared" si="4"/>
        <v>222.71670517146481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238.98204485454784</v>
      </c>
    </row>
    <row r="33" spans="1:17" s="460" customFormat="1">
      <c r="A33" s="458" t="s">
        <v>537</v>
      </c>
      <c r="B33" s="459">
        <f ca="1">SUM(B22:B32)</f>
        <v>3497.0560178674732</v>
      </c>
      <c r="C33" s="459">
        <f t="shared" ref="C33:Q33" ca="1" si="19">SUM(C22:C32)</f>
        <v>5.459462311155197</v>
      </c>
      <c r="D33" s="459">
        <f t="shared" ca="1" si="19"/>
        <v>16812.086604298856</v>
      </c>
      <c r="E33" s="459">
        <f t="shared" si="19"/>
        <v>427.58439644380036</v>
      </c>
      <c r="F33" s="459">
        <f t="shared" ca="1" si="19"/>
        <v>20877.475286330868</v>
      </c>
      <c r="G33" s="459">
        <f t="shared" si="19"/>
        <v>20642.726494481962</v>
      </c>
      <c r="H33" s="459">
        <f t="shared" si="19"/>
        <v>3599.3954466194837</v>
      </c>
      <c r="I33" s="459">
        <f t="shared" si="19"/>
        <v>0</v>
      </c>
      <c r="J33" s="459">
        <f t="shared" si="19"/>
        <v>561.76291927215277</v>
      </c>
      <c r="K33" s="459">
        <f t="shared" si="19"/>
        <v>0</v>
      </c>
      <c r="L33" s="459">
        <f t="shared" ca="1" si="19"/>
        <v>0</v>
      </c>
      <c r="M33" s="459">
        <f t="shared" si="19"/>
        <v>0</v>
      </c>
      <c r="N33" s="459">
        <f t="shared" ca="1" si="19"/>
        <v>0</v>
      </c>
      <c r="O33" s="459">
        <f t="shared" si="19"/>
        <v>0</v>
      </c>
      <c r="P33" s="459">
        <f t="shared" si="19"/>
        <v>0</v>
      </c>
      <c r="Q33" s="459">
        <f t="shared" ca="1" si="19"/>
        <v>66423.546627625765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33365.555163361219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10083.893977246611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36203.418510918134</v>
      </c>
      <c r="C8" s="1016">
        <f>'SEAP template'!C76</f>
        <v>16.081489081869655</v>
      </c>
      <c r="D8" s="1016">
        <f>'SEAP template'!D76</f>
        <v>18.918904801613287</v>
      </c>
      <c r="E8" s="1016">
        <f>'SEAP template'!E76</f>
        <v>0</v>
      </c>
      <c r="F8" s="1016">
        <f>'SEAP template'!F76</f>
        <v>0</v>
      </c>
      <c r="G8" s="1016">
        <f>'SEAP template'!G76</f>
        <v>0</v>
      </c>
      <c r="H8" s="1016">
        <f>'SEAP template'!H76</f>
        <v>0</v>
      </c>
      <c r="I8" s="1016">
        <f>'SEAP template'!I76</f>
        <v>0</v>
      </c>
      <c r="J8" s="1016">
        <f>'SEAP template'!J76</f>
        <v>42591.144689033594</v>
      </c>
      <c r="K8" s="1016">
        <f>'SEAP template'!K76</f>
        <v>0</v>
      </c>
      <c r="L8" s="1016">
        <f>'SEAP template'!L76</f>
        <v>0</v>
      </c>
      <c r="M8" s="1016">
        <f>'SEAP template'!M76</f>
        <v>0</v>
      </c>
      <c r="N8" s="1016">
        <f>'SEAP template'!N76</f>
        <v>0</v>
      </c>
      <c r="O8" s="1016">
        <f>'SEAP template'!O76</f>
        <v>0</v>
      </c>
      <c r="P8" s="1017">
        <f>'SEAP template'!Q76</f>
        <v>3.8216187699258843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79652.867651525972</v>
      </c>
      <c r="C10" s="1018">
        <f>SUM(C4:C9)</f>
        <v>16.081489081869655</v>
      </c>
      <c r="D10" s="1018">
        <f t="shared" ref="D10:H10" si="0">SUM(D8:D9)</f>
        <v>18.918904801613287</v>
      </c>
      <c r="E10" s="1018">
        <f t="shared" si="0"/>
        <v>0</v>
      </c>
      <c r="F10" s="1018">
        <f t="shared" si="0"/>
        <v>0</v>
      </c>
      <c r="G10" s="1018">
        <f t="shared" si="0"/>
        <v>0</v>
      </c>
      <c r="H10" s="1018">
        <f t="shared" si="0"/>
        <v>0</v>
      </c>
      <c r="I10" s="1018">
        <f>SUM(I8:I9)</f>
        <v>0</v>
      </c>
      <c r="J10" s="1018">
        <f>SUM(J8:J9)</f>
        <v>42591.144689033594</v>
      </c>
      <c r="K10" s="1018">
        <f t="shared" ref="K10:L10" si="1">SUM(K8:K9)</f>
        <v>0</v>
      </c>
      <c r="L10" s="1018">
        <f t="shared" si="1"/>
        <v>0</v>
      </c>
      <c r="M10" s="1018">
        <f>SUM(M8:M9)</f>
        <v>0</v>
      </c>
      <c r="N10" s="1018">
        <f>SUM(N8:N9)</f>
        <v>0</v>
      </c>
      <c r="O10" s="1018">
        <f>SUM(O8:O9)</f>
        <v>0</v>
      </c>
      <c r="P10" s="1018">
        <f>SUM(P8:P9)</f>
        <v>3.8216187699258843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3.6627807436799005E-2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51719.234909234328</v>
      </c>
      <c r="C17" s="1019">
        <f>'SEAP template'!C87</f>
        <v>22.973584974155827</v>
      </c>
      <c r="D17" s="1017">
        <f>'SEAP template'!D87</f>
        <v>27.027041144332657</v>
      </c>
      <c r="E17" s="1017">
        <f>'SEAP template'!E87</f>
        <v>0</v>
      </c>
      <c r="F17" s="1017">
        <f>'SEAP template'!F87</f>
        <v>0</v>
      </c>
      <c r="G17" s="1017">
        <f>'SEAP template'!G87</f>
        <v>0</v>
      </c>
      <c r="H17" s="1017">
        <f>'SEAP template'!H87</f>
        <v>0</v>
      </c>
      <c r="I17" s="1017">
        <f>'SEAP template'!I87</f>
        <v>0</v>
      </c>
      <c r="J17" s="1017">
        <f>'SEAP template'!J87</f>
        <v>60844.569596680696</v>
      </c>
      <c r="K17" s="1017">
        <f>'SEAP template'!K87</f>
        <v>0</v>
      </c>
      <c r="L17" s="1017">
        <f>'SEAP template'!L87</f>
        <v>0</v>
      </c>
      <c r="M17" s="1017">
        <f>'SEAP template'!M87</f>
        <v>0</v>
      </c>
      <c r="N17" s="1017">
        <f>'SEAP template'!N87</f>
        <v>0</v>
      </c>
      <c r="O17" s="1017">
        <f>'SEAP template'!O87</f>
        <v>0</v>
      </c>
      <c r="P17" s="1017">
        <f>'SEAP template'!Q87</f>
        <v>5.459462311155197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51719.234909234328</v>
      </c>
      <c r="C20" s="1018">
        <f>SUM(C17:C19)</f>
        <v>22.973584974155827</v>
      </c>
      <c r="D20" s="1018">
        <f t="shared" ref="D20:H20" si="2">SUM(D17:D19)</f>
        <v>27.027041144332657</v>
      </c>
      <c r="E20" s="1018">
        <f t="shared" si="2"/>
        <v>0</v>
      </c>
      <c r="F20" s="1018">
        <f t="shared" si="2"/>
        <v>0</v>
      </c>
      <c r="G20" s="1018">
        <f t="shared" si="2"/>
        <v>0</v>
      </c>
      <c r="H20" s="1018">
        <f t="shared" si="2"/>
        <v>0</v>
      </c>
      <c r="I20" s="1018">
        <f>SUM(I17:I19)</f>
        <v>0</v>
      </c>
      <c r="J20" s="1018">
        <f>SUM(J17:J19)</f>
        <v>60844.569596680696</v>
      </c>
      <c r="K20" s="1018">
        <f t="shared" ref="K20:L20" si="3">SUM(K17:K19)</f>
        <v>0</v>
      </c>
      <c r="L20" s="1018">
        <f t="shared" si="3"/>
        <v>0</v>
      </c>
      <c r="M20" s="1018">
        <f>SUM(M17:M19)</f>
        <v>0</v>
      </c>
      <c r="N20" s="1018">
        <f>SUM(N17:N19)</f>
        <v>0</v>
      </c>
      <c r="O20" s="1018">
        <f>SUM(O17:O19)</f>
        <v>0</v>
      </c>
      <c r="P20" s="1018">
        <f>SUM(P17:P19)</f>
        <v>5.459462311155197</v>
      </c>
    </row>
    <row r="21" spans="1:16">
      <c r="B21" s="883"/>
    </row>
    <row r="22" spans="1:16">
      <c r="A22" s="461" t="s">
        <v>755</v>
      </c>
      <c r="B22" s="778" t="s">
        <v>753</v>
      </c>
      <c r="C22" s="778">
        <f ca="1">'EF ele_warmte'!B22</f>
        <v>1.0551274230527431E-4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3.6627807436799005E-2</v>
      </c>
      <c r="C17" s="498">
        <f ca="1">'EF ele_warmte'!B22</f>
        <v>1.0551274230527431E-4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3.6627807436799005E-2</v>
      </c>
      <c r="C17" s="498">
        <f ca="1">'EF ele_warmte'!B22</f>
        <v>1.0551274230527431E-4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3.6627807436799005E-2</v>
      </c>
      <c r="C29" s="499">
        <f ca="1">'EF ele_warmte'!B22</f>
        <v>1.0551274230527431E-4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2435.04</v>
      </c>
      <c r="C14" s="326"/>
      <c r="D14" s="326"/>
      <c r="E14" s="326"/>
      <c r="F14" s="326"/>
    </row>
    <row r="15" spans="1:6">
      <c r="A15" s="1312" t="s">
        <v>183</v>
      </c>
      <c r="B15" s="1313">
        <v>4530</v>
      </c>
      <c r="C15" s="326"/>
      <c r="D15" s="326"/>
      <c r="E15" s="326"/>
      <c r="F15" s="326"/>
    </row>
    <row r="16" spans="1:6">
      <c r="A16" s="1312" t="s">
        <v>6</v>
      </c>
      <c r="B16" s="1313">
        <v>1712</v>
      </c>
      <c r="C16" s="326"/>
      <c r="D16" s="326"/>
      <c r="E16" s="326"/>
      <c r="F16" s="326"/>
    </row>
    <row r="17" spans="1:6">
      <c r="A17" s="1312" t="s">
        <v>7</v>
      </c>
      <c r="B17" s="1313">
        <v>120</v>
      </c>
      <c r="C17" s="326"/>
      <c r="D17" s="326"/>
      <c r="E17" s="326"/>
      <c r="F17" s="326"/>
    </row>
    <row r="18" spans="1:6">
      <c r="A18" s="1312" t="s">
        <v>8</v>
      </c>
      <c r="B18" s="1313">
        <v>866</v>
      </c>
      <c r="C18" s="326"/>
      <c r="D18" s="326"/>
      <c r="E18" s="326"/>
      <c r="F18" s="326"/>
    </row>
    <row r="19" spans="1:6">
      <c r="A19" s="1312" t="s">
        <v>9</v>
      </c>
      <c r="B19" s="1313">
        <v>773</v>
      </c>
      <c r="C19" s="326"/>
      <c r="D19" s="326"/>
      <c r="E19" s="326"/>
      <c r="F19" s="326"/>
    </row>
    <row r="20" spans="1:6">
      <c r="A20" s="1312" t="s">
        <v>10</v>
      </c>
      <c r="B20" s="1313">
        <v>450</v>
      </c>
      <c r="C20" s="326"/>
      <c r="D20" s="326"/>
      <c r="E20" s="326"/>
      <c r="F20" s="326"/>
    </row>
    <row r="21" spans="1:6">
      <c r="A21" s="1312" t="s">
        <v>11</v>
      </c>
      <c r="B21" s="1313">
        <v>21154</v>
      </c>
      <c r="C21" s="326"/>
      <c r="D21" s="326"/>
      <c r="E21" s="326"/>
      <c r="F21" s="326"/>
    </row>
    <row r="22" spans="1:6">
      <c r="A22" s="1312" t="s">
        <v>12</v>
      </c>
      <c r="B22" s="1313">
        <v>10242</v>
      </c>
      <c r="C22" s="326"/>
      <c r="D22" s="326"/>
      <c r="E22" s="326"/>
      <c r="F22" s="326"/>
    </row>
    <row r="23" spans="1:6">
      <c r="A23" s="1312" t="s">
        <v>13</v>
      </c>
      <c r="B23" s="1313">
        <v>1060</v>
      </c>
      <c r="C23" s="326"/>
      <c r="D23" s="326"/>
      <c r="E23" s="326"/>
      <c r="F23" s="326"/>
    </row>
    <row r="24" spans="1:6">
      <c r="A24" s="1312" t="s">
        <v>14</v>
      </c>
      <c r="B24" s="1313">
        <v>12</v>
      </c>
      <c r="C24" s="326"/>
      <c r="D24" s="326"/>
      <c r="E24" s="326"/>
      <c r="F24" s="326"/>
    </row>
    <row r="25" spans="1:6">
      <c r="A25" s="1312" t="s">
        <v>15</v>
      </c>
      <c r="B25" s="1313">
        <v>4902</v>
      </c>
      <c r="C25" s="326"/>
      <c r="D25" s="326"/>
      <c r="E25" s="326"/>
      <c r="F25" s="326"/>
    </row>
    <row r="26" spans="1:6">
      <c r="A26" s="1312" t="s">
        <v>16</v>
      </c>
      <c r="B26" s="1313">
        <v>0</v>
      </c>
      <c r="C26" s="326"/>
      <c r="D26" s="326"/>
      <c r="E26" s="326"/>
      <c r="F26" s="326"/>
    </row>
    <row r="27" spans="1:6">
      <c r="A27" s="1312" t="s">
        <v>17</v>
      </c>
      <c r="B27" s="1313">
        <v>1</v>
      </c>
      <c r="C27" s="326"/>
      <c r="D27" s="326"/>
      <c r="E27" s="326"/>
      <c r="F27" s="326"/>
    </row>
    <row r="28" spans="1:6" s="43" customFormat="1">
      <c r="A28" s="1314" t="s">
        <v>18</v>
      </c>
      <c r="B28" s="1315">
        <v>446909</v>
      </c>
      <c r="C28" s="332"/>
      <c r="D28" s="332"/>
      <c r="E28" s="332"/>
      <c r="F28" s="332"/>
    </row>
    <row r="29" spans="1:6">
      <c r="A29" s="1314" t="s">
        <v>684</v>
      </c>
      <c r="B29" s="1315">
        <v>87</v>
      </c>
      <c r="C29" s="332"/>
      <c r="D29" s="332"/>
      <c r="E29" s="332"/>
      <c r="F29" s="332"/>
    </row>
    <row r="30" spans="1:6">
      <c r="A30" s="1307" t="s">
        <v>685</v>
      </c>
      <c r="B30" s="1316">
        <v>10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8062.5503781199996</v>
      </c>
    </row>
    <row r="37" spans="1:6">
      <c r="A37" s="1312" t="s">
        <v>24</v>
      </c>
      <c r="B37" s="1312" t="s">
        <v>27</v>
      </c>
      <c r="C37" s="1313">
        <v>0</v>
      </c>
      <c r="D37" s="1313">
        <v>0</v>
      </c>
      <c r="E37" s="1313">
        <v>0</v>
      </c>
      <c r="F37" s="1313">
        <v>0</v>
      </c>
    </row>
    <row r="38" spans="1:6">
      <c r="A38" s="1312" t="s">
        <v>24</v>
      </c>
      <c r="B38" s="1312" t="s">
        <v>28</v>
      </c>
      <c r="C38" s="1313">
        <v>2</v>
      </c>
      <c r="D38" s="1313">
        <v>172282.03402966799</v>
      </c>
      <c r="E38" s="1313">
        <v>0</v>
      </c>
      <c r="F38" s="1313">
        <v>0</v>
      </c>
    </row>
    <row r="39" spans="1:6">
      <c r="A39" s="1312" t="s">
        <v>29</v>
      </c>
      <c r="B39" s="1312" t="s">
        <v>30</v>
      </c>
      <c r="C39" s="1313">
        <v>4012</v>
      </c>
      <c r="D39" s="1313">
        <v>64837883.033471502</v>
      </c>
      <c r="E39" s="1313">
        <v>5274</v>
      </c>
      <c r="F39" s="1313">
        <v>16481366.125319799</v>
      </c>
    </row>
    <row r="40" spans="1:6">
      <c r="A40" s="1312" t="s">
        <v>29</v>
      </c>
      <c r="B40" s="1312" t="s">
        <v>28</v>
      </c>
      <c r="C40" s="1313">
        <v>0</v>
      </c>
      <c r="D40" s="1313">
        <v>0</v>
      </c>
      <c r="E40" s="1313">
        <v>0</v>
      </c>
      <c r="F40" s="1313">
        <v>0</v>
      </c>
    </row>
    <row r="41" spans="1:6">
      <c r="A41" s="1312" t="s">
        <v>31</v>
      </c>
      <c r="B41" s="1312" t="s">
        <v>32</v>
      </c>
      <c r="C41" s="1313">
        <v>89</v>
      </c>
      <c r="D41" s="1313">
        <v>2342481.5232634498</v>
      </c>
      <c r="E41" s="1313">
        <v>157</v>
      </c>
      <c r="F41" s="1313">
        <v>8072144.1453851396</v>
      </c>
    </row>
    <row r="42" spans="1:6">
      <c r="A42" s="1312" t="s">
        <v>31</v>
      </c>
      <c r="B42" s="1312" t="s">
        <v>33</v>
      </c>
      <c r="C42" s="1313">
        <v>0</v>
      </c>
      <c r="D42" s="1313">
        <v>0</v>
      </c>
      <c r="E42" s="1313">
        <v>3</v>
      </c>
      <c r="F42" s="1313">
        <v>229457.31902520801</v>
      </c>
    </row>
    <row r="43" spans="1:6">
      <c r="A43" s="1312" t="s">
        <v>31</v>
      </c>
      <c r="B43" s="1312" t="s">
        <v>34</v>
      </c>
      <c r="C43" s="1313">
        <v>0</v>
      </c>
      <c r="D43" s="1313">
        <v>0</v>
      </c>
      <c r="E43" s="1313">
        <v>0</v>
      </c>
      <c r="F43" s="1313">
        <v>0</v>
      </c>
    </row>
    <row r="44" spans="1:6">
      <c r="A44" s="1312" t="s">
        <v>31</v>
      </c>
      <c r="B44" s="1312" t="s">
        <v>35</v>
      </c>
      <c r="C44" s="1313">
        <v>22</v>
      </c>
      <c r="D44" s="1313">
        <v>6429248.4558276497</v>
      </c>
      <c r="E44" s="1313">
        <v>31</v>
      </c>
      <c r="F44" s="1313">
        <v>9644994.5970233493</v>
      </c>
    </row>
    <row r="45" spans="1:6">
      <c r="A45" s="1312" t="s">
        <v>31</v>
      </c>
      <c r="B45" s="1312" t="s">
        <v>36</v>
      </c>
      <c r="C45" s="1313">
        <v>0</v>
      </c>
      <c r="D45" s="1313">
        <v>0</v>
      </c>
      <c r="E45" s="1313">
        <v>4</v>
      </c>
      <c r="F45" s="1313">
        <v>1053613.54950623</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1541599.3051939099</v>
      </c>
    </row>
    <row r="48" spans="1:6">
      <c r="A48" s="1312" t="s">
        <v>31</v>
      </c>
      <c r="B48" s="1312" t="s">
        <v>28</v>
      </c>
      <c r="C48" s="1313">
        <v>4</v>
      </c>
      <c r="D48" s="1313">
        <v>439818.62891438359</v>
      </c>
      <c r="E48" s="1313">
        <v>0</v>
      </c>
      <c r="F48" s="1313">
        <v>0</v>
      </c>
    </row>
    <row r="49" spans="1:6">
      <c r="A49" s="1312" t="s">
        <v>31</v>
      </c>
      <c r="B49" s="1312" t="s">
        <v>39</v>
      </c>
      <c r="C49" s="1313">
        <v>0</v>
      </c>
      <c r="D49" s="1313">
        <v>0</v>
      </c>
      <c r="E49" s="1313">
        <v>0</v>
      </c>
      <c r="F49" s="1313">
        <v>0</v>
      </c>
    </row>
    <row r="50" spans="1:6">
      <c r="A50" s="1312" t="s">
        <v>31</v>
      </c>
      <c r="B50" s="1312" t="s">
        <v>40</v>
      </c>
      <c r="C50" s="1313">
        <v>7</v>
      </c>
      <c r="D50" s="1313">
        <v>675692.25619622599</v>
      </c>
      <c r="E50" s="1313">
        <v>14</v>
      </c>
      <c r="F50" s="1313">
        <v>764547.31950143003</v>
      </c>
    </row>
    <row r="51" spans="1:6">
      <c r="A51" s="1312" t="s">
        <v>41</v>
      </c>
      <c r="B51" s="1312" t="s">
        <v>42</v>
      </c>
      <c r="C51" s="1313">
        <v>12</v>
      </c>
      <c r="D51" s="1313">
        <v>1178341.6195637099</v>
      </c>
      <c r="E51" s="1313">
        <v>85</v>
      </c>
      <c r="F51" s="1313">
        <v>5586383.0546814399</v>
      </c>
    </row>
    <row r="52" spans="1:6">
      <c r="A52" s="1312" t="s">
        <v>41</v>
      </c>
      <c r="B52" s="1312" t="s">
        <v>28</v>
      </c>
      <c r="C52" s="1313">
        <v>0</v>
      </c>
      <c r="D52" s="1313">
        <v>0</v>
      </c>
      <c r="E52" s="1313">
        <v>0</v>
      </c>
      <c r="F52" s="1313">
        <v>0</v>
      </c>
    </row>
    <row r="53" spans="1:6">
      <c r="A53" s="1312" t="s">
        <v>43</v>
      </c>
      <c r="B53" s="1312" t="s">
        <v>44</v>
      </c>
      <c r="C53" s="1313">
        <v>56</v>
      </c>
      <c r="D53" s="1313">
        <v>1102557.94639339</v>
      </c>
      <c r="E53" s="1313">
        <v>138</v>
      </c>
      <c r="F53" s="1313">
        <v>444070.79815380002</v>
      </c>
    </row>
    <row r="54" spans="1:6">
      <c r="A54" s="1312" t="s">
        <v>45</v>
      </c>
      <c r="B54" s="1312" t="s">
        <v>46</v>
      </c>
      <c r="C54" s="1313">
        <v>0</v>
      </c>
      <c r="D54" s="1313">
        <v>0</v>
      </c>
      <c r="E54" s="1313">
        <v>1</v>
      </c>
      <c r="F54" s="1313">
        <v>706689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49</v>
      </c>
      <c r="D57" s="1313">
        <v>3572146.7782070702</v>
      </c>
      <c r="E57" s="1313">
        <v>112</v>
      </c>
      <c r="F57" s="1313">
        <v>35412093.964040503</v>
      </c>
    </row>
    <row r="58" spans="1:6">
      <c r="A58" s="1312" t="s">
        <v>48</v>
      </c>
      <c r="B58" s="1312" t="s">
        <v>50</v>
      </c>
      <c r="C58" s="1313">
        <v>28</v>
      </c>
      <c r="D58" s="1313">
        <v>1126760.2778340799</v>
      </c>
      <c r="E58" s="1313">
        <v>29</v>
      </c>
      <c r="F58" s="1313">
        <v>439601.44967392797</v>
      </c>
    </row>
    <row r="59" spans="1:6">
      <c r="A59" s="1312" t="s">
        <v>48</v>
      </c>
      <c r="B59" s="1312" t="s">
        <v>51</v>
      </c>
      <c r="C59" s="1313">
        <v>96</v>
      </c>
      <c r="D59" s="1313">
        <v>3248103.3415280799</v>
      </c>
      <c r="E59" s="1313">
        <v>150</v>
      </c>
      <c r="F59" s="1313">
        <v>3942862.2165454901</v>
      </c>
    </row>
    <row r="60" spans="1:6">
      <c r="A60" s="1312" t="s">
        <v>48</v>
      </c>
      <c r="B60" s="1312" t="s">
        <v>52</v>
      </c>
      <c r="C60" s="1313">
        <v>45</v>
      </c>
      <c r="D60" s="1313">
        <v>2080816.6415436701</v>
      </c>
      <c r="E60" s="1313">
        <v>56</v>
      </c>
      <c r="F60" s="1313">
        <v>1111086.2907503699</v>
      </c>
    </row>
    <row r="61" spans="1:6">
      <c r="A61" s="1312" t="s">
        <v>48</v>
      </c>
      <c r="B61" s="1312" t="s">
        <v>53</v>
      </c>
      <c r="C61" s="1313">
        <v>99</v>
      </c>
      <c r="D61" s="1313">
        <v>3674008.2582389698</v>
      </c>
      <c r="E61" s="1313">
        <v>220</v>
      </c>
      <c r="F61" s="1313">
        <v>4456376.6554089198</v>
      </c>
    </row>
    <row r="62" spans="1:6">
      <c r="A62" s="1312" t="s">
        <v>48</v>
      </c>
      <c r="B62" s="1312" t="s">
        <v>54</v>
      </c>
      <c r="C62" s="1313">
        <v>5</v>
      </c>
      <c r="D62" s="1313">
        <v>1072450.36008377</v>
      </c>
      <c r="E62" s="1313">
        <v>5</v>
      </c>
      <c r="F62" s="1313">
        <v>370469.84848017601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7</v>
      </c>
      <c r="F66" s="1313">
        <v>29304.610400860001</v>
      </c>
    </row>
    <row r="67" spans="1:6">
      <c r="A67" s="1314" t="s">
        <v>55</v>
      </c>
      <c r="B67" s="1314" t="s">
        <v>58</v>
      </c>
      <c r="C67" s="1313">
        <v>0</v>
      </c>
      <c r="D67" s="1313">
        <v>0</v>
      </c>
      <c r="E67" s="1313">
        <v>0</v>
      </c>
      <c r="F67" s="1313">
        <v>0</v>
      </c>
    </row>
    <row r="68" spans="1:6">
      <c r="A68" s="1307" t="s">
        <v>55</v>
      </c>
      <c r="B68" s="1307" t="s">
        <v>59</v>
      </c>
      <c r="C68" s="1316">
        <v>9</v>
      </c>
      <c r="D68" s="1316">
        <v>268103.53625973902</v>
      </c>
      <c r="E68" s="1316">
        <v>18</v>
      </c>
      <c r="F68" s="1316">
        <v>255506.09140373001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32727042</v>
      </c>
      <c r="E73" s="447"/>
      <c r="F73" s="326"/>
    </row>
    <row r="74" spans="1:6">
      <c r="A74" s="1312" t="s">
        <v>63</v>
      </c>
      <c r="B74" s="1312" t="s">
        <v>638</v>
      </c>
      <c r="C74" s="1326" t="s">
        <v>640</v>
      </c>
      <c r="D74" s="1327">
        <v>1734608.756763373</v>
      </c>
      <c r="E74" s="447"/>
      <c r="F74" s="326"/>
    </row>
    <row r="75" spans="1:6">
      <c r="A75" s="1312" t="s">
        <v>64</v>
      </c>
      <c r="B75" s="1312" t="s">
        <v>637</v>
      </c>
      <c r="C75" s="1326" t="s">
        <v>641</v>
      </c>
      <c r="D75" s="1327">
        <v>11921356</v>
      </c>
      <c r="E75" s="447"/>
      <c r="F75" s="326"/>
    </row>
    <row r="76" spans="1:6">
      <c r="A76" s="1312" t="s">
        <v>64</v>
      </c>
      <c r="B76" s="1312" t="s">
        <v>638</v>
      </c>
      <c r="C76" s="1326" t="s">
        <v>642</v>
      </c>
      <c r="D76" s="1327">
        <v>503638.75676337304</v>
      </c>
      <c r="E76" s="447"/>
      <c r="F76" s="326"/>
    </row>
    <row r="77" spans="1:6">
      <c r="A77" s="1312" t="s">
        <v>65</v>
      </c>
      <c r="B77" s="1312" t="s">
        <v>637</v>
      </c>
      <c r="C77" s="1326" t="s">
        <v>643</v>
      </c>
      <c r="D77" s="1327">
        <v>35880701</v>
      </c>
      <c r="E77" s="447"/>
      <c r="F77" s="326"/>
    </row>
    <row r="78" spans="1:6">
      <c r="A78" s="1307" t="s">
        <v>65</v>
      </c>
      <c r="B78" s="1307" t="s">
        <v>638</v>
      </c>
      <c r="C78" s="1307" t="s">
        <v>644</v>
      </c>
      <c r="D78" s="1328">
        <v>13986760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195340.48647325399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33365.555163361219</v>
      </c>
      <c r="C90" s="326"/>
      <c r="D90" s="326"/>
      <c r="E90" s="326"/>
      <c r="F90" s="326"/>
    </row>
    <row r="91" spans="1:6">
      <c r="A91" s="1312" t="s">
        <v>67</v>
      </c>
      <c r="B91" s="1313">
        <v>5014.2019875470778</v>
      </c>
      <c r="C91" s="326"/>
      <c r="D91" s="326"/>
      <c r="E91" s="326"/>
      <c r="F91" s="326"/>
    </row>
    <row r="92" spans="1:6">
      <c r="A92" s="1307" t="s">
        <v>68</v>
      </c>
      <c r="B92" s="1308">
        <v>5069.6919896995341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2294</v>
      </c>
      <c r="C97" s="326"/>
      <c r="D97" s="326"/>
      <c r="E97" s="326"/>
      <c r="F97" s="326"/>
    </row>
    <row r="98" spans="1:6">
      <c r="A98" s="1312" t="s">
        <v>71</v>
      </c>
      <c r="B98" s="1313">
        <v>6</v>
      </c>
      <c r="C98" s="326"/>
      <c r="D98" s="326"/>
      <c r="E98" s="326"/>
      <c r="F98" s="326"/>
    </row>
    <row r="99" spans="1:6">
      <c r="A99" s="1312" t="s">
        <v>72</v>
      </c>
      <c r="B99" s="1313">
        <v>78</v>
      </c>
      <c r="C99" s="326"/>
      <c r="D99" s="326"/>
      <c r="E99" s="326"/>
      <c r="F99" s="326"/>
    </row>
    <row r="100" spans="1:6">
      <c r="A100" s="1312" t="s">
        <v>73</v>
      </c>
      <c r="B100" s="1313">
        <v>168</v>
      </c>
      <c r="C100" s="326"/>
      <c r="D100" s="326"/>
      <c r="E100" s="326"/>
      <c r="F100" s="326"/>
    </row>
    <row r="101" spans="1:6">
      <c r="A101" s="1312" t="s">
        <v>74</v>
      </c>
      <c r="B101" s="1313">
        <v>133</v>
      </c>
      <c r="C101" s="326"/>
      <c r="D101" s="326"/>
      <c r="E101" s="326"/>
      <c r="F101" s="326"/>
    </row>
    <row r="102" spans="1:6">
      <c r="A102" s="1312" t="s">
        <v>75</v>
      </c>
      <c r="B102" s="1313">
        <v>48</v>
      </c>
      <c r="C102" s="326"/>
      <c r="D102" s="326"/>
      <c r="E102" s="326"/>
      <c r="F102" s="326"/>
    </row>
    <row r="103" spans="1:6">
      <c r="A103" s="1312" t="s">
        <v>76</v>
      </c>
      <c r="B103" s="1313">
        <v>44</v>
      </c>
      <c r="C103" s="326"/>
      <c r="D103" s="326"/>
      <c r="E103" s="326"/>
      <c r="F103" s="326"/>
    </row>
    <row r="104" spans="1:6">
      <c r="A104" s="1312" t="s">
        <v>77</v>
      </c>
      <c r="B104" s="1313">
        <v>1624</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5</v>
      </c>
      <c r="C121" s="1313">
        <v>0</v>
      </c>
      <c r="D121" s="326"/>
      <c r="E121" s="326"/>
      <c r="F121" s="326"/>
    </row>
    <row r="122" spans="1:6">
      <c r="A122" s="1312" t="s">
        <v>86</v>
      </c>
      <c r="B122" s="1313">
        <v>0</v>
      </c>
      <c r="C122" s="1313">
        <v>0</v>
      </c>
      <c r="D122" s="326"/>
      <c r="E122" s="326"/>
      <c r="F122" s="326"/>
    </row>
    <row r="123" spans="1:6">
      <c r="A123" s="1312" t="s">
        <v>87</v>
      </c>
      <c r="B123" s="1313">
        <v>60</v>
      </c>
      <c r="C123" s="1313">
        <v>29</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193</v>
      </c>
      <c r="C129" s="326"/>
      <c r="D129" s="326"/>
      <c r="E129" s="326"/>
      <c r="F129" s="326"/>
    </row>
    <row r="130" spans="1:6">
      <c r="A130" s="1312" t="s">
        <v>290</v>
      </c>
      <c r="B130" s="1313">
        <v>5</v>
      </c>
      <c r="C130" s="326"/>
      <c r="D130" s="326"/>
      <c r="E130" s="326"/>
      <c r="F130" s="326"/>
    </row>
    <row r="131" spans="1:6">
      <c r="A131" s="1312" t="s">
        <v>291</v>
      </c>
      <c r="B131" s="1313">
        <v>3</v>
      </c>
      <c r="C131" s="326"/>
      <c r="D131" s="326"/>
      <c r="E131" s="326"/>
      <c r="F131" s="326"/>
    </row>
    <row r="132" spans="1:6">
      <c r="A132" s="1307" t="s">
        <v>292</v>
      </c>
      <c r="B132" s="1308">
        <v>37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95475.4396342619</v>
      </c>
      <c r="C3" s="43" t="s">
        <v>169</v>
      </c>
      <c r="D3" s="43"/>
      <c r="E3" s="154"/>
      <c r="F3" s="43"/>
      <c r="G3" s="43"/>
      <c r="H3" s="43"/>
      <c r="I3" s="43"/>
      <c r="J3" s="43"/>
      <c r="K3" s="96"/>
    </row>
    <row r="4" spans="1:11">
      <c r="A4" s="354" t="s">
        <v>170</v>
      </c>
      <c r="B4" s="49">
        <f>IF(ISERROR('SEAP template'!B78+'SEAP template'!C78),0,'SEAP template'!B78+'SEAP template'!C78)</f>
        <v>79668.949140607845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3.8216187699258843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3.6627807436799005E-2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5.459462311155197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51742.208494208498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1.0551274230527431E-4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706.68899999999996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706.68899999999996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3.6627807436799005E-2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25.884468609704051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16481.366125319801</v>
      </c>
      <c r="C5" s="17">
        <f>IF(ISERROR('Eigen informatie GS &amp; warmtenet'!B59),0,'Eigen informatie GS &amp; warmtenet'!B59)</f>
        <v>0</v>
      </c>
      <c r="D5" s="30">
        <f>(SUM(HH_hh_gas_kWh,HH_rest_gas_kWh)/1000)*0.903</f>
        <v>58548.608379224766</v>
      </c>
      <c r="E5" s="17">
        <f>B32*B41</f>
        <v>962.69257851652128</v>
      </c>
      <c r="F5" s="17">
        <f>B36*B45</f>
        <v>21089.326319222364</v>
      </c>
      <c r="G5" s="18"/>
      <c r="H5" s="17"/>
      <c r="I5" s="17"/>
      <c r="J5" s="17">
        <f>B35*B44+C35*C44</f>
        <v>120.19037731212669</v>
      </c>
      <c r="K5" s="17"/>
      <c r="L5" s="17"/>
      <c r="M5" s="17"/>
      <c r="N5" s="17">
        <f>B34*B43+C34*C43</f>
        <v>6935.5165444208196</v>
      </c>
      <c r="O5" s="17">
        <f>B52*B53*B54</f>
        <v>440.43872470392103</v>
      </c>
      <c r="P5" s="17">
        <f>B60*B61*B62/1000-B60*B61*B62/1000/B63</f>
        <v>1042.8619714608171</v>
      </c>
    </row>
    <row r="6" spans="1:16">
      <c r="A6" s="16" t="s">
        <v>603</v>
      </c>
      <c r="B6" s="780">
        <f>kWh_PV_kleiner_dan_10kW</f>
        <v>5014.2019875470778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21495.56811286688</v>
      </c>
      <c r="C8" s="21">
        <f>C5</f>
        <v>0</v>
      </c>
      <c r="D8" s="21">
        <f>D5</f>
        <v>58548.608379224766</v>
      </c>
      <c r="E8" s="21">
        <f>E5</f>
        <v>962.69257851652128</v>
      </c>
      <c r="F8" s="21">
        <f>F5</f>
        <v>21089.326319222364</v>
      </c>
      <c r="G8" s="21"/>
      <c r="H8" s="21"/>
      <c r="I8" s="21"/>
      <c r="J8" s="21">
        <f>J5</f>
        <v>120.19037731212669</v>
      </c>
      <c r="K8" s="21"/>
      <c r="L8" s="21">
        <f>L5</f>
        <v>0</v>
      </c>
      <c r="M8" s="21">
        <f>M5</f>
        <v>0</v>
      </c>
      <c r="N8" s="21">
        <f>N5</f>
        <v>6935.5165444208196</v>
      </c>
      <c r="O8" s="21">
        <f>O5</f>
        <v>440.43872470392103</v>
      </c>
      <c r="P8" s="21">
        <f>P5</f>
        <v>1042.8619714608171</v>
      </c>
    </row>
    <row r="9" spans="1:16">
      <c r="B9" s="19"/>
      <c r="C9" s="19"/>
      <c r="D9" s="254"/>
      <c r="E9" s="19"/>
      <c r="F9" s="19"/>
      <c r="G9" s="19"/>
      <c r="H9" s="19"/>
      <c r="I9" s="19"/>
      <c r="J9" s="19"/>
      <c r="K9" s="19"/>
      <c r="L9" s="19"/>
      <c r="M9" s="19"/>
      <c r="N9" s="19"/>
      <c r="O9" s="19"/>
      <c r="P9" s="19"/>
    </row>
    <row r="10" spans="1:16">
      <c r="A10" s="24" t="s">
        <v>213</v>
      </c>
      <c r="B10" s="25">
        <f ca="1">'EF ele_warmte'!B12</f>
        <v>3.6627807436799005E-2</v>
      </c>
      <c r="C10" s="25">
        <f ca="1">'EF ele_warmte'!B22</f>
        <v>1.0551274230527431E-4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787.33552958268513</v>
      </c>
      <c r="C12" s="23">
        <f ca="1">C10*C8</f>
        <v>0</v>
      </c>
      <c r="D12" s="23">
        <f>D8*D10</f>
        <v>11826.818892603404</v>
      </c>
      <c r="E12" s="23">
        <f>E10*E8</f>
        <v>218.53121532325034</v>
      </c>
      <c r="F12" s="23">
        <f>F10*F8</f>
        <v>5630.8501272323711</v>
      </c>
      <c r="G12" s="23"/>
      <c r="H12" s="23"/>
      <c r="I12" s="23"/>
      <c r="J12" s="23">
        <f>J10*J8</f>
        <v>42.547393568492843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5427</v>
      </c>
      <c r="C26" s="36"/>
      <c r="D26" s="225"/>
    </row>
    <row r="27" spans="1:5" s="15" customFormat="1">
      <c r="A27" s="227" t="s">
        <v>866</v>
      </c>
      <c r="B27" s="37">
        <f>SUM(HH_hh_gas_aantal,HH_rest_gas_aantal)</f>
        <v>4012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3811.4</v>
      </c>
      <c r="C31" s="34" t="s">
        <v>110</v>
      </c>
      <c r="D31" s="171"/>
    </row>
    <row r="32" spans="1:5">
      <c r="A32" s="168" t="s">
        <v>72</v>
      </c>
      <c r="B32" s="33">
        <f>IF((B21*($B$26-($B$27-0.05*$B$27)-$B$60))&lt;0,0,(B21*($B$26-($B$27-0.05*$B$27)-$B$60)))</f>
        <v>24.07632633922136</v>
      </c>
      <c r="C32" s="34" t="s">
        <v>110</v>
      </c>
      <c r="D32" s="171"/>
    </row>
    <row r="33" spans="1:6">
      <c r="A33" s="168" t="s">
        <v>73</v>
      </c>
      <c r="B33" s="33">
        <f>IF((B22*($B$26-($B$27-0.05*$B$27)-$B$60))&lt;0,0,B22*($B$26-($B$27-0.05*$B$27)-$B$60))</f>
        <v>390.95185606126927</v>
      </c>
      <c r="C33" s="34" t="s">
        <v>110</v>
      </c>
      <c r="D33" s="171"/>
    </row>
    <row r="34" spans="1:6">
      <c r="A34" s="168" t="s">
        <v>74</v>
      </c>
      <c r="B34" s="33">
        <f>IF((B24*($B$26-($B$27-0.05*$B$27)-$B$60))&lt;0,0,B24*($B$26-($B$27-0.05*$B$27)-$B$60))</f>
        <v>74.950702706122286</v>
      </c>
      <c r="C34" s="33">
        <f>B26*C24</f>
        <v>1112.0245353301152</v>
      </c>
      <c r="D34" s="230"/>
    </row>
    <row r="35" spans="1:6">
      <c r="A35" s="168" t="s">
        <v>76</v>
      </c>
      <c r="B35" s="33">
        <f>IF((B19*($B$26-($B$27-0.05*$B$27)-$B$60))&lt;0,0,B19*($B$26-($B$27-0.05*$B$27)-$B$60))</f>
        <v>10.465921660126428</v>
      </c>
      <c r="C35" s="33">
        <f>B35/2</f>
        <v>5.232960830063214</v>
      </c>
      <c r="D35" s="230"/>
    </row>
    <row r="36" spans="1:6">
      <c r="A36" s="168" t="s">
        <v>77</v>
      </c>
      <c r="B36" s="33">
        <f>IF((B18*($B$26-($B$27-0.05*$B$27)-$B$60))&lt;0,0,B18*($B$26-($B$27-0.05*$B$27)-$B$60))</f>
        <v>1016.1551932332603</v>
      </c>
      <c r="C36" s="34" t="s">
        <v>110</v>
      </c>
      <c r="D36" s="171"/>
    </row>
    <row r="37" spans="1:6">
      <c r="A37" s="168" t="s">
        <v>78</v>
      </c>
      <c r="B37" s="33">
        <f>B60</f>
        <v>99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45732.490424899392</v>
      </c>
      <c r="C5" s="17">
        <f>IF(ISERROR('Eigen informatie GS &amp; warmtenet'!B60),0,'Eigen informatie GS &amp; warmtenet'!B60)</f>
        <v>0</v>
      </c>
      <c r="D5" s="30">
        <f>SUM(D6:D12)</f>
        <v>13341.179948664383</v>
      </c>
      <c r="E5" s="17">
        <f>SUM(E6:E12)</f>
        <v>491.67981731171164</v>
      </c>
      <c r="F5" s="17">
        <f>SUM(F6:F12)</f>
        <v>33401.767194004184</v>
      </c>
      <c r="G5" s="18"/>
      <c r="H5" s="17"/>
      <c r="I5" s="17"/>
      <c r="J5" s="17">
        <f>SUM(J6:J12)</f>
        <v>0.35816401339822751</v>
      </c>
      <c r="K5" s="17"/>
      <c r="L5" s="17"/>
      <c r="M5" s="17"/>
      <c r="N5" s="17">
        <f>SUM(N6:N12)</f>
        <v>13555.279015149477</v>
      </c>
      <c r="O5" s="17">
        <f>B38*B39*B40</f>
        <v>24.486303829205774</v>
      </c>
      <c r="P5" s="17">
        <f>B46*B47*B48/1000-B46*B47*B48/1000/B49</f>
        <v>420.31310645196015</v>
      </c>
      <c r="R5" s="32"/>
    </row>
    <row r="6" spans="1:18">
      <c r="A6" s="32" t="s">
        <v>53</v>
      </c>
      <c r="B6" s="37">
        <f>B26</f>
        <v>4456.3766554089198</v>
      </c>
      <c r="C6" s="33"/>
      <c r="D6" s="37">
        <f>IF(ISERROR(TER_kantoor_gas_kWh/1000),0,TER_kantoor_gas_kWh/1000)*0.903</f>
        <v>3317.6294571897902</v>
      </c>
      <c r="E6" s="33">
        <f>$C$26*'E Balans VL '!I12/100/3.6*1000000</f>
        <v>1.0618232067182465</v>
      </c>
      <c r="F6" s="33">
        <f>$C$26*('E Balans VL '!L12+'E Balans VL '!N12)/100/3.6*1000000</f>
        <v>387.07996785175635</v>
      </c>
      <c r="G6" s="34"/>
      <c r="H6" s="33"/>
      <c r="I6" s="33"/>
      <c r="J6" s="33">
        <f>$C$26*('E Balans VL '!D12+'E Balans VL '!E12)/100/3.6*1000000</f>
        <v>0</v>
      </c>
      <c r="K6" s="33"/>
      <c r="L6" s="33"/>
      <c r="M6" s="33"/>
      <c r="N6" s="33">
        <f>$C$26*'E Balans VL '!Y12/100/3.6*1000000</f>
        <v>5.9565708479351578</v>
      </c>
      <c r="O6" s="33"/>
      <c r="P6" s="33"/>
      <c r="R6" s="32"/>
    </row>
    <row r="7" spans="1:18">
      <c r="A7" s="32" t="s">
        <v>52</v>
      </c>
      <c r="B7" s="37">
        <f t="shared" ref="B7:B12" si="0">B27</f>
        <v>1111.0862907503699</v>
      </c>
      <c r="C7" s="33"/>
      <c r="D7" s="37">
        <f>IF(ISERROR(TER_horeca_gas_kWh/1000),0,TER_horeca_gas_kWh/1000)*0.903</f>
        <v>1878.977427313934</v>
      </c>
      <c r="E7" s="33">
        <f>$C$27*'E Balans VL '!I9/100/3.6*1000000</f>
        <v>0</v>
      </c>
      <c r="F7" s="33">
        <f>$C$27*('E Balans VL '!L9+'E Balans VL '!N9)/100/3.6*1000000</f>
        <v>90.5334249066251</v>
      </c>
      <c r="G7" s="34"/>
      <c r="H7" s="33"/>
      <c r="I7" s="33"/>
      <c r="J7" s="33">
        <f>$C$27*('E Balans VL '!D9+'E Balans VL '!E9)/100/3.6*1000000</f>
        <v>0</v>
      </c>
      <c r="K7" s="33"/>
      <c r="L7" s="33"/>
      <c r="M7" s="33"/>
      <c r="N7" s="33">
        <f>$C$27*'E Balans VL '!Y9/100/3.6*1000000</f>
        <v>0.30775021705463884</v>
      </c>
      <c r="O7" s="33"/>
      <c r="P7" s="33"/>
      <c r="R7" s="32"/>
    </row>
    <row r="8" spans="1:18">
      <c r="A8" s="6" t="s">
        <v>51</v>
      </c>
      <c r="B8" s="37">
        <f t="shared" si="0"/>
        <v>3942.8622165454899</v>
      </c>
      <c r="C8" s="33"/>
      <c r="D8" s="37">
        <f>IF(ISERROR(TER_handel_gas_kWh/1000),0,TER_handel_gas_kWh/1000)*0.903</f>
        <v>2933.0373173998564</v>
      </c>
      <c r="E8" s="33">
        <f>$C$28*'E Balans VL '!I13/100/3.6*1000000</f>
        <v>31.517720974523325</v>
      </c>
      <c r="F8" s="33">
        <f>$C$28*('E Balans VL '!L13+'E Balans VL '!N13)/100/3.6*1000000</f>
        <v>391.69885095220957</v>
      </c>
      <c r="G8" s="34"/>
      <c r="H8" s="33"/>
      <c r="I8" s="33"/>
      <c r="J8" s="33">
        <f>$C$28*('E Balans VL '!D13+'E Balans VL '!E13)/100/3.6*1000000</f>
        <v>0</v>
      </c>
      <c r="K8" s="33"/>
      <c r="L8" s="33"/>
      <c r="M8" s="33"/>
      <c r="N8" s="33">
        <f>$C$28*'E Balans VL '!Y13/100/3.6*1000000</f>
        <v>1.4728937326609741</v>
      </c>
      <c r="O8" s="33"/>
      <c r="P8" s="33"/>
      <c r="R8" s="32"/>
    </row>
    <row r="9" spans="1:18">
      <c r="A9" s="32" t="s">
        <v>50</v>
      </c>
      <c r="B9" s="37">
        <f t="shared" si="0"/>
        <v>439.60144967392796</v>
      </c>
      <c r="C9" s="33"/>
      <c r="D9" s="37">
        <f>IF(ISERROR(TER_gezond_gas_kWh/1000),0,TER_gezond_gas_kWh/1000)*0.903</f>
        <v>1017.4645308841742</v>
      </c>
      <c r="E9" s="33">
        <f>$C$29*'E Balans VL '!I10/100/3.6*1000000</f>
        <v>0</v>
      </c>
      <c r="F9" s="33">
        <f>$C$29*('E Balans VL '!L10+'E Balans VL '!N10)/100/3.6*1000000</f>
        <v>40.076835749650925</v>
      </c>
      <c r="G9" s="34"/>
      <c r="H9" s="33"/>
      <c r="I9" s="33"/>
      <c r="J9" s="33">
        <f>$C$29*('E Balans VL '!D10+'E Balans VL '!E10)/100/3.6*1000000</f>
        <v>0</v>
      </c>
      <c r="K9" s="33"/>
      <c r="L9" s="33"/>
      <c r="M9" s="33"/>
      <c r="N9" s="33">
        <f>$C$29*'E Balans VL '!Y10/100/3.6*1000000</f>
        <v>3.2130926438620451</v>
      </c>
      <c r="O9" s="33"/>
      <c r="P9" s="33"/>
      <c r="R9" s="32"/>
    </row>
    <row r="10" spans="1:18">
      <c r="A10" s="32" t="s">
        <v>49</v>
      </c>
      <c r="B10" s="37">
        <f t="shared" si="0"/>
        <v>35412.093964040505</v>
      </c>
      <c r="C10" s="33"/>
      <c r="D10" s="37">
        <f>IF(ISERROR(TER_ander_gas_kWh/1000),0,TER_ander_gas_kWh/1000)*0.903</f>
        <v>3225.6485407209848</v>
      </c>
      <c r="E10" s="33">
        <f>$C$30*'E Balans VL '!I14/100/3.6*1000000</f>
        <v>459.10027313047004</v>
      </c>
      <c r="F10" s="33">
        <f>$C$30*('E Balans VL '!L14+'E Balans VL '!N14)/100/3.6*1000000</f>
        <v>32477.862117421188</v>
      </c>
      <c r="G10" s="34"/>
      <c r="H10" s="33"/>
      <c r="I10" s="33"/>
      <c r="J10" s="33">
        <f>$C$30*('E Balans VL '!D14+'E Balans VL '!E14)/100/3.6*1000000</f>
        <v>0.35816401339822751</v>
      </c>
      <c r="K10" s="33"/>
      <c r="L10" s="33"/>
      <c r="M10" s="33"/>
      <c r="N10" s="33">
        <f>$C$30*'E Balans VL '!Y14/100/3.6*1000000</f>
        <v>13543.162006622068</v>
      </c>
      <c r="O10" s="33"/>
      <c r="P10" s="33"/>
      <c r="R10" s="32"/>
    </row>
    <row r="11" spans="1:18">
      <c r="A11" s="32" t="s">
        <v>54</v>
      </c>
      <c r="B11" s="37">
        <f t="shared" si="0"/>
        <v>370.46984848017598</v>
      </c>
      <c r="C11" s="33"/>
      <c r="D11" s="37">
        <f>IF(ISERROR(TER_onderwijs_gas_kWh/1000),0,TER_onderwijs_gas_kWh/1000)*0.903</f>
        <v>968.42267515564436</v>
      </c>
      <c r="E11" s="33">
        <f>$C$31*'E Balans VL '!I11/100/3.6*1000000</f>
        <v>0</v>
      </c>
      <c r="F11" s="33">
        <f>$C$31*('E Balans VL '!L11+'E Balans VL '!N11)/100/3.6*1000000</f>
        <v>14.515997122753374</v>
      </c>
      <c r="G11" s="34"/>
      <c r="H11" s="33"/>
      <c r="I11" s="33"/>
      <c r="J11" s="33">
        <f>$C$31*('E Balans VL '!D11+'E Balans VL '!E11)/100/3.6*1000000</f>
        <v>0</v>
      </c>
      <c r="K11" s="33"/>
      <c r="L11" s="33"/>
      <c r="M11" s="33"/>
      <c r="N11" s="33">
        <f>$C$31*'E Balans VL '!Y11/100/3.6*1000000</f>
        <v>1.1667010858966329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17</v>
      </c>
      <c r="C13" s="243">
        <f ca="1">'lokale energieproductie'!O42+'lokale energieproductie'!O35</f>
        <v>24.351351351351351</v>
      </c>
      <c r="D13" s="304">
        <f ca="1">('lokale energieproductie'!P35+'lokale energieproductie'!P42)*(-1)</f>
        <v>-45.945945945945944</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45749.490424899392</v>
      </c>
      <c r="C16" s="21">
        <f t="shared" ca="1" si="1"/>
        <v>24.351351351351351</v>
      </c>
      <c r="D16" s="21">
        <f t="shared" ca="1" si="1"/>
        <v>13295.234002718436</v>
      </c>
      <c r="E16" s="21">
        <f t="shared" si="1"/>
        <v>491.67981731171164</v>
      </c>
      <c r="F16" s="21">
        <f t="shared" ca="1" si="1"/>
        <v>33401.767194004184</v>
      </c>
      <c r="G16" s="21">
        <f t="shared" si="1"/>
        <v>0</v>
      </c>
      <c r="H16" s="21">
        <f t="shared" si="1"/>
        <v>0</v>
      </c>
      <c r="I16" s="21">
        <f t="shared" si="1"/>
        <v>0</v>
      </c>
      <c r="J16" s="21">
        <f t="shared" si="1"/>
        <v>0.35816401339822751</v>
      </c>
      <c r="K16" s="21">
        <f t="shared" si="1"/>
        <v>0</v>
      </c>
      <c r="L16" s="21">
        <f t="shared" ca="1" si="1"/>
        <v>0</v>
      </c>
      <c r="M16" s="21">
        <f t="shared" si="1"/>
        <v>0</v>
      </c>
      <c r="N16" s="21">
        <f t="shared" ca="1" si="1"/>
        <v>13555.279015149477</v>
      </c>
      <c r="O16" s="21">
        <f>O5</f>
        <v>24.486303829205774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3.6627807436799005E-2</v>
      </c>
      <c r="C18" s="25">
        <f ca="1">'EF ele_warmte'!B22</f>
        <v>1.0551274230527431E-4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1675.7035256148947</v>
      </c>
      <c r="C20" s="23">
        <f t="shared" ref="C20:P20" ca="1" si="2">C16*C18</f>
        <v>2.5693778599203284E-3</v>
      </c>
      <c r="D20" s="23">
        <f t="shared" ca="1" si="2"/>
        <v>2685.6372685491242</v>
      </c>
      <c r="E20" s="23">
        <f t="shared" si="2"/>
        <v>111.61131852975855</v>
      </c>
      <c r="F20" s="23">
        <f t="shared" ca="1" si="2"/>
        <v>8918.2718407991179</v>
      </c>
      <c r="G20" s="23">
        <f t="shared" si="2"/>
        <v>0</v>
      </c>
      <c r="H20" s="23">
        <f t="shared" si="2"/>
        <v>0</v>
      </c>
      <c r="I20" s="23">
        <f t="shared" si="2"/>
        <v>0</v>
      </c>
      <c r="J20" s="23">
        <f t="shared" si="2"/>
        <v>0.12679006074297253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4456.3766554089198</v>
      </c>
      <c r="C26" s="39">
        <f>IF(ISERROR(B26*3.6/1000000/'E Balans VL '!Z12*100),0,B26*3.6/1000000/'E Balans VL '!Z12*100)</f>
        <v>0.12785302687588282</v>
      </c>
      <c r="D26" s="233" t="s">
        <v>841</v>
      </c>
      <c r="F26" s="6"/>
    </row>
    <row r="27" spans="1:18" ht="30">
      <c r="A27" s="228" t="s">
        <v>52</v>
      </c>
      <c r="B27" s="33">
        <f>IF(ISERROR(TER_horeca_ele_kWh/1000),0,TER_horeca_ele_kWh/1000)</f>
        <v>1111.0862907503699</v>
      </c>
      <c r="C27" s="39">
        <f>IF(ISERROR(B27*3.6/1000000/'E Balans VL '!Z9*100),0,B27*3.6/1000000/'E Balans VL '!Z9*100)</f>
        <v>8.1398575024429307E-2</v>
      </c>
      <c r="D27" s="233" t="s">
        <v>841</v>
      </c>
      <c r="F27" s="6"/>
    </row>
    <row r="28" spans="1:18" ht="30">
      <c r="A28" s="168" t="s">
        <v>51</v>
      </c>
      <c r="B28" s="33">
        <f>IF(ISERROR(TER_handel_ele_kWh/1000),0,TER_handel_ele_kWh/1000)</f>
        <v>3942.8622165454899</v>
      </c>
      <c r="C28" s="39">
        <f>IF(ISERROR(B28*3.6/1000000/'E Balans VL '!Z13*100),0,B28*3.6/1000000/'E Balans VL '!Z13*100)</f>
        <v>0.12183776810366258</v>
      </c>
      <c r="D28" s="233" t="s">
        <v>841</v>
      </c>
      <c r="F28" s="6"/>
    </row>
    <row r="29" spans="1:18" ht="30">
      <c r="A29" s="228" t="s">
        <v>50</v>
      </c>
      <c r="B29" s="33">
        <f>IF(ISERROR(TER_gezond_ele_kWh/1000),0,TER_gezond_ele_kWh/1000)</f>
        <v>439.60144967392796</v>
      </c>
      <c r="C29" s="39">
        <f>IF(ISERROR(B29*3.6/1000000/'E Balans VL '!Z10*100),0,B29*3.6/1000000/'E Balans VL '!Z10*100)</f>
        <v>4.3083645157576365E-2</v>
      </c>
      <c r="D29" s="233" t="s">
        <v>841</v>
      </c>
      <c r="F29" s="6"/>
    </row>
    <row r="30" spans="1:18" ht="30">
      <c r="A30" s="228" t="s">
        <v>49</v>
      </c>
      <c r="B30" s="33">
        <f>IF(ISERROR(TER_ander_ele_kWh/1000),0,TER_ander_ele_kWh/1000)</f>
        <v>35412.093964040505</v>
      </c>
      <c r="C30" s="39">
        <f>IF(ISERROR(B30*3.6/1000000/'E Balans VL '!Z14*100),0,B30*3.6/1000000/'E Balans VL '!Z14*100)</f>
        <v>1.4668833313237986</v>
      </c>
      <c r="D30" s="233" t="s">
        <v>841</v>
      </c>
      <c r="F30" s="6"/>
    </row>
    <row r="31" spans="1:18" ht="30">
      <c r="A31" s="228" t="s">
        <v>54</v>
      </c>
      <c r="B31" s="33">
        <f>IF(ISERROR(TER_onderwijs_ele_kWh/1000),0,TER_onderwijs_ele_kWh/1000)</f>
        <v>370.46984848017598</v>
      </c>
      <c r="C31" s="39">
        <f>IF(ISERROR(B31*3.6/1000000/'E Balans VL '!Z11*100),0,B31*3.6/1000000/'E Balans VL '!Z11*100)</f>
        <v>0.11383412118390165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21306.35623563527</v>
      </c>
      <c r="C5" s="17">
        <f>IF(ISERROR('Eigen informatie GS &amp; warmtenet'!B61),0,'Eigen informatie GS &amp; warmtenet'!B61)</f>
        <v>0</v>
      </c>
      <c r="D5" s="30">
        <f>SUM(D6:D15)</f>
        <v>8928.1785003741443</v>
      </c>
      <c r="E5" s="17">
        <f>SUM(E6:E15)</f>
        <v>145.39763361414484</v>
      </c>
      <c r="F5" s="17">
        <f>SUM(F6:F15)</f>
        <v>6018.0947879839405</v>
      </c>
      <c r="G5" s="18"/>
      <c r="H5" s="17"/>
      <c r="I5" s="17"/>
      <c r="J5" s="17">
        <f>SUM(J6:J15)</f>
        <v>45.910575558249519</v>
      </c>
      <c r="K5" s="17"/>
      <c r="L5" s="17"/>
      <c r="M5" s="17"/>
      <c r="N5" s="17">
        <f>SUM(N6:N15)</f>
        <v>1142.4539851575605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9644.9945970233493</v>
      </c>
      <c r="C8" s="33"/>
      <c r="D8" s="37">
        <f>IF( ISERROR(IND_metaal_Gas_kWH/1000),0,IND_metaal_Gas_kWH/1000)*0.903</f>
        <v>5805.6113556123682</v>
      </c>
      <c r="E8" s="33">
        <f>C30*'E Balans VL '!I18/100/3.6*1000000</f>
        <v>52.576369757349298</v>
      </c>
      <c r="F8" s="33">
        <f>C30*'E Balans VL '!L18/100/3.6*1000000+C30*'E Balans VL '!N18/100/3.6*1000000</f>
        <v>621.1383887590473</v>
      </c>
      <c r="G8" s="34"/>
      <c r="H8" s="33"/>
      <c r="I8" s="33"/>
      <c r="J8" s="40">
        <f>C30*'E Balans VL '!D18/100/3.6*1000000+C30*'E Balans VL '!E18/100/3.6*1000000</f>
        <v>7.9004270560483549</v>
      </c>
      <c r="K8" s="33"/>
      <c r="L8" s="33"/>
      <c r="M8" s="33"/>
      <c r="N8" s="33">
        <f>C30*'E Balans VL '!Y18/100/3.6*1000000</f>
        <v>208.37373488618357</v>
      </c>
      <c r="O8" s="33"/>
      <c r="P8" s="33"/>
      <c r="R8" s="32"/>
    </row>
    <row r="9" spans="1:18">
      <c r="A9" s="6" t="s">
        <v>32</v>
      </c>
      <c r="B9" s="37">
        <f t="shared" si="0"/>
        <v>8072.1441453851394</v>
      </c>
      <c r="C9" s="33"/>
      <c r="D9" s="37">
        <f>IF( ISERROR(IND_andere_gas_kWh/1000),0,IND_andere_gas_kWh/1000)*0.903</f>
        <v>2115.2608155068951</v>
      </c>
      <c r="E9" s="33">
        <f>C31*'E Balans VL '!I19/100/3.6*1000000</f>
        <v>26.058255991936377</v>
      </c>
      <c r="F9" s="33">
        <f>C31*'E Balans VL '!L19/100/3.6*1000000+C31*'E Balans VL '!N19/100/3.6*1000000</f>
        <v>5219.511771233354</v>
      </c>
      <c r="G9" s="34"/>
      <c r="H9" s="33"/>
      <c r="I9" s="33"/>
      <c r="J9" s="40">
        <f>C31*'E Balans VL '!D19/100/3.6*1000000+C31*'E Balans VL '!E19/100/3.6*1000000</f>
        <v>0</v>
      </c>
      <c r="K9" s="33"/>
      <c r="L9" s="33"/>
      <c r="M9" s="33"/>
      <c r="N9" s="33">
        <f>C31*'E Balans VL '!Y19/100/3.6*1000000</f>
        <v>326.18602077079902</v>
      </c>
      <c r="O9" s="33"/>
      <c r="P9" s="33"/>
      <c r="R9" s="32"/>
    </row>
    <row r="10" spans="1:18">
      <c r="A10" s="6" t="s">
        <v>40</v>
      </c>
      <c r="B10" s="37">
        <f t="shared" si="0"/>
        <v>764.54731950143002</v>
      </c>
      <c r="C10" s="33"/>
      <c r="D10" s="37">
        <f>IF( ISERROR(IND_voed_gas_kWh/1000),0,IND_voed_gas_kWh/1000)*0.903</f>
        <v>610.15010734519217</v>
      </c>
      <c r="E10" s="33">
        <f>C32*'E Balans VL '!I20/100/3.6*1000000</f>
        <v>1.6026785520078761</v>
      </c>
      <c r="F10" s="33">
        <f>C32*'E Balans VL '!L20/100/3.6*1000000+C32*'E Balans VL '!N20/100/3.6*1000000</f>
        <v>14.896023965504227</v>
      </c>
      <c r="G10" s="34"/>
      <c r="H10" s="33"/>
      <c r="I10" s="33"/>
      <c r="J10" s="40">
        <f>C32*'E Balans VL '!D20/100/3.6*1000000+C32*'E Balans VL '!E20/100/3.6*1000000</f>
        <v>0</v>
      </c>
      <c r="K10" s="33"/>
      <c r="L10" s="33"/>
      <c r="M10" s="33"/>
      <c r="N10" s="33">
        <f>C32*'E Balans VL '!Y20/100/3.6*1000000</f>
        <v>30.411572733947757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1053.6135495062301</v>
      </c>
      <c r="C12" s="33"/>
      <c r="D12" s="37">
        <f>IF( ISERROR(IND_min_gas_kWh/1000),0,IND_min_gas_kWh/1000)*0.903</f>
        <v>0</v>
      </c>
      <c r="E12" s="33">
        <f>C34*'E Balans VL '!I22/100/3.6*1000000</f>
        <v>17.242447780965932</v>
      </c>
      <c r="F12" s="33">
        <f>C34*'E Balans VL '!L22/100/3.6*1000000+C34*'E Balans VL '!N22/100/3.6*1000000</f>
        <v>160.8175963462426</v>
      </c>
      <c r="G12" s="34"/>
      <c r="H12" s="33"/>
      <c r="I12" s="33"/>
      <c r="J12" s="40">
        <f>C34*'E Balans VL '!D22/100/3.6*1000000+C34*'E Balans VL '!E22/100/3.6*1000000</f>
        <v>37.705210459936275</v>
      </c>
      <c r="K12" s="33"/>
      <c r="L12" s="33"/>
      <c r="M12" s="33"/>
      <c r="N12" s="33">
        <f>C34*'E Balans VL '!Y22/100/3.6*1000000</f>
        <v>577.40258687955236</v>
      </c>
      <c r="O12" s="33"/>
      <c r="P12" s="33"/>
      <c r="R12" s="32"/>
    </row>
    <row r="13" spans="1:18">
      <c r="A13" s="6" t="s">
        <v>38</v>
      </c>
      <c r="B13" s="37">
        <f t="shared" si="0"/>
        <v>1541.5993051939099</v>
      </c>
      <c r="C13" s="33"/>
      <c r="D13" s="37">
        <f>IF( ISERROR(IND_papier_gas_kWh/1000),0,IND_papier_gas_kWh/1000)*0.903</f>
        <v>0</v>
      </c>
      <c r="E13" s="33">
        <f>C35*'E Balans VL '!I23/100/3.6*1000000</f>
        <v>0</v>
      </c>
      <c r="F13" s="33">
        <f>C35*'E Balans VL '!L23/100/3.6*1000000+C35*'E Balans VL '!N23/100/3.6*1000000</f>
        <v>0.20650208707714379</v>
      </c>
      <c r="G13" s="34"/>
      <c r="H13" s="33"/>
      <c r="I13" s="33"/>
      <c r="J13" s="40">
        <f>C35*'E Balans VL '!D23/100/3.6*1000000+C35*'E Balans VL '!E23/100/3.6*1000000</f>
        <v>0.30493804226489019</v>
      </c>
      <c r="K13" s="33"/>
      <c r="L13" s="33"/>
      <c r="M13" s="33"/>
      <c r="N13" s="33">
        <f>C35*'E Balans VL '!Y23/100/3.6*1000000</f>
        <v>0</v>
      </c>
      <c r="O13" s="33"/>
      <c r="P13" s="33"/>
      <c r="R13" s="32"/>
    </row>
    <row r="14" spans="1:18">
      <c r="A14" s="6" t="s">
        <v>33</v>
      </c>
      <c r="B14" s="37">
        <f t="shared" si="0"/>
        <v>229.45731902520802</v>
      </c>
      <c r="C14" s="33"/>
      <c r="D14" s="37">
        <f>IF( ISERROR(IND_chemie_gas_kWh/1000),0,IND_chemie_gas_kWh/1000)*0.903</f>
        <v>0</v>
      </c>
      <c r="E14" s="33">
        <f>C36*'E Balans VL '!I24/100/3.6*1000000</f>
        <v>47.917881531885357</v>
      </c>
      <c r="F14" s="33">
        <f>C36*'E Balans VL '!L24/100/3.6*1000000+C36*'E Balans VL '!N24/100/3.6*1000000</f>
        <v>1.5245055927150268</v>
      </c>
      <c r="G14" s="34"/>
      <c r="H14" s="33"/>
      <c r="I14" s="33"/>
      <c r="J14" s="40">
        <f>C36*'E Balans VL '!D24/100/3.6*1000000+C36*'E Balans VL '!E24/100/3.6*1000000</f>
        <v>0</v>
      </c>
      <c r="K14" s="33"/>
      <c r="L14" s="33"/>
      <c r="M14" s="33"/>
      <c r="N14" s="33">
        <f>C36*'E Balans VL '!Y24/100/3.6*1000000</f>
        <v>8.0069887077910282E-2</v>
      </c>
      <c r="O14" s="33"/>
      <c r="P14" s="33"/>
      <c r="R14" s="32"/>
    </row>
    <row r="15" spans="1:18">
      <c r="A15" s="6" t="s">
        <v>265</v>
      </c>
      <c r="B15" s="37">
        <f t="shared" si="0"/>
        <v>0</v>
      </c>
      <c r="C15" s="33"/>
      <c r="D15" s="37">
        <f>IF( ISERROR(IND_rest_gas_kWh/1000),0,IND_rest_gas_kWh/1000)*0.903</f>
        <v>397.15622190968838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21306.35623563527</v>
      </c>
      <c r="C18" s="21">
        <f>C5+C16</f>
        <v>0</v>
      </c>
      <c r="D18" s="21">
        <f>MAX((D5+D16),0)</f>
        <v>8928.1785003741443</v>
      </c>
      <c r="E18" s="21">
        <f>MAX((E5+E16),0)</f>
        <v>145.39763361414484</v>
      </c>
      <c r="F18" s="21">
        <f>MAX((F5+F16),0)</f>
        <v>6018.0947879839405</v>
      </c>
      <c r="G18" s="21"/>
      <c r="H18" s="21"/>
      <c r="I18" s="21"/>
      <c r="J18" s="21">
        <f>MAX((J5+J16),0)</f>
        <v>45.910575558249519</v>
      </c>
      <c r="K18" s="21"/>
      <c r="L18" s="21">
        <f>MAX((L5+L16),0)</f>
        <v>0</v>
      </c>
      <c r="M18" s="21"/>
      <c r="N18" s="21">
        <f>MAX((N5+N16),0)</f>
        <v>1142.4539851575605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3.6627807436799005E-2</v>
      </c>
      <c r="C20" s="25">
        <f ca="1">'EF ele_warmte'!B22</f>
        <v>1.0551274230527431E-4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780.40511337869043</v>
      </c>
      <c r="C22" s="23">
        <f ca="1">C18*C20</f>
        <v>0</v>
      </c>
      <c r="D22" s="23">
        <f>D18*D20</f>
        <v>1803.4920570755773</v>
      </c>
      <c r="E22" s="23">
        <f>E18*E20</f>
        <v>33.005262830410878</v>
      </c>
      <c r="F22" s="23">
        <f>F18*F20</f>
        <v>1606.8313083917121</v>
      </c>
      <c r="G22" s="23"/>
      <c r="H22" s="23"/>
      <c r="I22" s="23"/>
      <c r="J22" s="23">
        <f>J18*J20</f>
        <v>16.25234374762033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9644.9945970233493</v>
      </c>
      <c r="C30" s="39">
        <f>IF(ISERROR(B30*3.6/1000000/'E Balans VL '!Z18*100),0,B30*3.6/1000000/'E Balans VL '!Z18*100)</f>
        <v>0.58079512766539043</v>
      </c>
      <c r="D30" s="233" t="s">
        <v>841</v>
      </c>
    </row>
    <row r="31" spans="1:18" ht="30">
      <c r="A31" s="6" t="s">
        <v>32</v>
      </c>
      <c r="B31" s="37">
        <f>IF( ISERROR(IND_ander_ele_kWh/1000),0,IND_ander_ele_kWh/1000)</f>
        <v>8072.1441453851394</v>
      </c>
      <c r="C31" s="39">
        <f>IF(ISERROR(B31*3.6/1000000/'E Balans VL '!Z19*100),0,B31*3.6/1000000/'E Balans VL '!Z19*100)</f>
        <v>0.32887586374452488</v>
      </c>
      <c r="D31" s="233" t="s">
        <v>841</v>
      </c>
    </row>
    <row r="32" spans="1:18" ht="30">
      <c r="A32" s="168" t="s">
        <v>40</v>
      </c>
      <c r="B32" s="37">
        <f>IF( ISERROR(IND_voed_ele_kWh/1000),0,IND_voed_ele_kWh/1000)</f>
        <v>764.54731950143002</v>
      </c>
      <c r="C32" s="39">
        <f>IF(ISERROR(B32*3.6/1000000/'E Balans VL '!Z20*100),0,B32*3.6/1000000/'E Balans VL '!Z20*100)</f>
        <v>2.2106139775104679E-2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1053.6135495062301</v>
      </c>
      <c r="C34" s="39">
        <f>IF(ISERROR(B34*3.6/1000000/'E Balans VL '!Z22*100),0,B34*3.6/1000000/'E Balans VL '!Z22*100)</f>
        <v>0.44988319520008757</v>
      </c>
      <c r="D34" s="233" t="s">
        <v>841</v>
      </c>
    </row>
    <row r="35" spans="1:5" ht="30">
      <c r="A35" s="168" t="s">
        <v>38</v>
      </c>
      <c r="B35" s="37">
        <f>IF( ISERROR(IND_papier_ele_kWh/1000),0,IND_papier_ele_kWh/1000)</f>
        <v>1541.5993051939099</v>
      </c>
      <c r="C35" s="39">
        <f>IF(ISERROR(B35*3.6/1000000/'E Balans VL '!Z22*100),0,B35*3.6/1000000/'E Balans VL '!Z22*100)</f>
        <v>0.65824857839375206</v>
      </c>
      <c r="D35" s="233" t="s">
        <v>841</v>
      </c>
    </row>
    <row r="36" spans="1:5" ht="30">
      <c r="A36" s="168" t="s">
        <v>33</v>
      </c>
      <c r="B36" s="37">
        <f>IF( ISERROR(IND_chemie_ele_kWh/1000),0,IND_chemie_ele_kWh/1000)</f>
        <v>229.45731902520802</v>
      </c>
      <c r="C36" s="39">
        <f>IF(ISERROR(B36*3.6/1000000/'E Balans VL '!Z24*100),0,B36*3.6/1000000/'E Balans VL '!Z24*100)</f>
        <v>6.9625988763400634E-3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5586.3830546814397</v>
      </c>
      <c r="C5" s="17">
        <f>'Eigen informatie GS &amp; warmtenet'!B62</f>
        <v>0</v>
      </c>
      <c r="D5" s="30">
        <f>IF(ISERROR(SUM(LB_lb_gas_kWh,LB_rest_gas_kWh)/1000),0,SUM(LB_lb_gas_kWh,LB_rest_gas_kWh)/1000)*0.903</f>
        <v>1064.0424824660299</v>
      </c>
      <c r="E5" s="17">
        <f>B17*'E Balans VL '!I25/3.6*1000000/100</f>
        <v>160.00346457701821</v>
      </c>
      <c r="F5" s="17">
        <f>B17*('E Balans VL '!L25/3.6*1000000+'E Balans VL '!N25/3.6*1000000)/100</f>
        <v>17683.603033362044</v>
      </c>
      <c r="G5" s="18"/>
      <c r="H5" s="17"/>
      <c r="I5" s="17"/>
      <c r="J5" s="17">
        <f>('E Balans VL '!D25+'E Balans VL '!E25)/3.6*1000000*landbouw!B17/100</f>
        <v>1420.4417850149623</v>
      </c>
      <c r="K5" s="17"/>
      <c r="L5" s="17">
        <f>L6*(-1)</f>
        <v>0</v>
      </c>
      <c r="M5" s="17"/>
      <c r="N5" s="17">
        <f>N6*(-1)</f>
        <v>103435.71428571429</v>
      </c>
      <c r="O5" s="17"/>
      <c r="P5" s="17"/>
      <c r="R5" s="32"/>
    </row>
    <row r="6" spans="1:18">
      <c r="A6" s="16" t="s">
        <v>473</v>
      </c>
      <c r="B6" s="17" t="s">
        <v>210</v>
      </c>
      <c r="C6" s="17">
        <f>'lokale energieproductie'!O43+'lokale energieproductie'!O36</f>
        <v>51717.857142857145</v>
      </c>
      <c r="D6" s="304">
        <f>('lokale energieproductie'!P36+'lokale energieproductie'!P43)*(-1)</f>
        <v>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-103435.71428571429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5586.3830546814397</v>
      </c>
      <c r="C8" s="21">
        <f>C5+C6</f>
        <v>51717.857142857145</v>
      </c>
      <c r="D8" s="21">
        <f>MAX((D5+D6),0)</f>
        <v>1064.0424824660299</v>
      </c>
      <c r="E8" s="21">
        <f>MAX((E5+E6),0)</f>
        <v>160.00346457701821</v>
      </c>
      <c r="F8" s="21">
        <f>MAX((F5+F6),0)</f>
        <v>17683.603033362044</v>
      </c>
      <c r="G8" s="21"/>
      <c r="H8" s="21"/>
      <c r="I8" s="21"/>
      <c r="J8" s="21">
        <f>MAX((J5+J6),0)</f>
        <v>1420.4417850149623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3.6627807436799005E-2</v>
      </c>
      <c r="C10" s="31">
        <f ca="1">'EF ele_warmte'!B22</f>
        <v>1.0551274230527431E-4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204.61696279506879</v>
      </c>
      <c r="C12" s="23">
        <f ca="1">C8*C10</f>
        <v>5.4568929332952765</v>
      </c>
      <c r="D12" s="23">
        <f>D8*D10</f>
        <v>214.93658145813805</v>
      </c>
      <c r="E12" s="23">
        <f>E8*E10</f>
        <v>36.320786458983136</v>
      </c>
      <c r="F12" s="23">
        <f>F8*F10</f>
        <v>4721.522009907666</v>
      </c>
      <c r="G12" s="23"/>
      <c r="H12" s="23"/>
      <c r="I12" s="23"/>
      <c r="J12" s="23">
        <f>J8*J10</f>
        <v>502.83639189529663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0.77358732318196111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398.15843303571251</v>
      </c>
      <c r="C26" s="243">
        <f>B26*'GWP N2O_CH4'!B5</f>
        <v>8361.3270937499619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244.31759043071213</v>
      </c>
      <c r="C27" s="243">
        <f>B27*'GWP N2O_CH4'!B5</f>
        <v>5130.6693990449548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9.0898119998985241</v>
      </c>
      <c r="C28" s="243">
        <f>B28*'GWP N2O_CH4'!B4</f>
        <v>2817.8417199685423</v>
      </c>
      <c r="D28" s="50"/>
    </row>
    <row r="29" spans="1:4">
      <c r="A29" s="41" t="s">
        <v>272</v>
      </c>
      <c r="B29" s="243">
        <f>B34*'ha_N2O bodem landbouw'!B4</f>
        <v>15.880606382445407</v>
      </c>
      <c r="C29" s="243">
        <f>B29*'GWP N2O_CH4'!B4</f>
        <v>4922.9879785580761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3.6077895504692497E-3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6.3507315738880587E-4</v>
      </c>
      <c r="C5" s="434" t="s">
        <v>210</v>
      </c>
      <c r="D5" s="419">
        <f>SUM(D6:D11)</f>
        <v>1.0423087029115656E-3</v>
      </c>
      <c r="E5" s="419">
        <f>SUM(E6:E11)</f>
        <v>4.4588955015432117E-4</v>
      </c>
      <c r="F5" s="432" t="s">
        <v>210</v>
      </c>
      <c r="G5" s="419">
        <f>SUM(G6:G11)</f>
        <v>0.27596863289746371</v>
      </c>
      <c r="H5" s="419">
        <f>SUM(H6:H11)</f>
        <v>5.203945224028169E-2</v>
      </c>
      <c r="I5" s="434" t="s">
        <v>210</v>
      </c>
      <c r="J5" s="434" t="s">
        <v>210</v>
      </c>
      <c r="K5" s="434" t="s">
        <v>210</v>
      </c>
      <c r="L5" s="434" t="s">
        <v>210</v>
      </c>
      <c r="M5" s="419">
        <f>SUM(M6:M11)</f>
        <v>1.9534747227797394E-2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2.2948874102037293E-4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3.8262342652445926E-4</v>
      </c>
      <c r="E6" s="886">
        <f>vkm_GW_PW*SUMIFS(TableVerdeelsleutelVkm[LPG],TableVerdeelsleutelVkm[Voertuigtype],"Lichte voertuigen")*SUMIFS(TableECFTransport[EnergieConsumptieFactor (PJ per km)],TableECFTransport[Index],CONCATENATE($A6,"_LPG_LPG"))</f>
        <v>1.5169462648794593E-4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4.5588045895427157E-2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1.876452252193498E-2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3.9478402909679418E-3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4.2202733095756067E-7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1.6729429407513718E-2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1.234389739964836E-7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9.6057554470198921E-4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1.0431108329645114E-4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2.3818947907680642E-4</v>
      </c>
      <c r="E8" s="422">
        <f>vkm_NGW_PW*SUMIFS(TableVerdeelsleutelVkm[LPG],TableVerdeelsleutelVkm[Voertuigtype],"Lichte voertuigen")*SUMIFS(TableECFTransport[EnergieConsumptieFactor (PJ per km)],TableECFTransport[Index],CONCATENATE($A8,"_LPG_LPG"))</f>
        <v>9.0417952535024813E-5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2.4890261344781686E-2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1.1572158757532284E-2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2.249530189351727E-3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1.2253444441283044E-7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6.2551158483171382E-3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4.3259984374110306E-8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3.5915796856289344E-4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2.9732581661387464E-4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4.2149579731029979E-4</v>
      </c>
      <c r="E10" s="422">
        <f>vkm_SW_PW*SUMIFS(TableVerdeelsleutelVkm[LPG],TableVerdeelsleutelVkm[Voertuigtype],"Lichte voertuigen")*SUMIFS(TableECFTransport[EnergieConsumptieFactor (PJ per km)],TableECFTransport[Index],CONCATENATE($A10,"_LPG_LPG"))</f>
        <v>2.0377697113135041E-4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5.5559177276735199E-2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2.1701579794012799E-2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4.7285777444044715E-3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3.4029546827366798E-6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0.12694660312468881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1.0244678432578733E-6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7.28906548980837E-3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176.4092103857794</v>
      </c>
      <c r="C14" s="21"/>
      <c r="D14" s="21">
        <f t="shared" ref="D14:M14" si="0">((D5)*10^9/3600)+D12</f>
        <v>289.53019525321264</v>
      </c>
      <c r="E14" s="21">
        <f t="shared" si="0"/>
        <v>123.85820837620032</v>
      </c>
      <c r="F14" s="21"/>
      <c r="G14" s="21">
        <f t="shared" si="0"/>
        <v>76657.953582628805</v>
      </c>
      <c r="H14" s="21">
        <f t="shared" si="0"/>
        <v>14455.403400078249</v>
      </c>
      <c r="I14" s="21"/>
      <c r="J14" s="21"/>
      <c r="K14" s="21"/>
      <c r="L14" s="21"/>
      <c r="M14" s="21">
        <f t="shared" si="0"/>
        <v>5426.3186743881643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3.6627807436799005E-2</v>
      </c>
      <c r="C16" s="56">
        <f ca="1">'EF ele_warmte'!B22</f>
        <v>1.0551274230527431E-4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6.4614825880880913</v>
      </c>
      <c r="C18" s="23"/>
      <c r="D18" s="23">
        <f t="shared" ref="D18:M18" si="1">D14*D16</f>
        <v>58.485099441148954</v>
      </c>
      <c r="E18" s="23">
        <f t="shared" si="1"/>
        <v>28.115813301397473</v>
      </c>
      <c r="F18" s="23"/>
      <c r="G18" s="23">
        <f t="shared" si="1"/>
        <v>20467.673606561893</v>
      </c>
      <c r="H18" s="23">
        <f t="shared" si="1"/>
        <v>3599.3954466194837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3.7702071501665685E-5</v>
      </c>
      <c r="C50" s="315">
        <f t="shared" ref="C50:P50" si="2">SUM(C51:C52)</f>
        <v>0</v>
      </c>
      <c r="D50" s="315">
        <f t="shared" si="2"/>
        <v>0</v>
      </c>
      <c r="E50" s="315">
        <f t="shared" si="2"/>
        <v>0</v>
      </c>
      <c r="F50" s="315">
        <f t="shared" si="2"/>
        <v>0</v>
      </c>
      <c r="G50" s="315">
        <f t="shared" si="2"/>
        <v>2.3602636573492562E-3</v>
      </c>
      <c r="H50" s="315">
        <f t="shared" si="2"/>
        <v>0</v>
      </c>
      <c r="I50" s="315">
        <f t="shared" si="2"/>
        <v>0</v>
      </c>
      <c r="J50" s="315">
        <f t="shared" si="2"/>
        <v>0</v>
      </c>
      <c r="K50" s="315">
        <f t="shared" si="2"/>
        <v>0</v>
      </c>
      <c r="L50" s="315">
        <f t="shared" si="2"/>
        <v>0</v>
      </c>
      <c r="M50" s="315">
        <f t="shared" si="2"/>
        <v>1.3552111303168511E-4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3.7702071501665685E-5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2.3602636573492562E-3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1.3552111303168511E-4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10.472797639351578</v>
      </c>
      <c r="C54" s="21">
        <f t="shared" ref="C54:P54" si="3">(C50)*10^9/3600</f>
        <v>0</v>
      </c>
      <c r="D54" s="21">
        <f t="shared" si="3"/>
        <v>0</v>
      </c>
      <c r="E54" s="21">
        <f t="shared" si="3"/>
        <v>0</v>
      </c>
      <c r="F54" s="21">
        <f t="shared" si="3"/>
        <v>0</v>
      </c>
      <c r="G54" s="21">
        <f t="shared" si="3"/>
        <v>655.62879370812675</v>
      </c>
      <c r="H54" s="21">
        <f t="shared" si="3"/>
        <v>0</v>
      </c>
      <c r="I54" s="21">
        <f t="shared" si="3"/>
        <v>0</v>
      </c>
      <c r="J54" s="21">
        <f t="shared" si="3"/>
        <v>0</v>
      </c>
      <c r="K54" s="21">
        <f t="shared" si="3"/>
        <v>0</v>
      </c>
      <c r="L54" s="21">
        <f t="shared" si="3"/>
        <v>0</v>
      </c>
      <c r="M54" s="21">
        <f t="shared" si="3"/>
        <v>37.644753619912535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3.6627807436799005E-2</v>
      </c>
      <c r="C56" s="56">
        <f ca="1">'EF ele_warmte'!B22</f>
        <v>1.0551274230527431E-4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0.38359561525873276</v>
      </c>
      <c r="C58" s="23">
        <f t="shared" ref="C58:P58" ca="1" si="4">C54*C56</f>
        <v>0</v>
      </c>
      <c r="D58" s="23">
        <f t="shared" si="4"/>
        <v>0</v>
      </c>
      <c r="E58" s="23">
        <f t="shared" si="4"/>
        <v>0</v>
      </c>
      <c r="F58" s="23">
        <f t="shared" si="4"/>
        <v>0</v>
      </c>
      <c r="G58" s="23">
        <f t="shared" si="4"/>
        <v>175.05288792006985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33365.555163361219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10083.893977246611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36219.5</v>
      </c>
      <c r="C8" s="545">
        <f>B52</f>
        <v>18.918904801613287</v>
      </c>
      <c r="D8" s="546"/>
      <c r="E8" s="546">
        <f>E52</f>
        <v>0</v>
      </c>
      <c r="F8" s="547"/>
      <c r="G8" s="548"/>
      <c r="H8" s="546">
        <f>I52</f>
        <v>0</v>
      </c>
      <c r="I8" s="546">
        <f>G52+F52</f>
        <v>0</v>
      </c>
      <c r="J8" s="546">
        <f>H52+D52+C52</f>
        <v>42591.144689033594</v>
      </c>
      <c r="K8" s="546"/>
      <c r="L8" s="546"/>
      <c r="M8" s="546"/>
      <c r="N8" s="549"/>
      <c r="O8" s="550">
        <f>C8*$C$12+D8*$D$12+E8*$E$12+F8*$F$12+G8*$G$12+H8*$H$12+I8*$I$12+J8*$J$12</f>
        <v>3.8216187699258843</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79668.94914060783</v>
      </c>
      <c r="C10" s="560">
        <f t="shared" ref="C10:L10" si="0">SUM(C8:C9)</f>
        <v>18.918904801613287</v>
      </c>
      <c r="D10" s="560">
        <f t="shared" si="0"/>
        <v>0</v>
      </c>
      <c r="E10" s="560">
        <f t="shared" si="0"/>
        <v>0</v>
      </c>
      <c r="F10" s="560">
        <f t="shared" si="0"/>
        <v>0</v>
      </c>
      <c r="G10" s="560">
        <f t="shared" si="0"/>
        <v>0</v>
      </c>
      <c r="H10" s="560">
        <f t="shared" si="0"/>
        <v>0</v>
      </c>
      <c r="I10" s="560">
        <f t="shared" si="0"/>
        <v>0</v>
      </c>
      <c r="J10" s="560">
        <f t="shared" si="0"/>
        <v>42591.144689033594</v>
      </c>
      <c r="K10" s="560">
        <f t="shared" si="0"/>
        <v>0</v>
      </c>
      <c r="L10" s="560">
        <f t="shared" si="0"/>
        <v>0</v>
      </c>
      <c r="M10" s="961"/>
      <c r="N10" s="961"/>
      <c r="O10" s="561">
        <f>SUM(O4:O9)</f>
        <v>3.8216187699258843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51742.208494208491</v>
      </c>
      <c r="C17" s="576">
        <f>B53</f>
        <v>27.027041144332657</v>
      </c>
      <c r="D17" s="577"/>
      <c r="E17" s="577">
        <f>E53</f>
        <v>0</v>
      </c>
      <c r="F17" s="578"/>
      <c r="G17" s="579"/>
      <c r="H17" s="576">
        <f>I53</f>
        <v>0</v>
      </c>
      <c r="I17" s="577">
        <f>G53+F53</f>
        <v>0</v>
      </c>
      <c r="J17" s="577">
        <f>H53+D53+C53</f>
        <v>60844.569596680696</v>
      </c>
      <c r="K17" s="577"/>
      <c r="L17" s="577"/>
      <c r="M17" s="577"/>
      <c r="N17" s="962"/>
      <c r="O17" s="580">
        <f>C17*$C$22+E17*$E$22+H17*$H$22+I17*$I$22+J17*$J$22+D17*$D$22+F17*$F$22+G17*$G$22+K17*$K$22+L17*$L$22</f>
        <v>5.459462311155197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51742.208494208491</v>
      </c>
      <c r="C20" s="559">
        <f>SUM(C17:C19)</f>
        <v>27.027041144332657</v>
      </c>
      <c r="D20" s="559">
        <f t="shared" ref="D20:L20" si="1">SUM(D17:D19)</f>
        <v>0</v>
      </c>
      <c r="E20" s="559">
        <f t="shared" si="1"/>
        <v>0</v>
      </c>
      <c r="F20" s="559">
        <f t="shared" si="1"/>
        <v>0</v>
      </c>
      <c r="G20" s="559">
        <f t="shared" si="1"/>
        <v>0</v>
      </c>
      <c r="H20" s="559">
        <f t="shared" si="1"/>
        <v>0</v>
      </c>
      <c r="I20" s="559">
        <f t="shared" si="1"/>
        <v>0</v>
      </c>
      <c r="J20" s="559">
        <f t="shared" si="1"/>
        <v>60844.569596680696</v>
      </c>
      <c r="K20" s="559">
        <f t="shared" si="1"/>
        <v>0</v>
      </c>
      <c r="L20" s="559">
        <f t="shared" si="1"/>
        <v>0</v>
      </c>
      <c r="M20" s="559"/>
      <c r="N20" s="559"/>
      <c r="O20" s="585">
        <f>SUM(O17:O19)</f>
        <v>5.459462311155197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13001</v>
      </c>
      <c r="C28" s="787">
        <v>2370</v>
      </c>
      <c r="D28" s="637" t="s">
        <v>874</v>
      </c>
      <c r="E28" s="636" t="s">
        <v>875</v>
      </c>
      <c r="F28" s="636" t="s">
        <v>876</v>
      </c>
      <c r="G28" s="636" t="s">
        <v>877</v>
      </c>
      <c r="H28" s="636" t="s">
        <v>878</v>
      </c>
      <c r="I28" s="636" t="s">
        <v>875</v>
      </c>
      <c r="J28" s="786">
        <v>40813</v>
      </c>
      <c r="K28" s="786">
        <v>40150</v>
      </c>
      <c r="L28" s="636" t="s">
        <v>879</v>
      </c>
      <c r="M28" s="636">
        <v>3277</v>
      </c>
      <c r="N28" s="636">
        <v>14746.5</v>
      </c>
      <c r="O28" s="636">
        <v>21066.428571428572</v>
      </c>
      <c r="P28" s="636">
        <v>0</v>
      </c>
      <c r="Q28" s="636">
        <v>42132.857142857145</v>
      </c>
      <c r="R28" s="636">
        <v>0</v>
      </c>
      <c r="S28" s="636">
        <v>0</v>
      </c>
      <c r="T28" s="636">
        <v>0</v>
      </c>
      <c r="U28" s="636">
        <v>0</v>
      </c>
      <c r="V28" s="636">
        <v>0</v>
      </c>
      <c r="W28" s="636">
        <v>0</v>
      </c>
      <c r="X28" s="636">
        <v>10</v>
      </c>
      <c r="Y28" s="636" t="s">
        <v>111</v>
      </c>
      <c r="Z28" s="638" t="s">
        <v>111</v>
      </c>
    </row>
    <row r="29" spans="1:26" s="590" customFormat="1" ht="25.5">
      <c r="A29" s="589"/>
      <c r="B29" s="787">
        <v>13001</v>
      </c>
      <c r="C29" s="787">
        <v>2370</v>
      </c>
      <c r="D29" s="637" t="s">
        <v>880</v>
      </c>
      <c r="E29" s="636" t="s">
        <v>881</v>
      </c>
      <c r="F29" s="636" t="s">
        <v>882</v>
      </c>
      <c r="G29" s="636" t="s">
        <v>877</v>
      </c>
      <c r="H29" s="636" t="s">
        <v>878</v>
      </c>
      <c r="I29" s="636" t="s">
        <v>881</v>
      </c>
      <c r="J29" s="786">
        <v>41313</v>
      </c>
      <c r="K29" s="786">
        <v>41313</v>
      </c>
      <c r="L29" s="636" t="s">
        <v>879</v>
      </c>
      <c r="M29" s="636">
        <v>3567</v>
      </c>
      <c r="N29" s="636">
        <v>16051.5</v>
      </c>
      <c r="O29" s="636">
        <v>22930.714285714286</v>
      </c>
      <c r="P29" s="636">
        <v>0</v>
      </c>
      <c r="Q29" s="636">
        <v>45861.428571428572</v>
      </c>
      <c r="R29" s="636">
        <v>0</v>
      </c>
      <c r="S29" s="636">
        <v>0</v>
      </c>
      <c r="T29" s="636">
        <v>0</v>
      </c>
      <c r="U29" s="636">
        <v>0</v>
      </c>
      <c r="V29" s="636">
        <v>0</v>
      </c>
      <c r="W29" s="636">
        <v>0</v>
      </c>
      <c r="X29" s="636">
        <v>10</v>
      </c>
      <c r="Y29" s="636" t="s">
        <v>111</v>
      </c>
      <c r="Z29" s="638" t="s">
        <v>111</v>
      </c>
    </row>
    <row r="30" spans="1:26" s="590" customFormat="1" ht="12.75">
      <c r="A30" s="589"/>
      <c r="B30" s="787">
        <v>13001</v>
      </c>
      <c r="C30" s="787">
        <v>2370</v>
      </c>
      <c r="D30" s="637" t="s">
        <v>883</v>
      </c>
      <c r="E30" s="636"/>
      <c r="F30" s="636" t="s">
        <v>884</v>
      </c>
      <c r="G30" s="636" t="s">
        <v>885</v>
      </c>
      <c r="H30" s="636" t="s">
        <v>886</v>
      </c>
      <c r="I30" s="636" t="s">
        <v>887</v>
      </c>
      <c r="J30" s="786">
        <v>42760</v>
      </c>
      <c r="K30" s="786">
        <v>42760</v>
      </c>
      <c r="L30" s="636" t="s">
        <v>888</v>
      </c>
      <c r="M30" s="636">
        <v>1.7</v>
      </c>
      <c r="N30" s="636">
        <v>8.5</v>
      </c>
      <c r="O30" s="636">
        <v>12.175675675675675</v>
      </c>
      <c r="P30" s="636">
        <v>22.972972972972972</v>
      </c>
      <c r="Q30" s="636">
        <v>0</v>
      </c>
      <c r="R30" s="636">
        <v>0</v>
      </c>
      <c r="S30" s="636">
        <v>0</v>
      </c>
      <c r="T30" s="636">
        <v>0</v>
      </c>
      <c r="U30" s="636">
        <v>0</v>
      </c>
      <c r="V30" s="636">
        <v>0</v>
      </c>
      <c r="W30" s="636">
        <v>0</v>
      </c>
      <c r="X30" s="636">
        <v>1100</v>
      </c>
      <c r="Y30" s="636" t="s">
        <v>160</v>
      </c>
      <c r="Z30" s="638" t="s">
        <v>155</v>
      </c>
    </row>
    <row r="31" spans="1:26" s="590" customFormat="1" ht="51">
      <c r="A31" s="589"/>
      <c r="B31" s="787">
        <v>13001</v>
      </c>
      <c r="C31" s="787">
        <v>2370</v>
      </c>
      <c r="D31" s="637" t="s">
        <v>889</v>
      </c>
      <c r="E31" s="636"/>
      <c r="F31" s="636" t="s">
        <v>890</v>
      </c>
      <c r="G31" s="636" t="s">
        <v>885</v>
      </c>
      <c r="H31" s="636" t="s">
        <v>886</v>
      </c>
      <c r="I31" s="636" t="s">
        <v>891</v>
      </c>
      <c r="J31" s="786">
        <v>42853</v>
      </c>
      <c r="K31" s="786">
        <v>42853</v>
      </c>
      <c r="L31" s="636" t="s">
        <v>888</v>
      </c>
      <c r="M31" s="636">
        <v>1.7</v>
      </c>
      <c r="N31" s="636">
        <v>8.5</v>
      </c>
      <c r="O31" s="636">
        <v>12.175675675675675</v>
      </c>
      <c r="P31" s="636">
        <v>22.972972972972972</v>
      </c>
      <c r="Q31" s="636">
        <v>0</v>
      </c>
      <c r="R31" s="636">
        <v>0</v>
      </c>
      <c r="S31" s="636">
        <v>0</v>
      </c>
      <c r="T31" s="636">
        <v>0</v>
      </c>
      <c r="U31" s="636">
        <v>0</v>
      </c>
      <c r="V31" s="636">
        <v>0</v>
      </c>
      <c r="W31" s="636">
        <v>0</v>
      </c>
      <c r="X31" s="636">
        <v>1500</v>
      </c>
      <c r="Y31" s="636" t="s">
        <v>50</v>
      </c>
      <c r="Z31" s="638" t="s">
        <v>155</v>
      </c>
    </row>
    <row r="32" spans="1:26" s="590" customFormat="1" ht="25.5">
      <c r="A32" s="589"/>
      <c r="B32" s="787">
        <v>13001</v>
      </c>
      <c r="C32" s="787">
        <v>2370</v>
      </c>
      <c r="D32" s="637" t="s">
        <v>892</v>
      </c>
      <c r="E32" s="636" t="s">
        <v>893</v>
      </c>
      <c r="F32" s="636" t="s">
        <v>894</v>
      </c>
      <c r="G32" s="636" t="s">
        <v>895</v>
      </c>
      <c r="H32" s="636" t="s">
        <v>878</v>
      </c>
      <c r="I32" s="636" t="s">
        <v>896</v>
      </c>
      <c r="J32" s="786">
        <v>43304</v>
      </c>
      <c r="K32" s="786">
        <v>43307</v>
      </c>
      <c r="L32" s="636" t="s">
        <v>888</v>
      </c>
      <c r="M32" s="636">
        <v>1201</v>
      </c>
      <c r="N32" s="636">
        <v>5404.5</v>
      </c>
      <c r="O32" s="636">
        <v>7720.7142857142862</v>
      </c>
      <c r="P32" s="636">
        <v>0</v>
      </c>
      <c r="Q32" s="636">
        <v>15441.428571428572</v>
      </c>
      <c r="R32" s="636">
        <v>0</v>
      </c>
      <c r="S32" s="636">
        <v>0</v>
      </c>
      <c r="T32" s="636">
        <v>0</v>
      </c>
      <c r="U32" s="636">
        <v>0</v>
      </c>
      <c r="V32" s="636">
        <v>0</v>
      </c>
      <c r="W32" s="636">
        <v>0</v>
      </c>
      <c r="X32" s="636">
        <v>10</v>
      </c>
      <c r="Y32" s="636" t="s">
        <v>111</v>
      </c>
      <c r="Z32" s="638" t="s">
        <v>111</v>
      </c>
    </row>
    <row r="33" spans="1:27" s="570" customFormat="1">
      <c r="A33" s="592" t="s">
        <v>275</v>
      </c>
      <c r="B33" s="593"/>
      <c r="C33" s="593"/>
      <c r="D33" s="593"/>
      <c r="E33" s="593"/>
      <c r="F33" s="593"/>
      <c r="G33" s="593"/>
      <c r="H33" s="593"/>
      <c r="I33" s="593"/>
      <c r="J33" s="593"/>
      <c r="K33" s="593"/>
      <c r="L33" s="594"/>
      <c r="M33" s="594">
        <f>SUM(M28:M32)</f>
        <v>8048.4</v>
      </c>
      <c r="N33" s="594">
        <f>SUM(N28:N32)</f>
        <v>36219.5</v>
      </c>
      <c r="O33" s="594">
        <f>SUM(O28:O32)</f>
        <v>51742.208494208491</v>
      </c>
      <c r="P33" s="594">
        <f>SUM(P28:P32)</f>
        <v>45.945945945945944</v>
      </c>
      <c r="Q33" s="594">
        <f>SUM(Q28:Q32)</f>
        <v>103435.71428571429</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0</v>
      </c>
      <c r="N34" s="594">
        <f>SUMIF($Z$28:$Z$32,"industrie",N28:N32)</f>
        <v>0</v>
      </c>
      <c r="O34" s="594">
        <f>SUMIF($Z$28:$Z$32,"industrie",O28:O32)</f>
        <v>0</v>
      </c>
      <c r="P34" s="594">
        <f>SUMIF($Z$28:$Z$32,"industrie",P28:P32)</f>
        <v>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3.4</v>
      </c>
      <c r="N35" s="594">
        <f ca="1">SUMIF($Z$28:AD32,"tertiair",N28:N32)</f>
        <v>17</v>
      </c>
      <c r="O35" s="594">
        <f ca="1">SUMIF($Z$28:AE32,"tertiair",O28:O32)</f>
        <v>24.351351351351351</v>
      </c>
      <c r="P35" s="594">
        <f ca="1">SUMIF($Z$28:AF32,"tertiair",P28:P32)</f>
        <v>45.945945945945944</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8045</v>
      </c>
      <c r="N36" s="599">
        <f>SUMIF($Z$28:$Z$32,"landbouw",N28:N32)</f>
        <v>36202.5</v>
      </c>
      <c r="O36" s="599">
        <f>SUMIF($Z$28:$Z$32,"landbouw",O28:O32)</f>
        <v>51717.857142857145</v>
      </c>
      <c r="P36" s="599">
        <f>SUMIF($Z$28:$Z$32,"landbouw",P28:P32)</f>
        <v>0</v>
      </c>
      <c r="Q36" s="599">
        <f>SUMIF($Z$28:$Z$32,"landbouw",Q28:Q32)</f>
        <v>103435.71428571429</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0.58823560137665198</v>
      </c>
      <c r="C49" s="619">
        <f>IF(ISERROR(N33/(O33+N33)),0,N33/(N33+O33))</f>
        <v>0.41176439862334802</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18.918904801613287</v>
      </c>
      <c r="C52" s="628">
        <f t="shared" si="2"/>
        <v>42591.144689033594</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27.027041144332657</v>
      </c>
      <c r="C53" s="631">
        <f t="shared" si="3"/>
        <v>60844.569596680696</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2021-06-29T14:12:46Z</dcterms:modified>
</cp:coreProperties>
</file>