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59"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68" i="18" l="1"/>
  <c r="V68" i="18"/>
  <c r="U68" i="18"/>
  <c r="T68" i="18"/>
  <c r="S68" i="18"/>
  <c r="R68" i="18"/>
  <c r="Q68" i="18"/>
  <c r="P68" i="18"/>
  <c r="O68" i="18"/>
  <c r="N68" i="18"/>
  <c r="M68" i="18"/>
  <c r="W67" i="18"/>
  <c r="V67" i="18"/>
  <c r="U67" i="18"/>
  <c r="T67" i="18"/>
  <c r="S67" i="18"/>
  <c r="R67" i="18"/>
  <c r="Q67" i="18"/>
  <c r="P67" i="18"/>
  <c r="O67" i="18"/>
  <c r="N67" i="18"/>
  <c r="M67" i="18"/>
  <c r="W66" i="18"/>
  <c r="V66" i="18"/>
  <c r="U66" i="18"/>
  <c r="T66" i="18"/>
  <c r="S66" i="18"/>
  <c r="R66" i="18"/>
  <c r="Q66" i="18"/>
  <c r="P66" i="18"/>
  <c r="O66" i="18"/>
  <c r="N66" i="18"/>
  <c r="M66" i="18"/>
  <c r="W65" i="18"/>
  <c r="H9" i="18" s="1"/>
  <c r="M77" i="14" s="1"/>
  <c r="M9" i="59" s="1"/>
  <c r="V65" i="18"/>
  <c r="U65" i="18"/>
  <c r="T65" i="18"/>
  <c r="S65" i="18"/>
  <c r="E9" i="18" s="1"/>
  <c r="F77" i="14" s="1"/>
  <c r="F9" i="59" s="1"/>
  <c r="R65" i="18"/>
  <c r="Q65" i="18"/>
  <c r="P65" i="18"/>
  <c r="O65" i="18"/>
  <c r="N65" i="18"/>
  <c r="B9" i="18" s="1"/>
  <c r="M65" i="18"/>
  <c r="W61" i="18"/>
  <c r="V61" i="18"/>
  <c r="U61" i="18"/>
  <c r="T61" i="18"/>
  <c r="L6" i="17" s="1"/>
  <c r="L5" i="17" s="1"/>
  <c r="S61" i="18"/>
  <c r="R61" i="18"/>
  <c r="Q61" i="18"/>
  <c r="P61" i="18"/>
  <c r="D6" i="17" s="1"/>
  <c r="O61" i="18"/>
  <c r="N61" i="18"/>
  <c r="M61" i="18"/>
  <c r="W60" i="18"/>
  <c r="V60" i="18"/>
  <c r="U60" i="18"/>
  <c r="T60" i="18"/>
  <c r="S60" i="18"/>
  <c r="R60" i="18"/>
  <c r="Q60" i="18"/>
  <c r="P60" i="18"/>
  <c r="O60" i="18"/>
  <c r="C13" i="15" s="1"/>
  <c r="N60" i="18"/>
  <c r="B13" i="15" s="1"/>
  <c r="M60" i="18"/>
  <c r="W59" i="18"/>
  <c r="V59" i="18"/>
  <c r="U59" i="18"/>
  <c r="T59" i="18"/>
  <c r="S59" i="18"/>
  <c r="F16" i="16" s="1"/>
  <c r="R59" i="18"/>
  <c r="Q59" i="18"/>
  <c r="P59" i="18"/>
  <c r="O59" i="18"/>
  <c r="N59" i="18"/>
  <c r="W58" i="18"/>
  <c r="V58" i="18"/>
  <c r="U58" i="18"/>
  <c r="T58" i="18"/>
  <c r="S58" i="18"/>
  <c r="R58" i="18"/>
  <c r="Q58" i="18"/>
  <c r="P58" i="18"/>
  <c r="O58" i="18"/>
  <c r="B17" i="18" s="1"/>
  <c r="N58" i="18"/>
  <c r="B8" i="18" s="1"/>
  <c r="M5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16" i="16"/>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74" i="18"/>
  <c r="B78" i="18" s="1"/>
  <c r="B16" i="16"/>
  <c r="K9" i="14"/>
  <c r="H77" i="14"/>
  <c r="J11" i="48"/>
  <c r="J29" i="48" s="1"/>
  <c r="M9" i="14"/>
  <c r="L11" i="48"/>
  <c r="O19" i="14"/>
  <c r="O22" i="14" s="1"/>
  <c r="N10" i="48"/>
  <c r="N28" i="48" s="1"/>
  <c r="J19" i="14"/>
  <c r="J22" i="14" s="1"/>
  <c r="I10" i="48"/>
  <c r="I28" i="48" s="1"/>
  <c r="J19" i="19"/>
  <c r="K39" i="14" s="1"/>
  <c r="N19" i="19"/>
  <c r="O39" i="14" s="1"/>
  <c r="C74" i="18"/>
  <c r="I7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77" i="18"/>
  <c r="E8" i="18" s="1"/>
  <c r="F76" i="14" s="1"/>
  <c r="F7" i="48"/>
  <c r="F25" i="48" s="1"/>
  <c r="D77" i="18"/>
  <c r="O9" i="18"/>
  <c r="M29" i="48"/>
  <c r="F12" i="17"/>
  <c r="G54" i="14" s="1"/>
  <c r="G56" i="14" s="1"/>
  <c r="C78" i="18"/>
  <c r="C77" i="18"/>
  <c r="B10" i="18"/>
  <c r="E78" i="18"/>
  <c r="E17" i="18" s="1"/>
  <c r="F87" i="14" s="1"/>
  <c r="G78" i="18"/>
  <c r="D7" i="48"/>
  <c r="D25" i="48" s="1"/>
  <c r="H77" i="18"/>
  <c r="G77" i="18"/>
  <c r="D78" i="18"/>
  <c r="L28" i="48"/>
  <c r="H78" i="18"/>
  <c r="I78" i="18"/>
  <c r="H17" i="18" s="1"/>
  <c r="F78" i="18"/>
  <c r="F77" i="18"/>
  <c r="H10" i="18"/>
  <c r="M78" i="14"/>
  <c r="B77"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9" i="20"/>
  <c r="C56" i="22"/>
  <c r="C58" i="22" s="1"/>
  <c r="D49" i="14" s="1"/>
  <c r="D52" i="14" s="1"/>
  <c r="C20" i="16"/>
  <c r="C22" i="16" s="1"/>
  <c r="D43" i="14" s="1"/>
  <c r="C18" i="15"/>
  <c r="C20" i="15" s="1"/>
  <c r="D40" i="14" s="1"/>
  <c r="C17" i="19"/>
  <c r="C19" i="19" s="1"/>
  <c r="D39" i="14" s="1"/>
  <c r="C10" i="17"/>
  <c r="C12" i="17" s="1"/>
  <c r="D54" i="14" s="1"/>
  <c r="D56" i="14" s="1"/>
  <c r="C17" i="49"/>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<sst xmlns="http://schemas.openxmlformats.org/spreadsheetml/2006/main" count="2697" uniqueCount="974">
  <si>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</si>
  <si>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</si>
  <si>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</si>
  <si>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</si>
  <si>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</si>
  <si>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</si>
  <si>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</si>
  <si>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</si>
  <si>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</si>
  <si>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</si>
  <si>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</si>
  <si>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</si>
  <si>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</si>
  <si>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</si>
  <si>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</si>
  <si>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</si>
  <si>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</si>
  <si>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</si>
  <si>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</si>
  <si>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</si>
  <si>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</si>
  <si>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</si>
  <si>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</si>
  <si>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</si>
  <si>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</si>
  <si>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</si>
  <si>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</si>
  <si>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</si>
  <si>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</si>
  <si>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</si>
  <si>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</si>
  <si>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</si>
  <si>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</si>
  <si>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</si>
  <si>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</si>
  <si>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</si>
  <si>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</si>
  <si>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</si>
  <si>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</si>
  <si>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</si>
  <si>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</si>
  <si>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</si>
  <si>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</si>
  <si>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</si>
  <si>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</si>
  <si>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</si>
  <si>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</si>
  <si>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</si>
  <si>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</si>
  <si>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</si>
  <si>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</si>
  <si>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</si>
  <si>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</si>
  <si>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</si>
  <si>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</si>
  <si>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</si>
  <si>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</si>
  <si>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</si>
  <si>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</si>
  <si>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</si>
  <si>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</si>
  <si>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</si>
  <si>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</si>
  <si>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</si>
  <si>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</si>
  <si>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</si>
  <si>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</si>
  <si>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</si>
  <si>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</si>
  <si>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</si>
  <si>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</si>
  <si>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</si>
  <si>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</si>
  <si>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</si>
  <si>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</si>
  <si>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</si>
  <si>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</si>
  <si>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</si>
  <si>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</si>
  <si>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</si>
  <si>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</si>
  <si>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</si>
  <si>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</si>
  <si>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</si>
  <si>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</si>
  <si>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</si>
  <si>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</si>
  <si>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</si>
  <si>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</si>
  <si>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</si>
  <si>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</si>
  <si>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</si>
  <si>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</si>
  <si>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</si>
  <si>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</si>
  <si>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</si>
  <si>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</si>
  <si>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</si>
  <si>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</si>
  <si>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</si>
  <si>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</si>
  <si>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</si>
  <si>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</si>
  <si>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</si>
  <si>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</si>
  <si>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</si>
  <si>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</si>
  <si>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</si>
  <si>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</si>
  <si>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</si>
  <si>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</si>
  <si>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</si>
  <si>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</si>
  <si>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</si>
  <si>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</si>
  <si>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</si>
  <si>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</si>
  <si>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</si>
  <si>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</si>
  <si>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</si>
  <si>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</si>
  <si>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</si>
  <si>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</si>
  <si>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</si>
  <si>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</si>
  <si>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</si>
  <si>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</si>
  <si>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</si>
  <si>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</si>
  <si>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</si>
  <si>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</si>
  <si>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</si>
  <si>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</si>
  <si>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</si>
  <si>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</si>
  <si>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</si>
  <si>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</si>
  <si>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</si>
  <si>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</si>
  <si>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</si>
  <si>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</si>
  <si>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</si>
  <si>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</si>
  <si>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</si>
  <si>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</si>
  <si>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</si>
  <si>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</si>
  <si>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</si>
  <si>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</si>
  <si>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</si>
  <si>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</si>
  <si>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</si>
  <si>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</si>
  <si>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</si>
  <si>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</si>
  <si>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</si>
  <si>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</si>
  <si>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</si>
  <si>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</si>
  <si>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</si>
  <si>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</si>
  <si>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</si>
  <si>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</si>
  <si>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</si>
  <si>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</si>
  <si>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</si>
  <si>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</si>
  <si>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</si>
  <si>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</si>
  <si>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</si>
  <si>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</si>
  <si>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</si>
  <si>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</si>
  <si>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</si>
  <si>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</si>
  <si>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</si>
  <si>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</si>
  <si>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</si>
  <si>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</si>
  <si>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</si>
  <si>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</si>
  <si>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</si>
  <si>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</si>
  <si>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</si>
  <si>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</si>
  <si>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</si>
  <si>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</si>
  <si>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</si>
  <si>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</si>
  <si>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</si>
  <si>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</si>
  <si>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</si>
  <si>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</si>
  <si>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</si>
  <si>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</si>
  <si>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</si>
  <si>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</si>
  <si>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</si>
  <si>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</si>
  <si>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</si>
  <si>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</si>
  <si>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</si>
  <si>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</si>
  <si>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</si>
  <si>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</si>
  <si>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</si>
  <si>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</si>
  <si>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</si>
  <si>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</si>
  <si>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</si>
  <si>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</si>
  <si>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</si>
  <si>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</si>
  <si>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</si>
  <si>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</si>
  <si>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</si>
  <si>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</si>
  <si>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</si>
  <si>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</si>
  <si>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</si>
  <si>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</si>
  <si>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</si>
  <si>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</si>
  <si>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</si>
  <si>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</si>
  <si>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</si>
  <si>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</si>
  <si>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</si>
  <si>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</si>
  <si>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</si>
  <si>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</si>
  <si>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</si>
  <si>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</si>
  <si>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</si>
  <si>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</si>
  <si>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</si>
  <si>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</si>
  <si>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</si>
  <si>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</si>
  <si>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</si>
  <si>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</si>
  <si>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</si>
  <si>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</si>
  <si>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</si>
  <si>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</si>
  <si>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</si>
  <si>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</si>
  <si>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</si>
  <si>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</si>
  <si>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</si>
  <si>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</si>
  <si>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</si>
  <si>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</si>
  <si>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</si>
  <si>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</si>
  <si>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</si>
  <si>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</si>
  <si>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</si>
  <si>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</si>
  <si>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</si>
  <si>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</si>
  <si>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</si>
  <si>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</si>
  <si>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</si>
  <si>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</si>
  <si>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</si>
  <si>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</si>
  <si>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</si>
  <si>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</si>
  <si>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</si>
  <si>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</si>
  <si>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</si>
  <si>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</si>
  <si>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</si>
  <si>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</si>
  <si>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</si>
  <si>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</si>
  <si>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</si>
  <si>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</si>
  <si>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</si>
  <si>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</si>
  <si>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</si>
  <si>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</si>
  <si>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</si>
  <si>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</si>
  <si>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</si>
  <si>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</si>
  <si>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</si>
  <si>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</si>
  <si>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</si>
  <si>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</si>
  <si>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</si>
  <si>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</si>
  <si>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</si>
  <si>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</si>
  <si>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</si>
  <si>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</si>
  <si>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</si>
  <si>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</si>
  <si>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</si>
  <si>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</si>
  <si>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</si>
  <si>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</si>
  <si>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</si>
  <si>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</si>
  <si>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</si>
  <si>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</si>
  <si>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</si>
  <si>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</si>
  <si>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</si>
  <si>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</si>
  <si>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</si>
  <si>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</si>
  <si>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</si>
  <si>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</si>
  <si>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</si>
  <si>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</si>
  <si>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</si>
  <si>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</si>
  <si>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</si>
  <si>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</si>
  <si>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</si>
  <si>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</si>
  <si>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</si>
  <si>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</si>
  <si>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</si>
  <si>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</si>
  <si>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</si>
  <si>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</si>
  <si>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</si>
  <si>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</si>
  <si>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</si>
  <si>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</si>
  <si>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</si>
  <si>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</si>
  <si>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</si>
  <si>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</si>
  <si>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</si>
  <si>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</si>
  <si>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</si>
  <si>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</si>
  <si>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</si>
  <si>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</si>
  <si>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</si>
  <si>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</si>
  <si>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</si>
  <si>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</si>
  <si>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</si>
  <si>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</si>
  <si>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</si>
  <si>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</si>
  <si>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</si>
  <si>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</si>
  <si>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</si>
  <si>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</si>
  <si>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</si>
  <si>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</si>
  <si>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</si>
  <si>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</si>
  <si>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</si>
  <si>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</si>
  <si>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</si>
  <si>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</si>
  <si>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</si>
  <si>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</si>
  <si>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</si>
  <si>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</si>
  <si>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</si>
  <si>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</si>
  <si>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</si>
  <si>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</si>
  <si>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</si>
  <si>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</si>
  <si>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</si>
  <si>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</si>
  <si>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</si>
  <si>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</si>
  <si>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</si>
  <si>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</si>
  <si>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</si>
  <si>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</si>
  <si>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</si>
  <si>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</si>
  <si>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</si>
  <si>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</si>
  <si>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</si>
  <si>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</si>
  <si>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</si>
  <si>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</si>
  <si>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</si>
  <si>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</si>
  <si>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</si>
  <si>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</si>
  <si>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</si>
  <si>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</si>
  <si>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</si>
  <si>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</si>
  <si>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</si>
  <si>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</si>
  <si>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</si>
  <si>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</si>
  <si>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</si>
  <si>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</si>
  <si>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</si>
  <si>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</si>
  <si>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</si>
  <si>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</si>
  <si>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</si>
  <si>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</si>
  <si>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</si>
  <si>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</si>
  <si>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</si>
  <si>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</si>
  <si>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</si>
  <si>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</si>
  <si>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</si>
  <si>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</si>
  <si>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</si>
  <si>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</si>
  <si>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</si>
  <si>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</si>
  <si>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</si>
  <si>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</si>
  <si>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</si>
  <si>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</si>
  <si>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</si>
  <si>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</si>
  <si>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</si>
  <si>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</si>
  <si>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</si>
  <si>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</si>
  <si>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</si>
  <si>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</si>
  <si>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</si>
  <si>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</si>
  <si>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</si>
  <si>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</si>
  <si>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</si>
  <si>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</si>
  <si>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</si>
  <si>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</si>
  <si>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</si>
  <si>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</si>
  <si>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</si>
  <si>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</si>
  <si>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</si>
  <si>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</si>
  <si>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</si>
  <si>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</si>
  <si>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</si>
  <si>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</si>
  <si>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</si>
  <si>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</si>
  <si>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</si>
  <si>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</si>
  <si>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</si>
  <si>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</si>
  <si>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</si>
  <si>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</si>
  <si>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</si>
  <si>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</si>
  <si>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</si>
  <si>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</si>
  <si>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</si>
  <si>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</si>
  <si>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</si>
  <si>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</si>
  <si>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</si>
  <si>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</si>
  <si>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</si>
  <si>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</si>
  <si>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</si>
  <si>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</si>
  <si>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</si>
  <si>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</si>
  <si>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</si>
  <si>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</si>
  <si>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</si>
  <si>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</si>
  <si>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</si>
  <si>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</si>
  <si>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</si>
  <si>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</si>
  <si>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</si>
  <si>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</si>
  <si>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</si>
  <si>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</si>
  <si>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</si>
  <si>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</si>
  <si>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</si>
  <si>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</si>
  <si>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</si>
  <si>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</si>
  <si>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</si>
  <si>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</si>
  <si>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</si>
  <si>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</si>
  <si>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</si>
  <si>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</si>
  <si>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</si>
  <si>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</si>
  <si>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</si>
  <si>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</si>
  <si>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</si>
  <si>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</si>
  <si>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</si>
  <si>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</si>
  <si>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</si>
  <si>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</si>
  <si>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</si>
  <si>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</si>
  <si>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</si>
  <si>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</si>
  <si>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</si>
  <si>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</si>
  <si>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</si>
  <si>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</si>
  <si>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</si>
  <si>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</si>
  <si>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</si>
  <si>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</si>
  <si>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</si>
  <si>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</si>
  <si>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</si>
  <si>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</si>
  <si>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</si>
  <si>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</si>
  <si>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</si>
  <si>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</si>
  <si>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</si>
  <si>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</si>
  <si>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</si>
  <si>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</si>
  <si>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</si>
  <si>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</si>
  <si>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</si>
  <si>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</si>
  <si>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</si>
  <si>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</si>
  <si>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</si>
  <si>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</si>
  <si>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</si>
  <si>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</si>
  <si>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</si>
  <si>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</si>
  <si>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</si>
  <si>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</si>
  <si>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</si>
  <si>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</si>
  <si>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</si>
  <si>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</si>
  <si>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</si>
  <si>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</si>
  <si>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</si>
  <si>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</si>
  <si>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</si>
  <si>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</si>
  <si>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</si>
  <si>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</si>
  <si>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</si>
  <si>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</si>
  <si>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</si>
  <si>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</si>
  <si>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</si>
  <si>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</si>
  <si>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</si>
  <si>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</si>
  <si>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</si>
  <si>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</si>
  <si>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</si>
  <si>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</si>
  <si>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</si>
  <si>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</si>
  <si>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</si>
  <si>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</si>
  <si>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</si>
  <si>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</si>
  <si>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</si>
  <si>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</si>
  <si>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</si>
  <si>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</si>
  <si>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</si>
  <si>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</si>
  <si>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</si>
  <si>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</si>
  <si>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</si>
  <si>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</si>
  <si>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</si>
  <si>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</si>
  <si>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</si>
  <si>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</si>
  <si>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</si>
  <si>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</si>
  <si>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</si>
  <si>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</si>
  <si>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</si>
  <si>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</si>
  <si>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</si>
  <si>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</si>
  <si>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</si>
  <si>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</si>
  <si>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</si>
  <si>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</si>
  <si>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</si>
  <si>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</si>
  <si>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</si>
  <si>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</si>
  <si>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</si>
  <si>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</si>
  <si>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</si>
  <si>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</si>
  <si>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</si>
  <si>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</si>
  <si>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</si>
  <si>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</si>
  <si>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</si>
  <si>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</si>
  <si>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</si>
  <si>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</si>
  <si>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</si>
  <si>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</si>
  <si>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</si>
  <si>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</si>
  <si>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</si>
  <si>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</si>
  <si>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</si>
  <si>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</si>
  <si>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</si>
  <si>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</si>
  <si>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</si>
  <si>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</si>
  <si>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</si>
  <si>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</si>
  <si>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</si>
  <si>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</si>
  <si>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</si>
  <si>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</si>
  <si>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</si>
  <si>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</si>
  <si>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</si>
  <si>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</si>
  <si>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</si>
  <si>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</si>
  <si>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</si>
  <si>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</si>
  <si>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</si>
  <si>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</si>
  <si>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</si>
  <si>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</si>
  <si>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</si>
  <si>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</si>
  <si>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</si>
  <si>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</si>
  <si>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</si>
  <si>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</si>
  <si>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</si>
  <si>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</si>
  <si>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</si>
  <si>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</si>
  <si>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</si>
  <si>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</si>
  <si>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</si>
  <si>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</si>
  <si>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</si>
  <si>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</si>
  <si>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</si>
  <si>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</si>
  <si>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</si>
  <si>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</si>
  <si>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</si>
  <si>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</si>
  <si>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</si>
  <si>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</si>
  <si>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</si>
  <si>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</si>
  <si>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</si>
  <si>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</si>
  <si>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</si>
  <si>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</si>
  <si>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</si>
  <si>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</si>
  <si>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</si>
  <si>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</si>
  <si>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</si>
  <si>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</si>
  <si>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</si>
  <si>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</si>
  <si>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</si>
  <si>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</si>
  <si>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</si>
  <si>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</si>
  <si>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</si>
  <si>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</si>
  <si>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</si>
  <si>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</si>
  <si>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</si>
  <si>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</si>
  <si>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</si>
  <si>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</si>
  <si>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</si>
  <si>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</si>
  <si>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</si>
  <si>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</si>
  <si>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</si>
  <si>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</si>
  <si>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</si>
  <si>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</si>
  <si>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</si>
  <si>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</si>
  <si>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</si>
  <si>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</si>
  <si>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</si>
  <si>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</si>
  <si>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</si>
  <si>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</si>
  <si>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</si>
  <si>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</si>
  <si>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</si>
  <si>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</si>
  <si>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</si>
  <si>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</si>
  <si>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</si>
  <si>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</si>
  <si>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</si>
  <si>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</si>
  <si>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</si>
  <si>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</si>
  <si>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</si>
  <si>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</si>
  <si>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</si>
  <si>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</si>
  <si>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</si>
  <si>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</si>
  <si>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</si>
  <si>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</si>
  <si>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</si>
  <si>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</si>
  <si>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</si>
  <si>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</si>
  <si>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</si>
  <si>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</si>
  <si>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</si>
  <si>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</si>
  <si>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</si>
  <si>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</si>
  <si>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</si>
  <si>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</si>
  <si>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</si>
  <si>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</si>
  <si>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</si>
  <si>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</si>
  <si>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</si>
  <si>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</si>
  <si>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</si>
  <si>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</si>
  <si>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</si>
  <si>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</si>
  <si>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</si>
  <si>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</si>
  <si>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</si>
  <si>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</si>
  <si>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</si>
  <si>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</si>
  <si>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</si>
  <si>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</si>
  <si>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</si>
  <si>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</si>
  <si>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</si>
  <si>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</si>
  <si>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</si>
  <si>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</si>
  <si>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</si>
  <si>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</si>
  <si>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</si>
  <si>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</si>
  <si>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</si>
  <si>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</si>
  <si>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</si>
  <si>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</si>
  <si>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</si>
  <si>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</si>
  <si>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</si>
  <si>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</si>
  <si>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</si>
  <si>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</si>
  <si>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</si>
  <si>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</si>
  <si>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</si>
  <si>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</si>
  <si>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</si>
  <si>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</si>
  <si>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</si>
  <si>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</si>
  <si>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</si>
  <si>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</si>
  <si>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</si>
  <si>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</si>
  <si>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</si>
  <si>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</si>
  <si>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</si>
  <si>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</si>
  <si>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</si>
  <si>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</si>
  <si>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</si>
  <si>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</si>
  <si>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</si>
  <si>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</si>
  <si>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</si>
  <si>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</si>
  <si>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</si>
  <si>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</si>
  <si>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</si>
  <si>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</si>
  <si>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</si>
  <si>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</si>
  <si>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</si>
  <si>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</si>
  <si>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</si>
  <si>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</si>
  <si>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</si>
  <si>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</si>
  <si>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</si>
  <si>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</si>
  <si>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</si>
  <si>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</si>
  <si>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</si>
  <si>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</si>
  <si>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</si>
  <si>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</si>
  <si>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</si>
  <si>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</si>
  <si>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</si>
  <si>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</si>
  <si>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</si>
  <si>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</si>
  <si>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</si>
  <si>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</si>
  <si>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</si>
  <si>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</si>
  <si>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</si>
  <si>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</si>
  <si>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</si>
  <si>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</si>
  <si>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</si>
  <si>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</si>
  <si>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</si>
  <si>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</si>
  <si>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</si>
  <si>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</si>
  <si>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</si>
  <si>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</si>
  <si>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</si>
  <si>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</si>
  <si>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</si>
  <si>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</si>
  <si>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</si>
  <si>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</si>
  <si>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</si>
  <si>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</si>
  <si>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</si>
  <si>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</si>
  <si>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</si>
  <si>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</si>
  <si>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</si>
  <si>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</si>
  <si>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</si>
  <si>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</si>
  <si>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</si>
  <si>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</si>
  <si>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</si>
  <si>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12035</t>
  </si>
  <si>
    <t>SINT-KATELIJNE-WAVER</t>
  </si>
  <si>
    <t>referentietaak LNE (2017); Jaarverslag De Lijn</t>
  </si>
  <si>
    <t>waterkracht</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</si>
  <si>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</si>
  <si>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</si>
  <si>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</si>
  <si>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</si>
  <si>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</si>
  <si>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</si>
  <si>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</si>
  <si>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</si>
  <si>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</si>
  <si>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</si>
  <si>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</si>
  <si>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</si>
  <si>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</si>
  <si>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IVERLEK (via EANDIS)</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</si>
  <si>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</si>
  <si>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</si>
  <si>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</si>
  <si>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</si>
  <si>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</si>
  <si>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</si>
  <si>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</si>
  <si>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</si>
  <si>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</si>
  <si>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</si>
  <si>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</si>
  <si>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</si>
  <si>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</si>
  <si>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</si>
  <si>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</si>
  <si>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</si>
  <si>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</si>
  <si>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</si>
  <si>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</si>
  <si>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</si>
  <si>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</si>
  <si>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</si>
  <si>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</si>
  <si>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</si>
  <si>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</si>
  <si>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</si>
  <si>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</si>
  <si>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</si>
  <si>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</si>
  <si>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</si>
  <si>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</si>
  <si>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</si>
  <si>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</si>
  <si>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</si>
  <si>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</si>
  <si>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</si>
  <si>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</si>
  <si>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</si>
  <si>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</si>
  <si>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</si>
  <si>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</si>
  <si>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</si>
  <si>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</si>
  <si>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</si>
  <si>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</si>
  <si>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</si>
  <si>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</si>
  <si>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</si>
  <si>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</si>
  <si>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</si>
  <si>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</si>
  <si>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</si>
  <si>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</si>
  <si>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</si>
  <si>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</si>
  <si>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</si>
  <si>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</si>
  <si>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</si>
  <si>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</si>
  <si>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</si>
  <si>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</si>
  <si>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</si>
  <si>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</si>
  <si>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</si>
  <si>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</si>
  <si>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</si>
  <si>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</si>
  <si>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</si>
  <si>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</si>
  <si>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</si>
  <si>
    <t>Den Boterhoek bvba</t>
  </si>
  <si>
    <t>Koelarenvelden 5 , 2861 Onze-Lieve-Vrouw-Waver</t>
  </si>
  <si>
    <t>WKK-0644 Den Boterhoek</t>
  </si>
  <si>
    <t>Boterhoek 21 , 2861 Onze-Lieve-Vrouw-Waver</t>
  </si>
  <si>
    <t>Huyze De Pauw vzw</t>
  </si>
  <si>
    <t>Leemstraat 11 a, 2861 Onze-Lieve-Vrouw-Waver</t>
  </si>
  <si>
    <t>WKK-0674 Huyze De Pauw</t>
  </si>
  <si>
    <t>Mark Vertommen II</t>
  </si>
  <si>
    <t>WKK-0711</t>
  </si>
  <si>
    <t>Interne verbrandingsmotor</t>
  </si>
  <si>
    <t>Bredeheide 77</t>
  </si>
  <si>
    <t>Roosendael</t>
  </si>
  <si>
    <t>WKK-0932</t>
  </si>
  <si>
    <t>Brandstofcel</t>
  </si>
  <si>
    <t>brandstofcel</t>
  </si>
  <si>
    <t>Rozendaal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</si>
</sst>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168039.7923774386</c:v>
                </c:pt>
                <c:pt idx="1">
                  <c:v>112209.42717430792</c:v>
                </c:pt>
                <c:pt idx="2">
                  <c:v>1246.9290000000001</c:v>
                </c:pt>
                <c:pt idx="3">
                  <c:v>288463.4259892712</c:v>
                </c:pt>
                <c:pt idx="4">
                  <c:v>15250.861062294376</c:v>
                </c:pt>
                <c:pt idx="5">
                  <c:v>78244.911238155473</c:v>
                </c:pt>
                <c:pt idx="6">
                  <c:v>2282.640608937229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168039.7923774386</c:v>
                </c:pt>
                <c:pt idx="1">
                  <c:v>112209.42717430792</c:v>
                </c:pt>
                <c:pt idx="2">
                  <c:v>1246.9290000000001</c:v>
                </c:pt>
                <c:pt idx="3">
                  <c:v>288463.4259892712</c:v>
                </c:pt>
                <c:pt idx="4">
                  <c:v>15250.861062294376</c:v>
                </c:pt>
                <c:pt idx="5">
                  <c:v>78244.911238155473</c:v>
                </c:pt>
                <c:pt idx="6">
                  <c:v>2282.640608937229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34246.378511161391</c:v>
                </c:pt>
                <c:pt idx="1">
                  <c:v>23799.181564126826</c:v>
                </c:pt>
                <c:pt idx="2">
                  <c:v>265.21536648686339</c:v>
                </c:pt>
                <c:pt idx="3">
                  <c:v>66421.090239902638</c:v>
                </c:pt>
                <c:pt idx="4">
                  <c:v>3163.9458082312417</c:v>
                </c:pt>
                <c:pt idx="5">
                  <c:v>19376.816226360959</c:v>
                </c:pt>
                <c:pt idx="6">
                  <c:v>575.01888065392711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34246.378511161391</c:v>
                </c:pt>
                <c:pt idx="1">
                  <c:v>23799.181564126826</c:v>
                </c:pt>
                <c:pt idx="2">
                  <c:v>265.21536648686339</c:v>
                </c:pt>
                <c:pt idx="3">
                  <c:v>66421.090239902638</c:v>
                </c:pt>
                <c:pt idx="4">
                  <c:v>3163.9458082312417</c:v>
                </c:pt>
                <c:pt idx="5">
                  <c:v>19376.816226360959</c:v>
                </c:pt>
                <c:pt idx="6">
                  <c:v>575.01888065392711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12035</v>
      </c>
      <c r="B6" s="386"/>
      <c r="C6" s="387"/>
    </row>
    <row r="7" spans="1:7" s="384" customFormat="1" ht="15.75" customHeight="1">
      <c r="A7" s="388" t="str">
        <f>txtMunicipality</f>
        <v>SINT-KATELIJNE-WAVER</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65462.013113612134</v>
      </c>
      <c r="D10" s="683">
        <f ca="1">tertiair!C16</f>
        <v>8188.6370656370664</v>
      </c>
      <c r="E10" s="683">
        <f ca="1">tertiair!D16</f>
        <v>31763.09879675087</v>
      </c>
      <c r="F10" s="683">
        <f>tertiair!E16</f>
        <v>310.68601601585789</v>
      </c>
      <c r="G10" s="683">
        <f ca="1">tertiair!F16</f>
        <v>6705.9485352029878</v>
      </c>
      <c r="H10" s="683">
        <f>tertiair!G16</f>
        <v>0</v>
      </c>
      <c r="I10" s="683">
        <f>tertiair!H16</f>
        <v>0</v>
      </c>
      <c r="J10" s="683">
        <f>tertiair!I16</f>
        <v>0</v>
      </c>
      <c r="K10" s="683">
        <f>tertiair!J16</f>
        <v>1.5251006828313388E-2</v>
      </c>
      <c r="L10" s="683">
        <f>tertiair!K16</f>
        <v>0</v>
      </c>
      <c r="M10" s="683">
        <f ca="1">tertiair!L16</f>
        <v>0</v>
      </c>
      <c r="N10" s="683">
        <f>tertiair!M16</f>
        <v>0</v>
      </c>
      <c r="O10" s="683">
        <f ca="1">tertiair!N16</f>
        <v>638.59438487334478</v>
      </c>
      <c r="P10" s="683">
        <f>tertiair!O16</f>
        <v>19.589043063364617</v>
      </c>
      <c r="Q10" s="684">
        <f>tertiair!P16</f>
        <v>367.77396814546512</v>
      </c>
      <c r="R10" s="686">
        <f ca="1">SUM(C10:Q10)</f>
        <v>113456.35617430792</v>
      </c>
      <c r="S10" s="67"/>
    </row>
    <row r="11" spans="1:19" s="445" customFormat="1">
      <c r="A11" s="804" t="s">
        <v>220</v>
      </c>
      <c r="B11" s="809"/>
      <c r="C11" s="683">
        <f>huishoudens!B8</f>
        <v>34802.960316887969</v>
      </c>
      <c r="D11" s="683">
        <f>huishoudens!C8</f>
        <v>0</v>
      </c>
      <c r="E11" s="683">
        <f>huishoudens!D8</f>
        <v>80368.980131492601</v>
      </c>
      <c r="F11" s="683">
        <f>huishoudens!E8</f>
        <v>1733.4941069964182</v>
      </c>
      <c r="G11" s="683">
        <f>huishoudens!F8</f>
        <v>37974.971149389654</v>
      </c>
      <c r="H11" s="683">
        <f>huishoudens!G8</f>
        <v>0</v>
      </c>
      <c r="I11" s="683">
        <f>huishoudens!H8</f>
        <v>0</v>
      </c>
      <c r="J11" s="683">
        <f>huishoudens!I8</f>
        <v>0</v>
      </c>
      <c r="K11" s="683">
        <f>huishoudens!J8</f>
        <v>216.42351404568558</v>
      </c>
      <c r="L11" s="683">
        <f>huishoudens!K8</f>
        <v>0</v>
      </c>
      <c r="M11" s="683">
        <f>huishoudens!L8</f>
        <v>0</v>
      </c>
      <c r="N11" s="683">
        <f>huishoudens!M8</f>
        <v>0</v>
      </c>
      <c r="O11" s="683">
        <f>huishoudens!N8</f>
        <v>10717.27886551265</v>
      </c>
      <c r="P11" s="683">
        <f>huishoudens!O8</f>
        <v>529.71684457633751</v>
      </c>
      <c r="Q11" s="684">
        <f>huishoudens!P8</f>
        <v>1695.9674485372886</v>
      </c>
      <c r="R11" s="686">
        <f>SUM(C11:Q11)</f>
        <v>168039.7923774386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6164.4565899850741</v>
      </c>
      <c r="D13" s="683">
        <f>industrie!C18</f>
        <v>0</v>
      </c>
      <c r="E13" s="683">
        <f>industrie!D18</f>
        <v>7006.2462240454124</v>
      </c>
      <c r="F13" s="683">
        <f>industrie!E18</f>
        <v>25.655378921204328</v>
      </c>
      <c r="G13" s="683">
        <f>industrie!F18</f>
        <v>1593.1776098956275</v>
      </c>
      <c r="H13" s="683">
        <f>industrie!G18</f>
        <v>0</v>
      </c>
      <c r="I13" s="683">
        <f>industrie!H18</f>
        <v>0</v>
      </c>
      <c r="J13" s="683">
        <f>industrie!I18</f>
        <v>0</v>
      </c>
      <c r="K13" s="683">
        <f>industrie!J18</f>
        <v>17.891973028897127</v>
      </c>
      <c r="L13" s="683">
        <f>industrie!K18</f>
        <v>0</v>
      </c>
      <c r="M13" s="683">
        <f>industrie!L18</f>
        <v>0</v>
      </c>
      <c r="N13" s="683">
        <f>industrie!M18</f>
        <v>0</v>
      </c>
      <c r="O13" s="683">
        <f>industrie!N18</f>
        <v>443.43328641816129</v>
      </c>
      <c r="P13" s="683">
        <f>industrie!O18</f>
        <v>0</v>
      </c>
      <c r="Q13" s="684">
        <f>industrie!P18</f>
        <v>0</v>
      </c>
      <c r="R13" s="686">
        <f>SUM(C13:Q13)</f>
        <v>15250.861062294376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106429.43002048518</v>
      </c>
      <c r="D16" s="719">
        <f t="shared" ref="D16:R16" ca="1" si="0">SUM(D9:D15)</f>
        <v>8188.6370656370664</v>
      </c>
      <c r="E16" s="719">
        <f t="shared" ca="1" si="0"/>
        <v>119138.32515228889</v>
      </c>
      <c r="F16" s="719">
        <f t="shared" si="0"/>
        <v>2069.8355019334804</v>
      </c>
      <c r="G16" s="719">
        <f t="shared" ca="1" si="0"/>
        <v>46274.097294488267</v>
      </c>
      <c r="H16" s="719">
        <f t="shared" si="0"/>
        <v>0</v>
      </c>
      <c r="I16" s="719">
        <f t="shared" si="0"/>
        <v>0</v>
      </c>
      <c r="J16" s="719">
        <f t="shared" si="0"/>
        <v>0</v>
      </c>
      <c r="K16" s="719">
        <f t="shared" si="0"/>
        <v>234.33073808141103</v>
      </c>
      <c r="L16" s="719">
        <f t="shared" si="0"/>
        <v>0</v>
      </c>
      <c r="M16" s="719">
        <f t="shared" ca="1" si="0"/>
        <v>0</v>
      </c>
      <c r="N16" s="719">
        <f t="shared" si="0"/>
        <v>0</v>
      </c>
      <c r="O16" s="719">
        <f t="shared" ca="1" si="0"/>
        <v>11799.306536804155</v>
      </c>
      <c r="P16" s="719">
        <f t="shared" si="0"/>
        <v>549.30588763970218</v>
      </c>
      <c r="Q16" s="719">
        <f t="shared" si="0"/>
        <v>2063.7414166827539</v>
      </c>
      <c r="R16" s="719">
        <f t="shared" ca="1" si="0"/>
        <v>296747.0096140409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33.969104566892725</v>
      </c>
      <c r="D19" s="683">
        <f>transport!C54</f>
        <v>0</v>
      </c>
      <c r="E19" s="683">
        <f>transport!D54</f>
        <v>0</v>
      </c>
      <c r="F19" s="683">
        <f>transport!E54</f>
        <v>0</v>
      </c>
      <c r="G19" s="683">
        <f>transport!F54</f>
        <v>0</v>
      </c>
      <c r="H19" s="683">
        <f>transport!G54</f>
        <v>2126.5686416830267</v>
      </c>
      <c r="I19" s="683">
        <f>transport!H54</f>
        <v>0</v>
      </c>
      <c r="J19" s="683">
        <f>transport!I54</f>
        <v>0</v>
      </c>
      <c r="K19" s="683">
        <f>transport!J54</f>
        <v>0</v>
      </c>
      <c r="L19" s="683">
        <f>transport!K54</f>
        <v>0</v>
      </c>
      <c r="M19" s="683">
        <f>transport!L54</f>
        <v>0</v>
      </c>
      <c r="N19" s="683">
        <f>transport!M54</f>
        <v>122.10286268730924</v>
      </c>
      <c r="O19" s="683">
        <f>transport!N54</f>
        <v>0</v>
      </c>
      <c r="P19" s="683">
        <f>transport!O54</f>
        <v>0</v>
      </c>
      <c r="Q19" s="684">
        <f>transport!P54</f>
        <v>0</v>
      </c>
      <c r="R19" s="686">
        <f>SUM(C19:Q19)</f>
        <v>2282.640608937229</v>
      </c>
      <c r="S19" s="67"/>
    </row>
    <row r="20" spans="1:19" s="445" customFormat="1">
      <c r="A20" s="804" t="s">
        <v>302</v>
      </c>
      <c r="B20" s="809"/>
      <c r="C20" s="683">
        <f>transport!B14</f>
        <v>186.6861510381342</v>
      </c>
      <c r="D20" s="683">
        <f>transport!C14</f>
        <v>0</v>
      </c>
      <c r="E20" s="683">
        <f>transport!D14</f>
        <v>336.62176279964672</v>
      </c>
      <c r="F20" s="683">
        <f>transport!E14</f>
        <v>131.82653436449561</v>
      </c>
      <c r="G20" s="683">
        <f>transport!F14</f>
        <v>0</v>
      </c>
      <c r="H20" s="683">
        <f>transport!G14</f>
        <v>56702.477775253115</v>
      </c>
      <c r="I20" s="683">
        <f>transport!H14</f>
        <v>16464.358472314954</v>
      </c>
      <c r="J20" s="683">
        <f>transport!I14</f>
        <v>0</v>
      </c>
      <c r="K20" s="683">
        <f>transport!J14</f>
        <v>0</v>
      </c>
      <c r="L20" s="683">
        <f>transport!K14</f>
        <v>0</v>
      </c>
      <c r="M20" s="683">
        <f>transport!L14</f>
        <v>0</v>
      </c>
      <c r="N20" s="683">
        <f>transport!M14</f>
        <v>4422.9405423851294</v>
      </c>
      <c r="O20" s="683">
        <f>transport!N14</f>
        <v>0</v>
      </c>
      <c r="P20" s="683">
        <f>transport!O14</f>
        <v>0</v>
      </c>
      <c r="Q20" s="684">
        <f>transport!P14</f>
        <v>0</v>
      </c>
      <c r="R20" s="686">
        <f>SUM(C20:Q20)</f>
        <v>78244.911238155473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220.65525560502692</v>
      </c>
      <c r="D22" s="807">
        <f t="shared" ref="D22:R22" si="1">SUM(D18:D21)</f>
        <v>0</v>
      </c>
      <c r="E22" s="807">
        <f t="shared" si="1"/>
        <v>336.62176279964672</v>
      </c>
      <c r="F22" s="807">
        <f t="shared" si="1"/>
        <v>131.82653436449561</v>
      </c>
      <c r="G22" s="807">
        <f t="shared" si="1"/>
        <v>0</v>
      </c>
      <c r="H22" s="807">
        <f t="shared" si="1"/>
        <v>58829.046416936144</v>
      </c>
      <c r="I22" s="807">
        <f t="shared" si="1"/>
        <v>16464.358472314954</v>
      </c>
      <c r="J22" s="807">
        <f t="shared" si="1"/>
        <v>0</v>
      </c>
      <c r="K22" s="807">
        <f t="shared" si="1"/>
        <v>0</v>
      </c>
      <c r="L22" s="807">
        <f t="shared" si="1"/>
        <v>0</v>
      </c>
      <c r="M22" s="807">
        <f t="shared" si="1"/>
        <v>0</v>
      </c>
      <c r="N22" s="807">
        <f t="shared" si="1"/>
        <v>4545.0434050724389</v>
      </c>
      <c r="O22" s="807">
        <f t="shared" si="1"/>
        <v>0</v>
      </c>
      <c r="P22" s="807">
        <f t="shared" si="1"/>
        <v>0</v>
      </c>
      <c r="Q22" s="807">
        <f t="shared" si="1"/>
        <v>0</v>
      </c>
      <c r="R22" s="807">
        <f t="shared" si="1"/>
        <v>80527.551847092705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8090.8381678625601</v>
      </c>
      <c r="D24" s="683">
        <f>+landbouw!C8</f>
        <v>258902.43749999991</v>
      </c>
      <c r="E24" s="683">
        <f>+landbouw!D8</f>
        <v>2004.442236351606</v>
      </c>
      <c r="F24" s="683">
        <f>+landbouw!E8</f>
        <v>231.73529733252516</v>
      </c>
      <c r="G24" s="683">
        <f>+landbouw!F8</f>
        <v>17176.726713308813</v>
      </c>
      <c r="H24" s="683">
        <f>+landbouw!G8</f>
        <v>0</v>
      </c>
      <c r="I24" s="683">
        <f>+landbouw!H8</f>
        <v>0</v>
      </c>
      <c r="J24" s="683">
        <f>+landbouw!I8</f>
        <v>0</v>
      </c>
      <c r="K24" s="683">
        <f>+landbouw!J8</f>
        <v>2057.2460744157183</v>
      </c>
      <c r="L24" s="683">
        <f>+landbouw!K8</f>
        <v>0</v>
      </c>
      <c r="M24" s="683">
        <f>+landbouw!L8</f>
        <v>0</v>
      </c>
      <c r="N24" s="683">
        <f>+landbouw!M8</f>
        <v>0</v>
      </c>
      <c r="O24" s="683">
        <f>+landbouw!N8</f>
        <v>0</v>
      </c>
      <c r="P24" s="683">
        <f>+landbouw!O8</f>
        <v>0</v>
      </c>
      <c r="Q24" s="684">
        <f>+landbouw!P8</f>
        <v>0</v>
      </c>
      <c r="R24" s="686">
        <f>SUM(C24:Q24)</f>
        <v>288463.4259892712</v>
      </c>
      <c r="S24" s="67"/>
    </row>
    <row r="25" spans="1:19" s="445" customFormat="1" ht="15" thickBot="1">
      <c r="A25" s="826" t="s">
        <v>696</v>
      </c>
      <c r="B25" s="939"/>
      <c r="C25" s="940">
        <f>IF(Onbekend_ele_kWh="---",0,Onbekend_ele_kWh)/1000+IF(REST_rest_ele_kWh="---",0,REST_rest_ele_kWh)/1000</f>
        <v>781.39607722631001</v>
      </c>
      <c r="D25" s="940"/>
      <c r="E25" s="940">
        <f>IF(onbekend_gas_kWh="---",0,onbekend_gas_kWh)/1000+IF(REST_rest_gas_kWh="---",0,REST_rest_gas_kWh)/1000</f>
        <v>2566.0048928921601</v>
      </c>
      <c r="F25" s="940"/>
      <c r="G25" s="940"/>
      <c r="H25" s="940"/>
      <c r="I25" s="940"/>
      <c r="J25" s="940"/>
      <c r="K25" s="940"/>
      <c r="L25" s="940"/>
      <c r="M25" s="940"/>
      <c r="N25" s="940"/>
      <c r="O25" s="940"/>
      <c r="P25" s="940"/>
      <c r="Q25" s="941"/>
      <c r="R25" s="686">
        <f>SUM(C25:Q25)</f>
        <v>3347.40097011847</v>
      </c>
      <c r="S25" s="67"/>
    </row>
    <row r="26" spans="1:19" s="445" customFormat="1" ht="15.75" thickBot="1">
      <c r="A26" s="691" t="s">
        <v>697</v>
      </c>
      <c r="B26" s="812"/>
      <c r="C26" s="807">
        <f>SUM(C24:C25)</f>
        <v>8872.23424508887</v>
      </c>
      <c r="D26" s="807">
        <f t="shared" ref="D26:R26" si="2">SUM(D24:D25)</f>
        <v>258902.43749999991</v>
      </c>
      <c r="E26" s="807">
        <f t="shared" si="2"/>
        <v>4570.4471292437665</v>
      </c>
      <c r="F26" s="807">
        <f t="shared" si="2"/>
        <v>231.73529733252516</v>
      </c>
      <c r="G26" s="807">
        <f t="shared" si="2"/>
        <v>17176.726713308813</v>
      </c>
      <c r="H26" s="807">
        <f t="shared" si="2"/>
        <v>0</v>
      </c>
      <c r="I26" s="807">
        <f t="shared" si="2"/>
        <v>0</v>
      </c>
      <c r="J26" s="807">
        <f t="shared" si="2"/>
        <v>0</v>
      </c>
      <c r="K26" s="807">
        <f t="shared" si="2"/>
        <v>2057.2460744157183</v>
      </c>
      <c r="L26" s="807">
        <f t="shared" si="2"/>
        <v>0</v>
      </c>
      <c r="M26" s="807">
        <f t="shared" si="2"/>
        <v>0</v>
      </c>
      <c r="N26" s="807">
        <f t="shared" si="2"/>
        <v>0</v>
      </c>
      <c r="O26" s="807">
        <f t="shared" si="2"/>
        <v>0</v>
      </c>
      <c r="P26" s="807">
        <f t="shared" si="2"/>
        <v>0</v>
      </c>
      <c r="Q26" s="807">
        <f t="shared" si="2"/>
        <v>0</v>
      </c>
      <c r="R26" s="807">
        <f t="shared" si="2"/>
        <v>291810.82695938967</v>
      </c>
      <c r="S26" s="67"/>
    </row>
    <row r="27" spans="1:19" s="445" customFormat="1" ht="17.25" thickTop="1" thickBot="1">
      <c r="A27" s="692" t="s">
        <v>115</v>
      </c>
      <c r="B27" s="799"/>
      <c r="C27" s="693">
        <f ca="1">C22+C16+C26</f>
        <v>115522.31952117907</v>
      </c>
      <c r="D27" s="693">
        <f t="shared" ref="D27:R27" ca="1" si="3">D22+D16+D26</f>
        <v>267091.07456563698</v>
      </c>
      <c r="E27" s="693">
        <f t="shared" ca="1" si="3"/>
        <v>124045.39404433231</v>
      </c>
      <c r="F27" s="693">
        <f t="shared" si="3"/>
        <v>2433.3973336305012</v>
      </c>
      <c r="G27" s="693">
        <f t="shared" ca="1" si="3"/>
        <v>63450.824007797084</v>
      </c>
      <c r="H27" s="693">
        <f t="shared" si="3"/>
        <v>58829.046416936144</v>
      </c>
      <c r="I27" s="693">
        <f t="shared" si="3"/>
        <v>16464.358472314954</v>
      </c>
      <c r="J27" s="693">
        <f t="shared" si="3"/>
        <v>0</v>
      </c>
      <c r="K27" s="693">
        <f t="shared" si="3"/>
        <v>2291.5768124971291</v>
      </c>
      <c r="L27" s="693">
        <f t="shared" si="3"/>
        <v>0</v>
      </c>
      <c r="M27" s="693">
        <f t="shared" ca="1" si="3"/>
        <v>0</v>
      </c>
      <c r="N27" s="693">
        <f t="shared" si="3"/>
        <v>4545.0434050724389</v>
      </c>
      <c r="O27" s="693">
        <f t="shared" ca="1" si="3"/>
        <v>11799.306536804155</v>
      </c>
      <c r="P27" s="693">
        <f t="shared" si="3"/>
        <v>549.30588763970218</v>
      </c>
      <c r="Q27" s="693">
        <f t="shared" si="3"/>
        <v>2063.7414166827539</v>
      </c>
      <c r="R27" s="693">
        <f t="shared" ca="1" si="3"/>
        <v>669085.38842052326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13923.432528150759</v>
      </c>
      <c r="D40" s="683">
        <f ca="1">tertiair!C20</f>
        <v>1863.7990621280398</v>
      </c>
      <c r="E40" s="683">
        <f ca="1">tertiair!D20</f>
        <v>6416.1459569436765</v>
      </c>
      <c r="F40" s="683">
        <f>tertiair!E20</f>
        <v>70.525725635599741</v>
      </c>
      <c r="G40" s="683">
        <f ca="1">tertiair!F20</f>
        <v>1790.4882588991979</v>
      </c>
      <c r="H40" s="683">
        <f>tertiair!G20</f>
        <v>0</v>
      </c>
      <c r="I40" s="683">
        <f>tertiair!H20</f>
        <v>0</v>
      </c>
      <c r="J40" s="683">
        <f>tertiair!I20</f>
        <v>0</v>
      </c>
      <c r="K40" s="683">
        <f>tertiair!J20</f>
        <v>5.398856417222939E-3</v>
      </c>
      <c r="L40" s="683">
        <f>tertiair!K20</f>
        <v>0</v>
      </c>
      <c r="M40" s="683">
        <f ca="1">tertiair!L20</f>
        <v>0</v>
      </c>
      <c r="N40" s="683">
        <f>tertiair!M20</f>
        <v>0</v>
      </c>
      <c r="O40" s="683">
        <f ca="1">tertiair!N20</f>
        <v>0</v>
      </c>
      <c r="P40" s="683">
        <f>tertiair!O20</f>
        <v>0</v>
      </c>
      <c r="Q40" s="766">
        <f>tertiair!P20</f>
        <v>0</v>
      </c>
      <c r="R40" s="845">
        <f t="shared" ca="1" si="4"/>
        <v>24064.39693061369</v>
      </c>
    </row>
    <row r="41" spans="1:18">
      <c r="A41" s="817" t="s">
        <v>220</v>
      </c>
      <c r="B41" s="824"/>
      <c r="C41" s="683">
        <f ca="1">huishoudens!B12</f>
        <v>7402.4101414524839</v>
      </c>
      <c r="D41" s="683">
        <f ca="1">huishoudens!C12</f>
        <v>0</v>
      </c>
      <c r="E41" s="683">
        <f>huishoudens!D12</f>
        <v>16234.533986561506</v>
      </c>
      <c r="F41" s="683">
        <f>huishoudens!E12</f>
        <v>393.50316228818696</v>
      </c>
      <c r="G41" s="683">
        <f>huishoudens!F12</f>
        <v>10139.317296887039</v>
      </c>
      <c r="H41" s="683">
        <f>huishoudens!G12</f>
        <v>0</v>
      </c>
      <c r="I41" s="683">
        <f>huishoudens!H12</f>
        <v>0</v>
      </c>
      <c r="J41" s="683">
        <f>huishoudens!I12</f>
        <v>0</v>
      </c>
      <c r="K41" s="683">
        <f>huishoudens!J12</f>
        <v>76.613923972172685</v>
      </c>
      <c r="L41" s="683">
        <f>huishoudens!K12</f>
        <v>0</v>
      </c>
      <c r="M41" s="683">
        <f>huishoudens!L12</f>
        <v>0</v>
      </c>
      <c r="N41" s="683">
        <f>huishoudens!M12</f>
        <v>0</v>
      </c>
      <c r="O41" s="683">
        <f>huishoudens!N12</f>
        <v>0</v>
      </c>
      <c r="P41" s="683">
        <f>huishoudens!O12</f>
        <v>0</v>
      </c>
      <c r="Q41" s="766">
        <f>huishoudens!P12</f>
        <v>0</v>
      </c>
      <c r="R41" s="845">
        <f t="shared" ca="1" si="4"/>
        <v>34246.378511161391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1311.148119664593</v>
      </c>
      <c r="D43" s="683">
        <f ca="1">industrie!C22</f>
        <v>0</v>
      </c>
      <c r="E43" s="683">
        <f>industrie!D22</f>
        <v>1415.2617372571733</v>
      </c>
      <c r="F43" s="683">
        <f>industrie!E22</f>
        <v>5.8237710151133824</v>
      </c>
      <c r="G43" s="683">
        <f>industrie!F22</f>
        <v>425.37842184213258</v>
      </c>
      <c r="H43" s="683">
        <f>industrie!G22</f>
        <v>0</v>
      </c>
      <c r="I43" s="683">
        <f>industrie!H22</f>
        <v>0</v>
      </c>
      <c r="J43" s="683">
        <f>industrie!I22</f>
        <v>0</v>
      </c>
      <c r="K43" s="683">
        <f>industrie!J22</f>
        <v>6.3337584522295822</v>
      </c>
      <c r="L43" s="683">
        <f>industrie!K22</f>
        <v>0</v>
      </c>
      <c r="M43" s="683">
        <f>industrie!L22</f>
        <v>0</v>
      </c>
      <c r="N43" s="683">
        <f>industrie!M22</f>
        <v>0</v>
      </c>
      <c r="O43" s="683">
        <f>industrie!N22</f>
        <v>0</v>
      </c>
      <c r="P43" s="683">
        <f>industrie!O22</f>
        <v>0</v>
      </c>
      <c r="Q43" s="766">
        <f>industrie!P22</f>
        <v>0</v>
      </c>
      <c r="R43" s="844">
        <f t="shared" ca="1" si="4"/>
        <v>3163.9458082312417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22636.990789267838</v>
      </c>
      <c r="D46" s="719">
        <f t="shared" ref="D46:Q46" ca="1" si="5">SUM(D39:D45)</f>
        <v>1863.7990621280398</v>
      </c>
      <c r="E46" s="719">
        <f t="shared" ca="1" si="5"/>
        <v>24065.941680762357</v>
      </c>
      <c r="F46" s="719">
        <f t="shared" si="5"/>
        <v>469.85265893890005</v>
      </c>
      <c r="G46" s="719">
        <f t="shared" ca="1" si="5"/>
        <v>12355.18397762837</v>
      </c>
      <c r="H46" s="719">
        <f t="shared" si="5"/>
        <v>0</v>
      </c>
      <c r="I46" s="719">
        <f t="shared" si="5"/>
        <v>0</v>
      </c>
      <c r="J46" s="719">
        <f t="shared" si="5"/>
        <v>0</v>
      </c>
      <c r="K46" s="719">
        <f t="shared" si="5"/>
        <v>82.953081280819504</v>
      </c>
      <c r="L46" s="719">
        <f t="shared" si="5"/>
        <v>0</v>
      </c>
      <c r="M46" s="719">
        <f t="shared" ca="1" si="5"/>
        <v>0</v>
      </c>
      <c r="N46" s="719">
        <f t="shared" si="5"/>
        <v>0</v>
      </c>
      <c r="O46" s="719">
        <f t="shared" ca="1" si="5"/>
        <v>0</v>
      </c>
      <c r="P46" s="719">
        <f t="shared" si="5"/>
        <v>0</v>
      </c>
      <c r="Q46" s="719">
        <f t="shared" si="5"/>
        <v>0</v>
      </c>
      <c r="R46" s="719">
        <f ca="1">SUM(R39:R45)</f>
        <v>61474.721250006325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7.2250533245590063</v>
      </c>
      <c r="D49" s="683">
        <f ca="1">transport!C58</f>
        <v>0</v>
      </c>
      <c r="E49" s="683">
        <f>transport!D58</f>
        <v>0</v>
      </c>
      <c r="F49" s="683">
        <f>transport!E58</f>
        <v>0</v>
      </c>
      <c r="G49" s="683">
        <f>transport!F58</f>
        <v>0</v>
      </c>
      <c r="H49" s="683">
        <f>transport!G58</f>
        <v>567.79382732936813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575.01888065392711</v>
      </c>
    </row>
    <row r="50" spans="1:18">
      <c r="A50" s="820" t="s">
        <v>302</v>
      </c>
      <c r="B50" s="830"/>
      <c r="C50" s="689">
        <f ca="1">transport!B18</f>
        <v>39.707181375684328</v>
      </c>
      <c r="D50" s="689">
        <f>transport!C18</f>
        <v>0</v>
      </c>
      <c r="E50" s="689">
        <f>transport!D18</f>
        <v>67.997596085528642</v>
      </c>
      <c r="F50" s="689">
        <f>transport!E18</f>
        <v>29.924623300740507</v>
      </c>
      <c r="G50" s="689">
        <f>transport!F18</f>
        <v>0</v>
      </c>
      <c r="H50" s="689">
        <f>transport!G18</f>
        <v>15139.561565992582</v>
      </c>
      <c r="I50" s="689">
        <f>transport!H18</f>
        <v>4099.6252596064232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19376.816226360959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46.932234700243335</v>
      </c>
      <c r="D52" s="719">
        <f t="shared" ref="D52:Q52" ca="1" si="6">SUM(D48:D51)</f>
        <v>0</v>
      </c>
      <c r="E52" s="719">
        <f t="shared" si="6"/>
        <v>67.997596085528642</v>
      </c>
      <c r="F52" s="719">
        <f t="shared" si="6"/>
        <v>29.924623300740507</v>
      </c>
      <c r="G52" s="719">
        <f t="shared" si="6"/>
        <v>0</v>
      </c>
      <c r="H52" s="719">
        <f t="shared" si="6"/>
        <v>15707.35539332195</v>
      </c>
      <c r="I52" s="719">
        <f t="shared" si="6"/>
        <v>4099.6252596064232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19951.835107014886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1720.879544766038</v>
      </c>
      <c r="D54" s="689">
        <f ca="1">+landbouw!C12</f>
        <v>58928.258308102471</v>
      </c>
      <c r="E54" s="689">
        <f>+landbouw!D12</f>
        <v>404.89733174302444</v>
      </c>
      <c r="F54" s="689">
        <f>+landbouw!E12</f>
        <v>52.603912494483211</v>
      </c>
      <c r="G54" s="689">
        <f>+landbouw!F12</f>
        <v>4586.1860324534537</v>
      </c>
      <c r="H54" s="689">
        <f>+landbouw!G12</f>
        <v>0</v>
      </c>
      <c r="I54" s="689">
        <f>+landbouw!H12</f>
        <v>0</v>
      </c>
      <c r="J54" s="689">
        <f>+landbouw!I12</f>
        <v>0</v>
      </c>
      <c r="K54" s="689">
        <f>+landbouw!J12</f>
        <v>728.26511034316422</v>
      </c>
      <c r="L54" s="689">
        <f>+landbouw!K12</f>
        <v>0</v>
      </c>
      <c r="M54" s="689">
        <f>+landbouw!L12</f>
        <v>0</v>
      </c>
      <c r="N54" s="689">
        <f>+landbouw!M12</f>
        <v>0</v>
      </c>
      <c r="O54" s="689">
        <f>+landbouw!N12</f>
        <v>0</v>
      </c>
      <c r="P54" s="689">
        <f>+landbouw!O12</f>
        <v>0</v>
      </c>
      <c r="Q54" s="690">
        <f>+landbouw!P12</f>
        <v>0</v>
      </c>
      <c r="R54" s="718">
        <f ca="1">SUM(C54:Q54)</f>
        <v>66421.090239902638</v>
      </c>
    </row>
    <row r="55" spans="1:18" ht="15" thickBot="1">
      <c r="A55" s="820" t="s">
        <v>696</v>
      </c>
      <c r="B55" s="830"/>
      <c r="C55" s="689">
        <f ca="1">C25*'EF ele_warmte'!B12</f>
        <v>166.19891508896913</v>
      </c>
      <c r="D55" s="689"/>
      <c r="E55" s="689">
        <f>E25*EF_CO2_aardgas</f>
        <v>518.33298836421636</v>
      </c>
      <c r="F55" s="689"/>
      <c r="G55" s="689"/>
      <c r="H55" s="689"/>
      <c r="I55" s="689"/>
      <c r="J55" s="689"/>
      <c r="K55" s="689"/>
      <c r="L55" s="689"/>
      <c r="M55" s="689"/>
      <c r="N55" s="689"/>
      <c r="O55" s="689"/>
      <c r="P55" s="689"/>
      <c r="Q55" s="690"/>
      <c r="R55" s="718">
        <f ca="1">SUM(C55:Q55)</f>
        <v>684.53190345318546</v>
      </c>
    </row>
    <row r="56" spans="1:18" ht="15.75" thickBot="1">
      <c r="A56" s="818" t="s">
        <v>697</v>
      </c>
      <c r="B56" s="831"/>
      <c r="C56" s="719">
        <f ca="1">SUM(C54:C55)</f>
        <v>1887.0784598550072</v>
      </c>
      <c r="D56" s="719">
        <f t="shared" ref="D56:Q56" ca="1" si="7">SUM(D54:D55)</f>
        <v>58928.258308102471</v>
      </c>
      <c r="E56" s="719">
        <f t="shared" si="7"/>
        <v>923.2303201072408</v>
      </c>
      <c r="F56" s="719">
        <f t="shared" si="7"/>
        <v>52.603912494483211</v>
      </c>
      <c r="G56" s="719">
        <f t="shared" si="7"/>
        <v>4586.1860324534537</v>
      </c>
      <c r="H56" s="719">
        <f t="shared" si="7"/>
        <v>0</v>
      </c>
      <c r="I56" s="719">
        <f t="shared" si="7"/>
        <v>0</v>
      </c>
      <c r="J56" s="719">
        <f t="shared" si="7"/>
        <v>0</v>
      </c>
      <c r="K56" s="719">
        <f t="shared" si="7"/>
        <v>728.26511034316422</v>
      </c>
      <c r="L56" s="719">
        <f t="shared" si="7"/>
        <v>0</v>
      </c>
      <c r="M56" s="719">
        <f t="shared" si="7"/>
        <v>0</v>
      </c>
      <c r="N56" s="719">
        <f t="shared" si="7"/>
        <v>0</v>
      </c>
      <c r="O56" s="719">
        <f t="shared" si="7"/>
        <v>0</v>
      </c>
      <c r="P56" s="719">
        <f t="shared" si="7"/>
        <v>0</v>
      </c>
      <c r="Q56" s="720">
        <f t="shared" si="7"/>
        <v>0</v>
      </c>
      <c r="R56" s="721">
        <f ca="1">SUM(R54:R55)</f>
        <v>67105.622143355824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24571.001483823085</v>
      </c>
      <c r="D61" s="727">
        <f t="shared" ref="D61:Q61" ca="1" si="8">D46+D52+D56</f>
        <v>60792.057370230512</v>
      </c>
      <c r="E61" s="727">
        <f t="shared" ca="1" si="8"/>
        <v>25057.169596955126</v>
      </c>
      <c r="F61" s="727">
        <f t="shared" si="8"/>
        <v>552.38119473412371</v>
      </c>
      <c r="G61" s="727">
        <f t="shared" ca="1" si="8"/>
        <v>16941.370010081824</v>
      </c>
      <c r="H61" s="727">
        <f t="shared" si="8"/>
        <v>15707.35539332195</v>
      </c>
      <c r="I61" s="727">
        <f t="shared" si="8"/>
        <v>4099.6252596064232</v>
      </c>
      <c r="J61" s="727">
        <f t="shared" si="8"/>
        <v>0</v>
      </c>
      <c r="K61" s="727">
        <f t="shared" si="8"/>
        <v>811.21819162398378</v>
      </c>
      <c r="L61" s="727">
        <f t="shared" si="8"/>
        <v>0</v>
      </c>
      <c r="M61" s="727">
        <f t="shared" ca="1" si="8"/>
        <v>0</v>
      </c>
      <c r="N61" s="727">
        <f t="shared" si="8"/>
        <v>0</v>
      </c>
      <c r="O61" s="727">
        <f t="shared" ca="1" si="8"/>
        <v>0</v>
      </c>
      <c r="P61" s="727">
        <f t="shared" si="8"/>
        <v>0</v>
      </c>
      <c r="Q61" s="727">
        <f t="shared" si="8"/>
        <v>0</v>
      </c>
      <c r="R61" s="727">
        <f ca="1">R46+R52+R56</f>
        <v>148532.17850037705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0.21269484187701412</v>
      </c>
      <c r="D63" s="773">
        <f t="shared" ca="1" si="9"/>
        <v>0.22760797031160623</v>
      </c>
      <c r="E63" s="965">
        <f t="shared" ca="1" si="9"/>
        <v>0.20199999999999999</v>
      </c>
      <c r="F63" s="773">
        <f t="shared" si="9"/>
        <v>0.22699999999999998</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13310.062037462221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8976.7370970798675</v>
      </c>
      <c r="C76" s="740">
        <f>'lokale energieproductie'!B8*IFERROR(SUM(D76:H76)/SUM(D76:O76),0)</f>
        <v>180854.76290292013</v>
      </c>
      <c r="D76" s="948">
        <f>'lokale energieproductie'!C8</f>
        <v>209264.99293550788</v>
      </c>
      <c r="E76" s="949">
        <f>'lokale energieproductie'!D8</f>
        <v>0</v>
      </c>
      <c r="F76" s="949">
        <f>'lokale energieproductie'!E8</f>
        <v>3504.2466038767402</v>
      </c>
      <c r="G76" s="949">
        <f>'lokale energieproductie'!F8</f>
        <v>0</v>
      </c>
      <c r="H76" s="949">
        <f>'lokale energieproductie'!G8</f>
        <v>0</v>
      </c>
      <c r="I76" s="949">
        <f>'lokale energieproductie'!I8</f>
        <v>10512.739811630221</v>
      </c>
      <c r="J76" s="949">
        <f>'lokale energieproductie'!J8</f>
        <v>48.074263893512182</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43207.162416207684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22286.799134542089</v>
      </c>
      <c r="C78" s="745">
        <f>SUM(C72:C77)</f>
        <v>180854.76290292013</v>
      </c>
      <c r="D78" s="746">
        <f t="shared" ref="D78:H78" si="10">SUM(D76:D77)</f>
        <v>209264.99293550788</v>
      </c>
      <c r="E78" s="746">
        <f t="shared" si="10"/>
        <v>0</v>
      </c>
      <c r="F78" s="746">
        <f t="shared" si="10"/>
        <v>3504.2466038767402</v>
      </c>
      <c r="G78" s="746">
        <f t="shared" si="10"/>
        <v>0</v>
      </c>
      <c r="H78" s="746">
        <f t="shared" si="10"/>
        <v>0</v>
      </c>
      <c r="I78" s="746">
        <f>SUM(I76:I77)</f>
        <v>10512.739811630221</v>
      </c>
      <c r="J78" s="746">
        <f>SUM(J76:J77)</f>
        <v>48.074263893512182</v>
      </c>
      <c r="K78" s="746">
        <f t="shared" ref="K78:L78" si="11">SUM(K76:K77)</f>
        <v>0</v>
      </c>
      <c r="L78" s="746">
        <f t="shared" si="11"/>
        <v>0</v>
      </c>
      <c r="M78" s="746">
        <f>SUM(M76:M77)</f>
        <v>0</v>
      </c>
      <c r="N78" s="746">
        <f>SUM(N76:N77)</f>
        <v>0</v>
      </c>
      <c r="O78" s="855">
        <f>SUM(O76:O77)</f>
        <v>0</v>
      </c>
      <c r="P78" s="747">
        <v>0</v>
      </c>
      <c r="Q78" s="747">
        <f>SUM(Q76:Q77)</f>
        <v>43207.162416207684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12630.181805191862</v>
      </c>
      <c r="C87" s="758">
        <f>'lokale energieproductie'!B17*IFERROR(SUM(D87:H87)/SUM(D87:O87),0)</f>
        <v>254460.89276044513</v>
      </c>
      <c r="D87" s="769">
        <f>'lokale energieproductie'!C17</f>
        <v>294433.81015329505</v>
      </c>
      <c r="E87" s="769">
        <f>'lokale energieproductie'!D17</f>
        <v>0</v>
      </c>
      <c r="F87" s="769">
        <f>'lokale energieproductie'!E17</f>
        <v>4930.4408961232602</v>
      </c>
      <c r="G87" s="769">
        <f>'lokale energieproductie'!F17</f>
        <v>0</v>
      </c>
      <c r="H87" s="769">
        <f>'lokale energieproductie'!G17</f>
        <v>0</v>
      </c>
      <c r="I87" s="769">
        <f>'lokale energieproductie'!I17</f>
        <v>14791.322688369781</v>
      </c>
      <c r="J87" s="769">
        <f>'lokale energieproductie'!J17</f>
        <v>67.640021820773541</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60792.057370230512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12630.181805191862</v>
      </c>
      <c r="C90" s="745">
        <f>SUM(C87:C89)</f>
        <v>254460.89276044513</v>
      </c>
      <c r="D90" s="745">
        <f t="shared" ref="D90:H90" si="12">SUM(D87:D89)</f>
        <v>294433.81015329505</v>
      </c>
      <c r="E90" s="745">
        <f t="shared" si="12"/>
        <v>0</v>
      </c>
      <c r="F90" s="745">
        <f t="shared" si="12"/>
        <v>4930.4408961232602</v>
      </c>
      <c r="G90" s="745">
        <f t="shared" si="12"/>
        <v>0</v>
      </c>
      <c r="H90" s="745">
        <f t="shared" si="12"/>
        <v>0</v>
      </c>
      <c r="I90" s="745">
        <f>SUM(I87:I89)</f>
        <v>14791.322688369781</v>
      </c>
      <c r="J90" s="745">
        <f>SUM(J87:J89)</f>
        <v>67.640021820773541</v>
      </c>
      <c r="K90" s="745">
        <f t="shared" ref="K90:L90" si="13">SUM(K87:K89)</f>
        <v>0</v>
      </c>
      <c r="L90" s="745">
        <f t="shared" si="13"/>
        <v>0</v>
      </c>
      <c r="M90" s="745">
        <f>SUM(M87:M89)</f>
        <v>0</v>
      </c>
      <c r="N90" s="745">
        <f>SUM(N87:N89)</f>
        <v>0</v>
      </c>
      <c r="O90" s="745">
        <f>SUM(O87:O89)</f>
        <v>0</v>
      </c>
      <c r="P90" s="745">
        <v>0</v>
      </c>
      <c r="Q90" s="745">
        <f>SUM(Q87:Q89)</f>
        <v>60792.057370230512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34802.960316887969</v>
      </c>
      <c r="C4" s="449">
        <f>huishoudens!C8</f>
        <v>0</v>
      </c>
      <c r="D4" s="449">
        <f>huishoudens!D8</f>
        <v>80368.980131492601</v>
      </c>
      <c r="E4" s="449">
        <f>huishoudens!E8</f>
        <v>1733.4941069964182</v>
      </c>
      <c r="F4" s="449">
        <f>huishoudens!F8</f>
        <v>37974.971149389654</v>
      </c>
      <c r="G4" s="449">
        <f>huishoudens!G8</f>
        <v>0</v>
      </c>
      <c r="H4" s="449">
        <f>huishoudens!H8</f>
        <v>0</v>
      </c>
      <c r="I4" s="449">
        <f>huishoudens!I8</f>
        <v>0</v>
      </c>
      <c r="J4" s="449">
        <f>huishoudens!J8</f>
        <v>216.42351404568558</v>
      </c>
      <c r="K4" s="449">
        <f>huishoudens!K8</f>
        <v>0</v>
      </c>
      <c r="L4" s="449">
        <f>huishoudens!L8</f>
        <v>0</v>
      </c>
      <c r="M4" s="449">
        <f>huishoudens!M8</f>
        <v>0</v>
      </c>
      <c r="N4" s="449">
        <f>huishoudens!N8</f>
        <v>10717.27886551265</v>
      </c>
      <c r="O4" s="449">
        <f>huishoudens!O8</f>
        <v>529.71684457633751</v>
      </c>
      <c r="P4" s="450">
        <f>huishoudens!P8</f>
        <v>1695.9674485372886</v>
      </c>
      <c r="Q4" s="451">
        <f>SUM(B4:P4)</f>
        <v>168039.7923774386</v>
      </c>
    </row>
    <row r="5" spans="1:17">
      <c r="A5" s="448" t="s">
        <v>155</v>
      </c>
      <c r="B5" s="449">
        <f ca="1">tertiair!B16</f>
        <v>64215.084113612138</v>
      </c>
      <c r="C5" s="449">
        <f ca="1">tertiair!C16</f>
        <v>8188.6370656370664</v>
      </c>
      <c r="D5" s="449">
        <f ca="1">tertiair!D16</f>
        <v>31763.09879675087</v>
      </c>
      <c r="E5" s="449">
        <f>tertiair!E16</f>
        <v>310.68601601585789</v>
      </c>
      <c r="F5" s="449">
        <f ca="1">tertiair!F16</f>
        <v>6705.9485352029878</v>
      </c>
      <c r="G5" s="449">
        <f>tertiair!G16</f>
        <v>0</v>
      </c>
      <c r="H5" s="449">
        <f>tertiair!H16</f>
        <v>0</v>
      </c>
      <c r="I5" s="449">
        <f>tertiair!I16</f>
        <v>0</v>
      </c>
      <c r="J5" s="449">
        <f>tertiair!J16</f>
        <v>1.5251006828313388E-2</v>
      </c>
      <c r="K5" s="449">
        <f>tertiair!K16</f>
        <v>0</v>
      </c>
      <c r="L5" s="449">
        <f ca="1">tertiair!L16</f>
        <v>0</v>
      </c>
      <c r="M5" s="449">
        <f>tertiair!M16</f>
        <v>0</v>
      </c>
      <c r="N5" s="449">
        <f ca="1">tertiair!N16</f>
        <v>638.59438487334478</v>
      </c>
      <c r="O5" s="449">
        <f>tertiair!O16</f>
        <v>19.589043063364617</v>
      </c>
      <c r="P5" s="450">
        <f>tertiair!P16</f>
        <v>367.77396814546512</v>
      </c>
      <c r="Q5" s="448">
        <f t="shared" ref="Q5:Q14" ca="1" si="0">SUM(B5:P5)</f>
        <v>112209.42717430792</v>
      </c>
    </row>
    <row r="6" spans="1:17">
      <c r="A6" s="448" t="s">
        <v>193</v>
      </c>
      <c r="B6" s="449">
        <f>'openbare verlichting'!B8</f>
        <v>1246.9290000000001</v>
      </c>
      <c r="C6" s="449"/>
      <c r="D6" s="449"/>
      <c r="E6" s="449"/>
      <c r="F6" s="449"/>
      <c r="G6" s="449"/>
      <c r="H6" s="449"/>
      <c r="I6" s="449"/>
      <c r="J6" s="449"/>
      <c r="K6" s="449"/>
      <c r="L6" s="449"/>
      <c r="M6" s="449"/>
      <c r="N6" s="449"/>
      <c r="O6" s="449"/>
      <c r="P6" s="450"/>
      <c r="Q6" s="448">
        <f t="shared" si="0"/>
        <v>1246.9290000000001</v>
      </c>
    </row>
    <row r="7" spans="1:17">
      <c r="A7" s="448" t="s">
        <v>111</v>
      </c>
      <c r="B7" s="449">
        <f>landbouw!B8</f>
        <v>8090.8381678625601</v>
      </c>
      <c r="C7" s="449">
        <f>landbouw!C8</f>
        <v>258902.43749999991</v>
      </c>
      <c r="D7" s="449">
        <f>landbouw!D8</f>
        <v>2004.442236351606</v>
      </c>
      <c r="E7" s="449">
        <f>landbouw!E8</f>
        <v>231.73529733252516</v>
      </c>
      <c r="F7" s="449">
        <f>landbouw!F8</f>
        <v>17176.726713308813</v>
      </c>
      <c r="G7" s="449">
        <f>landbouw!G8</f>
        <v>0</v>
      </c>
      <c r="H7" s="449">
        <f>landbouw!H8</f>
        <v>0</v>
      </c>
      <c r="I7" s="449">
        <f>landbouw!I8</f>
        <v>0</v>
      </c>
      <c r="J7" s="449">
        <f>landbouw!J8</f>
        <v>2057.2460744157183</v>
      </c>
      <c r="K7" s="449">
        <f>landbouw!K8</f>
        <v>0</v>
      </c>
      <c r="L7" s="449">
        <f>landbouw!L8</f>
        <v>0</v>
      </c>
      <c r="M7" s="449">
        <f>landbouw!M8</f>
        <v>0</v>
      </c>
      <c r="N7" s="449">
        <f>landbouw!N8</f>
        <v>0</v>
      </c>
      <c r="O7" s="449">
        <f>landbouw!O8</f>
        <v>0</v>
      </c>
      <c r="P7" s="450">
        <f>landbouw!P8</f>
        <v>0</v>
      </c>
      <c r="Q7" s="448">
        <f t="shared" si="0"/>
        <v>288463.4259892712</v>
      </c>
    </row>
    <row r="8" spans="1:17">
      <c r="A8" s="448" t="s">
        <v>617</v>
      </c>
      <c r="B8" s="449">
        <f>industrie!B18</f>
        <v>6164.4565899850741</v>
      </c>
      <c r="C8" s="449">
        <f>industrie!C18</f>
        <v>0</v>
      </c>
      <c r="D8" s="449">
        <f>industrie!D18</f>
        <v>7006.2462240454124</v>
      </c>
      <c r="E8" s="449">
        <f>industrie!E18</f>
        <v>25.655378921204328</v>
      </c>
      <c r="F8" s="449">
        <f>industrie!F18</f>
        <v>1593.1776098956275</v>
      </c>
      <c r="G8" s="449">
        <f>industrie!G18</f>
        <v>0</v>
      </c>
      <c r="H8" s="449">
        <f>industrie!H18</f>
        <v>0</v>
      </c>
      <c r="I8" s="449">
        <f>industrie!I18</f>
        <v>0</v>
      </c>
      <c r="J8" s="449">
        <f>industrie!J18</f>
        <v>17.891973028897127</v>
      </c>
      <c r="K8" s="449">
        <f>industrie!K18</f>
        <v>0</v>
      </c>
      <c r="L8" s="449">
        <f>industrie!L18</f>
        <v>0</v>
      </c>
      <c r="M8" s="449">
        <f>industrie!M18</f>
        <v>0</v>
      </c>
      <c r="N8" s="449">
        <f>industrie!N18</f>
        <v>443.43328641816129</v>
      </c>
      <c r="O8" s="449">
        <f>industrie!O18</f>
        <v>0</v>
      </c>
      <c r="P8" s="450">
        <f>industrie!P18</f>
        <v>0</v>
      </c>
      <c r="Q8" s="448">
        <f t="shared" si="0"/>
        <v>15250.861062294376</v>
      </c>
    </row>
    <row r="9" spans="1:17" s="454" customFormat="1">
      <c r="A9" s="452" t="s">
        <v>543</v>
      </c>
      <c r="B9" s="453">
        <f>transport!B14</f>
        <v>186.6861510381342</v>
      </c>
      <c r="C9" s="453">
        <f>transport!C14</f>
        <v>0</v>
      </c>
      <c r="D9" s="453">
        <f>transport!D14</f>
        <v>336.62176279964672</v>
      </c>
      <c r="E9" s="453">
        <f>transport!E14</f>
        <v>131.82653436449561</v>
      </c>
      <c r="F9" s="453">
        <f>transport!F14</f>
        <v>0</v>
      </c>
      <c r="G9" s="453">
        <f>transport!G14</f>
        <v>56702.477775253115</v>
      </c>
      <c r="H9" s="453">
        <f>transport!H14</f>
        <v>16464.358472314954</v>
      </c>
      <c r="I9" s="453">
        <f>transport!I14</f>
        <v>0</v>
      </c>
      <c r="J9" s="453">
        <f>transport!J14</f>
        <v>0</v>
      </c>
      <c r="K9" s="453">
        <f>transport!K14</f>
        <v>0</v>
      </c>
      <c r="L9" s="453">
        <f>transport!L14</f>
        <v>0</v>
      </c>
      <c r="M9" s="453">
        <f>transport!M14</f>
        <v>4422.9405423851294</v>
      </c>
      <c r="N9" s="453">
        <f>transport!N14</f>
        <v>0</v>
      </c>
      <c r="O9" s="453">
        <f>transport!O14</f>
        <v>0</v>
      </c>
      <c r="P9" s="453">
        <f>transport!P14</f>
        <v>0</v>
      </c>
      <c r="Q9" s="452">
        <f>SUM(B9:P9)</f>
        <v>78244.911238155473</v>
      </c>
    </row>
    <row r="10" spans="1:17">
      <c r="A10" s="448" t="s">
        <v>533</v>
      </c>
      <c r="B10" s="449">
        <f>transport!B54</f>
        <v>33.969104566892725</v>
      </c>
      <c r="C10" s="449">
        <f>transport!C54</f>
        <v>0</v>
      </c>
      <c r="D10" s="449">
        <f>transport!D54</f>
        <v>0</v>
      </c>
      <c r="E10" s="449">
        <f>transport!E54</f>
        <v>0</v>
      </c>
      <c r="F10" s="449">
        <f>transport!F54</f>
        <v>0</v>
      </c>
      <c r="G10" s="449">
        <f>transport!G54</f>
        <v>2126.5686416830267</v>
      </c>
      <c r="H10" s="449">
        <f>transport!H54</f>
        <v>0</v>
      </c>
      <c r="I10" s="449">
        <f>transport!I54</f>
        <v>0</v>
      </c>
      <c r="J10" s="449">
        <f>transport!J54</f>
        <v>0</v>
      </c>
      <c r="K10" s="449">
        <f>transport!K54</f>
        <v>0</v>
      </c>
      <c r="L10" s="449">
        <f>transport!L54</f>
        <v>0</v>
      </c>
      <c r="M10" s="449">
        <f>transport!M54</f>
        <v>122.10286268730924</v>
      </c>
      <c r="N10" s="449">
        <f>transport!N54</f>
        <v>0</v>
      </c>
      <c r="O10" s="449">
        <f>transport!O54</f>
        <v>0</v>
      </c>
      <c r="P10" s="450">
        <f>transport!P54</f>
        <v>0</v>
      </c>
      <c r="Q10" s="448">
        <f t="shared" si="0"/>
        <v>2282.640608937229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781.39607722631001</v>
      </c>
      <c r="C14" s="456"/>
      <c r="D14" s="456">
        <f>'SEAP template'!E25</f>
        <v>2566.0048928921601</v>
      </c>
      <c r="E14" s="456"/>
      <c r="F14" s="456"/>
      <c r="G14" s="456"/>
      <c r="H14" s="456"/>
      <c r="I14" s="456"/>
      <c r="J14" s="456"/>
      <c r="K14" s="456"/>
      <c r="L14" s="456"/>
      <c r="M14" s="456"/>
      <c r="N14" s="456"/>
      <c r="O14" s="456"/>
      <c r="P14" s="457"/>
      <c r="Q14" s="448">
        <f t="shared" si="0"/>
        <v>3347.40097011847</v>
      </c>
    </row>
    <row r="15" spans="1:17" s="460" customFormat="1">
      <c r="A15" s="458" t="s">
        <v>537</v>
      </c>
      <c r="B15" s="459">
        <f ca="1">SUM(B4:B14)</f>
        <v>115522.31952117906</v>
      </c>
      <c r="C15" s="459">
        <f t="shared" ref="C15:Q15" ca="1" si="1">SUM(C4:C14)</f>
        <v>267091.07456563698</v>
      </c>
      <c r="D15" s="459">
        <f t="shared" ca="1" si="1"/>
        <v>124045.39404433231</v>
      </c>
      <c r="E15" s="459">
        <f t="shared" si="1"/>
        <v>2433.3973336305012</v>
      </c>
      <c r="F15" s="459">
        <f t="shared" ca="1" si="1"/>
        <v>63450.824007797077</v>
      </c>
      <c r="G15" s="459">
        <f t="shared" si="1"/>
        <v>58829.046416936144</v>
      </c>
      <c r="H15" s="459">
        <f t="shared" si="1"/>
        <v>16464.358472314954</v>
      </c>
      <c r="I15" s="459">
        <f t="shared" si="1"/>
        <v>0</v>
      </c>
      <c r="J15" s="459">
        <f t="shared" si="1"/>
        <v>2291.5768124971296</v>
      </c>
      <c r="K15" s="459">
        <f t="shared" si="1"/>
        <v>0</v>
      </c>
      <c r="L15" s="459">
        <f t="shared" ca="1" si="1"/>
        <v>0</v>
      </c>
      <c r="M15" s="459">
        <f t="shared" si="1"/>
        <v>4545.0434050724389</v>
      </c>
      <c r="N15" s="459">
        <f t="shared" ca="1" si="1"/>
        <v>11799.306536804155</v>
      </c>
      <c r="O15" s="459">
        <f t="shared" si="1"/>
        <v>549.30588763970218</v>
      </c>
      <c r="P15" s="459">
        <f t="shared" si="1"/>
        <v>2063.7414166827539</v>
      </c>
      <c r="Q15" s="459">
        <f t="shared" ca="1" si="1"/>
        <v>669085.38842052314</v>
      </c>
    </row>
    <row r="17" spans="1:17">
      <c r="A17" s="461" t="s">
        <v>538</v>
      </c>
      <c r="B17" s="778">
        <f ca="1">huishoudens!B10</f>
        <v>0.21269484187701412</v>
      </c>
      <c r="C17" s="778">
        <f ca="1">huishoudens!C10</f>
        <v>0.22760797031160623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7402.4101414524839</v>
      </c>
      <c r="C22" s="449">
        <f t="shared" ref="C22:C32" ca="1" si="3">C4*$C$17</f>
        <v>0</v>
      </c>
      <c r="D22" s="449">
        <f t="shared" ref="D22:D32" si="4">D4*$D$17</f>
        <v>16234.533986561506</v>
      </c>
      <c r="E22" s="449">
        <f t="shared" ref="E22:E32" si="5">E4*$E$17</f>
        <v>393.50316228818696</v>
      </c>
      <c r="F22" s="449">
        <f t="shared" ref="F22:F32" si="6">F4*$F$17</f>
        <v>10139.317296887039</v>
      </c>
      <c r="G22" s="449">
        <f t="shared" ref="G22:G32" si="7">G4*$G$17</f>
        <v>0</v>
      </c>
      <c r="H22" s="449">
        <f t="shared" ref="H22:H32" si="8">H4*$H$17</f>
        <v>0</v>
      </c>
      <c r="I22" s="449">
        <f t="shared" ref="I22:I32" si="9">I4*$I$17</f>
        <v>0</v>
      </c>
      <c r="J22" s="449">
        <f t="shared" ref="J22:J32" si="10">J4*$J$17</f>
        <v>76.613923972172685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34246.378511161391</v>
      </c>
    </row>
    <row r="23" spans="1:17">
      <c r="A23" s="448" t="s">
        <v>155</v>
      </c>
      <c r="B23" s="449">
        <f t="shared" ca="1" si="2"/>
        <v>13658.217161663895</v>
      </c>
      <c r="C23" s="449">
        <f t="shared" ca="1" si="3"/>
        <v>1863.7990621280398</v>
      </c>
      <c r="D23" s="449">
        <f t="shared" ca="1" si="4"/>
        <v>6416.1459569436765</v>
      </c>
      <c r="E23" s="449">
        <f t="shared" si="5"/>
        <v>70.525725635599741</v>
      </c>
      <c r="F23" s="449">
        <f t="shared" ca="1" si="6"/>
        <v>1790.4882588991979</v>
      </c>
      <c r="G23" s="449">
        <f t="shared" si="7"/>
        <v>0</v>
      </c>
      <c r="H23" s="449">
        <f t="shared" si="8"/>
        <v>0</v>
      </c>
      <c r="I23" s="449">
        <f t="shared" si="9"/>
        <v>0</v>
      </c>
      <c r="J23" s="449">
        <f t="shared" si="10"/>
        <v>5.398856417222939E-3</v>
      </c>
      <c r="K23" s="449">
        <f t="shared" si="11"/>
        <v>0</v>
      </c>
      <c r="L23" s="449">
        <f t="shared" ca="1" si="12"/>
        <v>0</v>
      </c>
      <c r="M23" s="449">
        <f t="shared" si="13"/>
        <v>0</v>
      </c>
      <c r="N23" s="449">
        <f t="shared" ca="1" si="14"/>
        <v>0</v>
      </c>
      <c r="O23" s="449">
        <f t="shared" si="15"/>
        <v>0</v>
      </c>
      <c r="P23" s="450">
        <f t="shared" si="16"/>
        <v>0</v>
      </c>
      <c r="Q23" s="448">
        <f t="shared" ref="Q23:Q31" ca="1" si="17">SUM(B23:P23)</f>
        <v>23799.181564126826</v>
      </c>
    </row>
    <row r="24" spans="1:17">
      <c r="A24" s="448" t="s">
        <v>193</v>
      </c>
      <c r="B24" s="449">
        <f t="shared" ca="1" si="2"/>
        <v>265.21536648686339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265.21536648686339</v>
      </c>
    </row>
    <row r="25" spans="1:17">
      <c r="A25" s="448" t="s">
        <v>111</v>
      </c>
      <c r="B25" s="449">
        <f t="shared" ca="1" si="2"/>
        <v>1720.879544766038</v>
      </c>
      <c r="C25" s="449">
        <f t="shared" ca="1" si="3"/>
        <v>58928.258308102471</v>
      </c>
      <c r="D25" s="449">
        <f t="shared" si="4"/>
        <v>404.89733174302444</v>
      </c>
      <c r="E25" s="449">
        <f t="shared" si="5"/>
        <v>52.603912494483211</v>
      </c>
      <c r="F25" s="449">
        <f t="shared" si="6"/>
        <v>4586.1860324534537</v>
      </c>
      <c r="G25" s="449">
        <f t="shared" si="7"/>
        <v>0</v>
      </c>
      <c r="H25" s="449">
        <f t="shared" si="8"/>
        <v>0</v>
      </c>
      <c r="I25" s="449">
        <f t="shared" si="9"/>
        <v>0</v>
      </c>
      <c r="J25" s="449">
        <f t="shared" si="10"/>
        <v>728.26511034316422</v>
      </c>
      <c r="K25" s="449">
        <f t="shared" si="11"/>
        <v>0</v>
      </c>
      <c r="L25" s="449">
        <f t="shared" si="12"/>
        <v>0</v>
      </c>
      <c r="M25" s="449">
        <f t="shared" si="13"/>
        <v>0</v>
      </c>
      <c r="N25" s="449">
        <f t="shared" si="14"/>
        <v>0</v>
      </c>
      <c r="O25" s="449">
        <f t="shared" si="15"/>
        <v>0</v>
      </c>
      <c r="P25" s="450">
        <f t="shared" si="16"/>
        <v>0</v>
      </c>
      <c r="Q25" s="448">
        <f t="shared" ca="1" si="17"/>
        <v>66421.090239902638</v>
      </c>
    </row>
    <row r="26" spans="1:17">
      <c r="A26" s="448" t="s">
        <v>617</v>
      </c>
      <c r="B26" s="449">
        <f t="shared" ca="1" si="2"/>
        <v>1311.148119664593</v>
      </c>
      <c r="C26" s="449">
        <f t="shared" ca="1" si="3"/>
        <v>0</v>
      </c>
      <c r="D26" s="449">
        <f t="shared" si="4"/>
        <v>1415.2617372571733</v>
      </c>
      <c r="E26" s="449">
        <f t="shared" si="5"/>
        <v>5.8237710151133824</v>
      </c>
      <c r="F26" s="449">
        <f t="shared" si="6"/>
        <v>425.37842184213258</v>
      </c>
      <c r="G26" s="449">
        <f t="shared" si="7"/>
        <v>0</v>
      </c>
      <c r="H26" s="449">
        <f t="shared" si="8"/>
        <v>0</v>
      </c>
      <c r="I26" s="449">
        <f t="shared" si="9"/>
        <v>0</v>
      </c>
      <c r="J26" s="449">
        <f t="shared" si="10"/>
        <v>6.3337584522295822</v>
      </c>
      <c r="K26" s="449">
        <f t="shared" si="11"/>
        <v>0</v>
      </c>
      <c r="L26" s="449">
        <f t="shared" si="12"/>
        <v>0</v>
      </c>
      <c r="M26" s="449">
        <f t="shared" si="13"/>
        <v>0</v>
      </c>
      <c r="N26" s="449">
        <f t="shared" si="14"/>
        <v>0</v>
      </c>
      <c r="O26" s="449">
        <f t="shared" si="15"/>
        <v>0</v>
      </c>
      <c r="P26" s="450">
        <f t="shared" si="16"/>
        <v>0</v>
      </c>
      <c r="Q26" s="448">
        <f t="shared" ca="1" si="17"/>
        <v>3163.9458082312417</v>
      </c>
    </row>
    <row r="27" spans="1:17" s="454" customFormat="1">
      <c r="A27" s="452" t="s">
        <v>543</v>
      </c>
      <c r="B27" s="772">
        <f t="shared" ca="1" si="2"/>
        <v>39.707181375684328</v>
      </c>
      <c r="C27" s="453">
        <f t="shared" ca="1" si="3"/>
        <v>0</v>
      </c>
      <c r="D27" s="453">
        <f t="shared" si="4"/>
        <v>67.997596085528642</v>
      </c>
      <c r="E27" s="453">
        <f t="shared" si="5"/>
        <v>29.924623300740507</v>
      </c>
      <c r="F27" s="453">
        <f t="shared" si="6"/>
        <v>0</v>
      </c>
      <c r="G27" s="453">
        <f t="shared" si="7"/>
        <v>15139.561565992582</v>
      </c>
      <c r="H27" s="453">
        <f t="shared" si="8"/>
        <v>4099.6252596064232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19376.816226360959</v>
      </c>
    </row>
    <row r="28" spans="1:17" ht="16.5" customHeight="1">
      <c r="A28" s="448" t="s">
        <v>533</v>
      </c>
      <c r="B28" s="449">
        <f t="shared" ca="1" si="2"/>
        <v>7.2250533245590063</v>
      </c>
      <c r="C28" s="449">
        <f t="shared" ca="1" si="3"/>
        <v>0</v>
      </c>
      <c r="D28" s="449">
        <f t="shared" si="4"/>
        <v>0</v>
      </c>
      <c r="E28" s="449">
        <f t="shared" si="5"/>
        <v>0</v>
      </c>
      <c r="F28" s="449">
        <f t="shared" si="6"/>
        <v>0</v>
      </c>
      <c r="G28" s="449">
        <f t="shared" si="7"/>
        <v>567.79382732936813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575.01888065392711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166.19891508896913</v>
      </c>
      <c r="C32" s="449">
        <f t="shared" ca="1" si="3"/>
        <v>0</v>
      </c>
      <c r="D32" s="449">
        <f t="shared" si="4"/>
        <v>518.33298836421636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684.53190345318546</v>
      </c>
    </row>
    <row r="33" spans="1:17" s="460" customFormat="1">
      <c r="A33" s="458" t="s">
        <v>537</v>
      </c>
      <c r="B33" s="459">
        <f ca="1">SUM(B22:B32)</f>
        <v>24571.001483823089</v>
      </c>
      <c r="C33" s="459">
        <f t="shared" ref="C33:Q33" ca="1" si="19">SUM(C22:C32)</f>
        <v>60792.057370230512</v>
      </c>
      <c r="D33" s="459">
        <f t="shared" ca="1" si="19"/>
        <v>25057.169596955129</v>
      </c>
      <c r="E33" s="459">
        <f t="shared" si="19"/>
        <v>552.38119473412371</v>
      </c>
      <c r="F33" s="459">
        <f t="shared" ca="1" si="19"/>
        <v>16941.370010081821</v>
      </c>
      <c r="G33" s="459">
        <f t="shared" si="19"/>
        <v>15707.35539332195</v>
      </c>
      <c r="H33" s="459">
        <f t="shared" si="19"/>
        <v>4099.6252596064232</v>
      </c>
      <c r="I33" s="459">
        <f t="shared" si="19"/>
        <v>0</v>
      </c>
      <c r="J33" s="459">
        <f t="shared" si="19"/>
        <v>811.21819162398378</v>
      </c>
      <c r="K33" s="459">
        <f t="shared" si="19"/>
        <v>0</v>
      </c>
      <c r="L33" s="459">
        <f t="shared" ca="1" si="19"/>
        <v>0</v>
      </c>
      <c r="M33" s="459">
        <f t="shared" si="19"/>
        <v>0</v>
      </c>
      <c r="N33" s="459">
        <f t="shared" ca="1" si="19"/>
        <v>0</v>
      </c>
      <c r="O33" s="459">
        <f t="shared" si="19"/>
        <v>0</v>
      </c>
      <c r="P33" s="459">
        <f t="shared" si="19"/>
        <v>0</v>
      </c>
      <c r="Q33" s="459">
        <f t="shared" ca="1" si="19"/>
        <v>148532.17850037702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13310.062037462221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8976.7370970798675</v>
      </c>
      <c r="C8" s="1016">
        <f>'SEAP template'!C76</f>
        <v>180854.76290292013</v>
      </c>
      <c r="D8" s="1016">
        <f>'SEAP template'!D76</f>
        <v>209264.99293550788</v>
      </c>
      <c r="E8" s="1016">
        <f>'SEAP template'!E76</f>
        <v>0</v>
      </c>
      <c r="F8" s="1016">
        <f>'SEAP template'!F76</f>
        <v>3504.2466038767402</v>
      </c>
      <c r="G8" s="1016">
        <f>'SEAP template'!G76</f>
        <v>0</v>
      </c>
      <c r="H8" s="1016">
        <f>'SEAP template'!H76</f>
        <v>0</v>
      </c>
      <c r="I8" s="1016">
        <f>'SEAP template'!I76</f>
        <v>10512.739811630221</v>
      </c>
      <c r="J8" s="1016">
        <f>'SEAP template'!J76</f>
        <v>48.074263893512182</v>
      </c>
      <c r="K8" s="1016">
        <f>'SEAP template'!K76</f>
        <v>0</v>
      </c>
      <c r="L8" s="1016">
        <f>'SEAP template'!L76</f>
        <v>0</v>
      </c>
      <c r="M8" s="1016">
        <f>'SEAP template'!M76</f>
        <v>0</v>
      </c>
      <c r="N8" s="1016">
        <f>'SEAP template'!N76</f>
        <v>0</v>
      </c>
      <c r="O8" s="1016">
        <f>'SEAP template'!O76</f>
        <v>0</v>
      </c>
      <c r="P8" s="1017">
        <f>'SEAP template'!Q76</f>
        <v>43207.162416207684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22286.799134542089</v>
      </c>
      <c r="C10" s="1018">
        <f>SUM(C4:C9)</f>
        <v>180854.76290292013</v>
      </c>
      <c r="D10" s="1018">
        <f t="shared" ref="D10:H10" si="0">SUM(D8:D9)</f>
        <v>209264.99293550788</v>
      </c>
      <c r="E10" s="1018">
        <f t="shared" si="0"/>
        <v>0</v>
      </c>
      <c r="F10" s="1018">
        <f t="shared" si="0"/>
        <v>3504.2466038767402</v>
      </c>
      <c r="G10" s="1018">
        <f t="shared" si="0"/>
        <v>0</v>
      </c>
      <c r="H10" s="1018">
        <f t="shared" si="0"/>
        <v>0</v>
      </c>
      <c r="I10" s="1018">
        <f>SUM(I8:I9)</f>
        <v>10512.739811630221</v>
      </c>
      <c r="J10" s="1018">
        <f>SUM(J8:J9)</f>
        <v>48.074263893512182</v>
      </c>
      <c r="K10" s="1018">
        <f t="shared" ref="K10:L10" si="1">SUM(K8:K9)</f>
        <v>0</v>
      </c>
      <c r="L10" s="1018">
        <f t="shared" si="1"/>
        <v>0</v>
      </c>
      <c r="M10" s="1018">
        <f>SUM(M8:M9)</f>
        <v>0</v>
      </c>
      <c r="N10" s="1018">
        <f>SUM(N8:N9)</f>
        <v>0</v>
      </c>
      <c r="O10" s="1018">
        <f>SUM(O8:O9)</f>
        <v>0</v>
      </c>
      <c r="P10" s="1018">
        <f>SUM(P8:P9)</f>
        <v>43207.162416207684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0.21269484187701412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12630.181805191862</v>
      </c>
      <c r="C17" s="1019">
        <f>'SEAP template'!C87</f>
        <v>254460.89276044513</v>
      </c>
      <c r="D17" s="1017">
        <f>'SEAP template'!D87</f>
        <v>294433.81015329505</v>
      </c>
      <c r="E17" s="1017">
        <f>'SEAP template'!E87</f>
        <v>0</v>
      </c>
      <c r="F17" s="1017">
        <f>'SEAP template'!F87</f>
        <v>4930.4408961232602</v>
      </c>
      <c r="G17" s="1017">
        <f>'SEAP template'!G87</f>
        <v>0</v>
      </c>
      <c r="H17" s="1017">
        <f>'SEAP template'!H87</f>
        <v>0</v>
      </c>
      <c r="I17" s="1017">
        <f>'SEAP template'!I87</f>
        <v>14791.322688369781</v>
      </c>
      <c r="J17" s="1017">
        <f>'SEAP template'!J87</f>
        <v>67.640021820773541</v>
      </c>
      <c r="K17" s="1017">
        <f>'SEAP template'!K87</f>
        <v>0</v>
      </c>
      <c r="L17" s="1017">
        <f>'SEAP template'!L87</f>
        <v>0</v>
      </c>
      <c r="M17" s="1017">
        <f>'SEAP template'!M87</f>
        <v>0</v>
      </c>
      <c r="N17" s="1017">
        <f>'SEAP template'!N87</f>
        <v>0</v>
      </c>
      <c r="O17" s="1017">
        <f>'SEAP template'!O87</f>
        <v>0</v>
      </c>
      <c r="P17" s="1017">
        <f>'SEAP template'!Q87</f>
        <v>60792.057370230512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12630.181805191862</v>
      </c>
      <c r="C20" s="1018">
        <f>SUM(C17:C19)</f>
        <v>254460.89276044513</v>
      </c>
      <c r="D20" s="1018">
        <f t="shared" ref="D20:H20" si="2">SUM(D17:D19)</f>
        <v>294433.81015329505</v>
      </c>
      <c r="E20" s="1018">
        <f t="shared" si="2"/>
        <v>0</v>
      </c>
      <c r="F20" s="1018">
        <f t="shared" si="2"/>
        <v>4930.4408961232602</v>
      </c>
      <c r="G20" s="1018">
        <f t="shared" si="2"/>
        <v>0</v>
      </c>
      <c r="H20" s="1018">
        <f t="shared" si="2"/>
        <v>0</v>
      </c>
      <c r="I20" s="1018">
        <f>SUM(I17:I19)</f>
        <v>14791.322688369781</v>
      </c>
      <c r="J20" s="1018">
        <f>SUM(J17:J19)</f>
        <v>67.640021820773541</v>
      </c>
      <c r="K20" s="1018">
        <f t="shared" ref="K20:L20" si="3">SUM(K17:K19)</f>
        <v>0</v>
      </c>
      <c r="L20" s="1018">
        <f t="shared" si="3"/>
        <v>0</v>
      </c>
      <c r="M20" s="1018">
        <f>SUM(M17:M19)</f>
        <v>0</v>
      </c>
      <c r="N20" s="1018">
        <f>SUM(N17:N19)</f>
        <v>0</v>
      </c>
      <c r="O20" s="1018">
        <f>SUM(O17:O19)</f>
        <v>0</v>
      </c>
      <c r="P20" s="1018">
        <f>SUM(P17:P19)</f>
        <v>60792.057370230512</v>
      </c>
    </row>
    <row r="21" spans="1:16">
      <c r="B21" s="883"/>
    </row>
    <row r="22" spans="1:16">
      <c r="A22" s="461" t="s">
        <v>755</v>
      </c>
      <c r="B22" s="778" t="s">
        <v>753</v>
      </c>
      <c r="C22" s="778">
        <f ca="1">'EF ele_warmte'!B22</f>
        <v>0.22760797031160623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0.21269484187701412</v>
      </c>
      <c r="C17" s="498">
        <f ca="1">'EF ele_warmte'!B22</f>
        <v>0.22760797031160623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0.21269484187701412</v>
      </c>
      <c r="C17" s="498">
        <f ca="1">'EF ele_warmte'!B22</f>
        <v>0.22760797031160623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0.21269484187701412</v>
      </c>
      <c r="C29" s="499">
        <f ca="1">'EF ele_warmte'!B22</f>
        <v>0.22760797031160623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8229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1243.1400000000001</v>
      </c>
      <c r="C14" s="326"/>
      <c r="D14" s="326"/>
      <c r="E14" s="326"/>
      <c r="F14" s="326"/>
    </row>
    <row r="15" spans="1:6">
      <c r="A15" s="1312" t="s">
        <v>183</v>
      </c>
      <c r="B15" s="1313">
        <v>6</v>
      </c>
      <c r="C15" s="326"/>
      <c r="D15" s="326"/>
      <c r="E15" s="326"/>
      <c r="F15" s="326"/>
    </row>
    <row r="16" spans="1:6">
      <c r="A16" s="1312" t="s">
        <v>6</v>
      </c>
      <c r="B16" s="1313">
        <v>286</v>
      </c>
      <c r="C16" s="326"/>
      <c r="D16" s="326"/>
      <c r="E16" s="326"/>
      <c r="F16" s="326"/>
    </row>
    <row r="17" spans="1:6">
      <c r="A17" s="1312" t="s">
        <v>7</v>
      </c>
      <c r="B17" s="1313">
        <v>215</v>
      </c>
      <c r="C17" s="326"/>
      <c r="D17" s="326"/>
      <c r="E17" s="326"/>
      <c r="F17" s="326"/>
    </row>
    <row r="18" spans="1:6">
      <c r="A18" s="1312" t="s">
        <v>8</v>
      </c>
      <c r="B18" s="1313">
        <v>307</v>
      </c>
      <c r="C18" s="326"/>
      <c r="D18" s="326"/>
      <c r="E18" s="326"/>
      <c r="F18" s="326"/>
    </row>
    <row r="19" spans="1:6">
      <c r="A19" s="1312" t="s">
        <v>9</v>
      </c>
      <c r="B19" s="1313">
        <v>248</v>
      </c>
      <c r="C19" s="326"/>
      <c r="D19" s="326"/>
      <c r="E19" s="326"/>
      <c r="F19" s="326"/>
    </row>
    <row r="20" spans="1:6">
      <c r="A20" s="1312" t="s">
        <v>10</v>
      </c>
      <c r="B20" s="1313">
        <v>354</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82</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390</v>
      </c>
      <c r="C29" s="332"/>
      <c r="D29" s="332"/>
      <c r="E29" s="332"/>
      <c r="F29" s="332"/>
    </row>
    <row r="30" spans="1:6">
      <c r="A30" s="1307" t="s">
        <v>685</v>
      </c>
      <c r="B30" s="1316">
        <v>100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5</v>
      </c>
      <c r="F36" s="1313">
        <v>650704.86454284296</v>
      </c>
    </row>
    <row r="37" spans="1:6">
      <c r="A37" s="1312" t="s">
        <v>24</v>
      </c>
      <c r="B37" s="1312" t="s">
        <v>27</v>
      </c>
      <c r="C37" s="1313">
        <v>0</v>
      </c>
      <c r="D37" s="1313">
        <v>0</v>
      </c>
      <c r="E37" s="1313">
        <v>0</v>
      </c>
      <c r="F37" s="1313">
        <v>0</v>
      </c>
    </row>
    <row r="38" spans="1:6">
      <c r="A38" s="1312" t="s">
        <v>24</v>
      </c>
      <c r="B38" s="1312" t="s">
        <v>28</v>
      </c>
      <c r="C38" s="1313">
        <v>2</v>
      </c>
      <c r="D38" s="1313">
        <v>255757.94299484999</v>
      </c>
      <c r="E38" s="1313">
        <v>0</v>
      </c>
      <c r="F38" s="1313">
        <v>0</v>
      </c>
    </row>
    <row r="39" spans="1:6">
      <c r="A39" s="1312" t="s">
        <v>29</v>
      </c>
      <c r="B39" s="1312" t="s">
        <v>30</v>
      </c>
      <c r="C39" s="1313">
        <v>5618</v>
      </c>
      <c r="D39" s="1313">
        <v>89002192.836647406</v>
      </c>
      <c r="E39" s="1313">
        <v>8039</v>
      </c>
      <c r="F39" s="1313">
        <v>27655710.916073799</v>
      </c>
    </row>
    <row r="40" spans="1:6">
      <c r="A40" s="1312" t="s">
        <v>29</v>
      </c>
      <c r="B40" s="1312" t="s">
        <v>28</v>
      </c>
      <c r="C40" s="1313">
        <v>0</v>
      </c>
      <c r="D40" s="1313">
        <v>0</v>
      </c>
      <c r="E40" s="1313">
        <v>0</v>
      </c>
      <c r="F40" s="1313">
        <v>0</v>
      </c>
    </row>
    <row r="41" spans="1:6">
      <c r="A41" s="1312" t="s">
        <v>31</v>
      </c>
      <c r="B41" s="1312" t="s">
        <v>32</v>
      </c>
      <c r="C41" s="1313">
        <v>82</v>
      </c>
      <c r="D41" s="1313">
        <v>5044187.6032739002</v>
      </c>
      <c r="E41" s="1313">
        <v>162</v>
      </c>
      <c r="F41" s="1313">
        <v>2177515.78497168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11</v>
      </c>
      <c r="D44" s="1313">
        <v>1149866.5103248199</v>
      </c>
      <c r="E44" s="1313">
        <v>21</v>
      </c>
      <c r="F44" s="1313">
        <v>1183370.6212776599</v>
      </c>
    </row>
    <row r="45" spans="1:6">
      <c r="A45" s="1312" t="s">
        <v>31</v>
      </c>
      <c r="B45" s="1312" t="s">
        <v>36</v>
      </c>
      <c r="C45" s="1313">
        <v>0</v>
      </c>
      <c r="D45" s="1313">
        <v>0</v>
      </c>
      <c r="E45" s="1313">
        <v>5</v>
      </c>
      <c r="F45" s="1313">
        <v>468418.14259058301</v>
      </c>
    </row>
    <row r="46" spans="1:6">
      <c r="A46" s="1312" t="s">
        <v>31</v>
      </c>
      <c r="B46" s="1312" t="s">
        <v>37</v>
      </c>
      <c r="C46" s="1313">
        <v>0</v>
      </c>
      <c r="D46" s="1313">
        <v>0</v>
      </c>
      <c r="E46" s="1313">
        <v>0</v>
      </c>
      <c r="F46" s="1313">
        <v>0</v>
      </c>
    </row>
    <row r="47" spans="1:6">
      <c r="A47" s="1312" t="s">
        <v>31</v>
      </c>
      <c r="B47" s="1312" t="s">
        <v>38</v>
      </c>
      <c r="C47" s="1313">
        <v>3</v>
      </c>
      <c r="D47" s="1313">
        <v>314636.18062553101</v>
      </c>
      <c r="E47" s="1313">
        <v>5</v>
      </c>
      <c r="F47" s="1313">
        <v>493223.13361105701</v>
      </c>
    </row>
    <row r="48" spans="1:6">
      <c r="A48" s="1312" t="s">
        <v>31</v>
      </c>
      <c r="B48" s="1312" t="s">
        <v>28</v>
      </c>
      <c r="C48" s="1313">
        <v>3</v>
      </c>
      <c r="D48" s="1313">
        <v>57878.606651094997</v>
      </c>
      <c r="E48" s="1313">
        <v>3</v>
      </c>
      <c r="F48" s="1313">
        <v>11420.6998861132</v>
      </c>
    </row>
    <row r="49" spans="1:6">
      <c r="A49" s="1312" t="s">
        <v>31</v>
      </c>
      <c r="B49" s="1312" t="s">
        <v>39</v>
      </c>
      <c r="C49" s="1313">
        <v>0</v>
      </c>
      <c r="D49" s="1313">
        <v>0</v>
      </c>
      <c r="E49" s="1313">
        <v>0</v>
      </c>
      <c r="F49" s="1313">
        <v>0</v>
      </c>
    </row>
    <row r="50" spans="1:6">
      <c r="A50" s="1312" t="s">
        <v>31</v>
      </c>
      <c r="B50" s="1312" t="s">
        <v>40</v>
      </c>
      <c r="C50" s="1313">
        <v>11</v>
      </c>
      <c r="D50" s="1313">
        <v>1192286.2752546801</v>
      </c>
      <c r="E50" s="1313">
        <v>21</v>
      </c>
      <c r="F50" s="1313">
        <v>1830508.20764798</v>
      </c>
    </row>
    <row r="51" spans="1:6">
      <c r="A51" s="1312" t="s">
        <v>41</v>
      </c>
      <c r="B51" s="1312" t="s">
        <v>42</v>
      </c>
      <c r="C51" s="1313">
        <v>73</v>
      </c>
      <c r="D51" s="1313">
        <v>541892279.01510203</v>
      </c>
      <c r="E51" s="1313">
        <v>177</v>
      </c>
      <c r="F51" s="1313">
        <v>8090838.1678625597</v>
      </c>
    </row>
    <row r="52" spans="1:6">
      <c r="A52" s="1312" t="s">
        <v>41</v>
      </c>
      <c r="B52" s="1312" t="s">
        <v>28</v>
      </c>
      <c r="C52" s="1313">
        <v>0</v>
      </c>
      <c r="D52" s="1313">
        <v>0</v>
      </c>
      <c r="E52" s="1313">
        <v>0</v>
      </c>
      <c r="F52" s="1313">
        <v>0</v>
      </c>
    </row>
    <row r="53" spans="1:6">
      <c r="A53" s="1312" t="s">
        <v>43</v>
      </c>
      <c r="B53" s="1312" t="s">
        <v>44</v>
      </c>
      <c r="C53" s="1313">
        <v>110</v>
      </c>
      <c r="D53" s="1313">
        <v>2566004.89289216</v>
      </c>
      <c r="E53" s="1313">
        <v>261</v>
      </c>
      <c r="F53" s="1313">
        <v>781396.07722631004</v>
      </c>
    </row>
    <row r="54" spans="1:6">
      <c r="A54" s="1312" t="s">
        <v>45</v>
      </c>
      <c r="B54" s="1312" t="s">
        <v>46</v>
      </c>
      <c r="C54" s="1313">
        <v>0</v>
      </c>
      <c r="D54" s="1313">
        <v>0</v>
      </c>
      <c r="E54" s="1313">
        <v>1</v>
      </c>
      <c r="F54" s="1313">
        <v>1246929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42</v>
      </c>
      <c r="D57" s="1313">
        <v>1672644.57532194</v>
      </c>
      <c r="E57" s="1313">
        <v>95</v>
      </c>
      <c r="F57" s="1313">
        <v>1507884.8422719</v>
      </c>
    </row>
    <row r="58" spans="1:6">
      <c r="A58" s="1312" t="s">
        <v>48</v>
      </c>
      <c r="B58" s="1312" t="s">
        <v>50</v>
      </c>
      <c r="C58" s="1313">
        <v>52</v>
      </c>
      <c r="D58" s="1313">
        <v>9810069.4671688993</v>
      </c>
      <c r="E58" s="1313">
        <v>74</v>
      </c>
      <c r="F58" s="1313">
        <v>3436034.82861184</v>
      </c>
    </row>
    <row r="59" spans="1:6">
      <c r="A59" s="1312" t="s">
        <v>48</v>
      </c>
      <c r="B59" s="1312" t="s">
        <v>51</v>
      </c>
      <c r="C59" s="1313">
        <v>147</v>
      </c>
      <c r="D59" s="1313">
        <v>7899956.5153035596</v>
      </c>
      <c r="E59" s="1313">
        <v>271</v>
      </c>
      <c r="F59" s="1313">
        <v>36029108.845554799</v>
      </c>
    </row>
    <row r="60" spans="1:6">
      <c r="A60" s="1312" t="s">
        <v>48</v>
      </c>
      <c r="B60" s="1312" t="s">
        <v>52</v>
      </c>
      <c r="C60" s="1313">
        <v>82</v>
      </c>
      <c r="D60" s="1313">
        <v>6869835.5009020297</v>
      </c>
      <c r="E60" s="1313">
        <v>147</v>
      </c>
      <c r="F60" s="1313">
        <v>2771902.5039414298</v>
      </c>
    </row>
    <row r="61" spans="1:6">
      <c r="A61" s="1312" t="s">
        <v>48</v>
      </c>
      <c r="B61" s="1312" t="s">
        <v>53</v>
      </c>
      <c r="C61" s="1313">
        <v>172</v>
      </c>
      <c r="D61" s="1313">
        <v>22553916.558871601</v>
      </c>
      <c r="E61" s="1313">
        <v>340</v>
      </c>
      <c r="F61" s="1313">
        <v>13154060.1866599</v>
      </c>
    </row>
    <row r="62" spans="1:6">
      <c r="A62" s="1312" t="s">
        <v>48</v>
      </c>
      <c r="B62" s="1312" t="s">
        <v>54</v>
      </c>
      <c r="C62" s="1313">
        <v>16</v>
      </c>
      <c r="D62" s="1313">
        <v>4502122.4225961398</v>
      </c>
      <c r="E62" s="1313">
        <v>17</v>
      </c>
      <c r="F62" s="1313">
        <v>1584092.90657227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19146.805344758999</v>
      </c>
      <c r="E65" s="1313">
        <v>3</v>
      </c>
      <c r="F65" s="1313">
        <v>25766.6128157643</v>
      </c>
    </row>
    <row r="66" spans="1:6">
      <c r="A66" s="1312" t="s">
        <v>55</v>
      </c>
      <c r="B66" s="1312" t="s">
        <v>57</v>
      </c>
      <c r="C66" s="1313">
        <v>0</v>
      </c>
      <c r="D66" s="1313">
        <v>0</v>
      </c>
      <c r="E66" s="1313">
        <v>11</v>
      </c>
      <c r="F66" s="1313">
        <v>235771.142225813</v>
      </c>
    </row>
    <row r="67" spans="1:6">
      <c r="A67" s="1314" t="s">
        <v>55</v>
      </c>
      <c r="B67" s="1314" t="s">
        <v>58</v>
      </c>
      <c r="C67" s="1313">
        <v>0</v>
      </c>
      <c r="D67" s="1313">
        <v>0</v>
      </c>
      <c r="E67" s="1313">
        <v>0</v>
      </c>
      <c r="F67" s="1313">
        <v>0</v>
      </c>
    </row>
    <row r="68" spans="1:6">
      <c r="A68" s="1307" t="s">
        <v>55</v>
      </c>
      <c r="B68" s="1307" t="s">
        <v>59</v>
      </c>
      <c r="C68" s="1316">
        <v>8</v>
      </c>
      <c r="D68" s="1316">
        <v>312394.25631914998</v>
      </c>
      <c r="E68" s="1316">
        <v>17</v>
      </c>
      <c r="F68" s="1316">
        <v>231861.43374250099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73867462</v>
      </c>
      <c r="E73" s="447"/>
      <c r="F73" s="326"/>
    </row>
    <row r="74" spans="1:6">
      <c r="A74" s="1312" t="s">
        <v>63</v>
      </c>
      <c r="B74" s="1312" t="s">
        <v>638</v>
      </c>
      <c r="C74" s="1326" t="s">
        <v>640</v>
      </c>
      <c r="D74" s="1327">
        <v>5988539.1063488619</v>
      </c>
      <c r="E74" s="447"/>
      <c r="F74" s="326"/>
    </row>
    <row r="75" spans="1:6">
      <c r="A75" s="1312" t="s">
        <v>64</v>
      </c>
      <c r="B75" s="1312" t="s">
        <v>637</v>
      </c>
      <c r="C75" s="1326" t="s">
        <v>641</v>
      </c>
      <c r="D75" s="1327">
        <v>17428757</v>
      </c>
      <c r="E75" s="447"/>
      <c r="F75" s="326"/>
    </row>
    <row r="76" spans="1:6">
      <c r="A76" s="1312" t="s">
        <v>64</v>
      </c>
      <c r="B76" s="1312" t="s">
        <v>638</v>
      </c>
      <c r="C76" s="1326" t="s">
        <v>642</v>
      </c>
      <c r="D76" s="1327">
        <v>570677.10634886194</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633597.787302276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7147.2494008141666</v>
      </c>
      <c r="C91" s="326"/>
      <c r="D91" s="326"/>
      <c r="E91" s="326"/>
      <c r="F91" s="326"/>
    </row>
    <row r="92" spans="1:6">
      <c r="A92" s="1307" t="s">
        <v>68</v>
      </c>
      <c r="B92" s="1308">
        <v>6162.8126366480546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3367</v>
      </c>
      <c r="C97" s="326"/>
      <c r="D97" s="326"/>
      <c r="E97" s="326"/>
      <c r="F97" s="326"/>
    </row>
    <row r="98" spans="1:6">
      <c r="A98" s="1312" t="s">
        <v>71</v>
      </c>
      <c r="B98" s="1313">
        <v>10</v>
      </c>
      <c r="C98" s="326"/>
      <c r="D98" s="326"/>
      <c r="E98" s="326"/>
      <c r="F98" s="326"/>
    </row>
    <row r="99" spans="1:6">
      <c r="A99" s="1312" t="s">
        <v>72</v>
      </c>
      <c r="B99" s="1313">
        <v>75</v>
      </c>
      <c r="C99" s="326"/>
      <c r="D99" s="326"/>
      <c r="E99" s="326"/>
      <c r="F99" s="326"/>
    </row>
    <row r="100" spans="1:6">
      <c r="A100" s="1312" t="s">
        <v>73</v>
      </c>
      <c r="B100" s="1313">
        <v>535</v>
      </c>
      <c r="C100" s="326"/>
      <c r="D100" s="326"/>
      <c r="E100" s="326"/>
      <c r="F100" s="326"/>
    </row>
    <row r="101" spans="1:6">
      <c r="A101" s="1312" t="s">
        <v>74</v>
      </c>
      <c r="B101" s="1313">
        <v>63</v>
      </c>
      <c r="C101" s="326"/>
      <c r="D101" s="326"/>
      <c r="E101" s="326"/>
      <c r="F101" s="326"/>
    </row>
    <row r="102" spans="1:6">
      <c r="A102" s="1312" t="s">
        <v>75</v>
      </c>
      <c r="B102" s="1313">
        <v>94</v>
      </c>
      <c r="C102" s="326"/>
      <c r="D102" s="326"/>
      <c r="E102" s="326"/>
      <c r="F102" s="326"/>
    </row>
    <row r="103" spans="1:6">
      <c r="A103" s="1312" t="s">
        <v>76</v>
      </c>
      <c r="B103" s="1313">
        <v>187</v>
      </c>
      <c r="C103" s="326"/>
      <c r="D103" s="326"/>
      <c r="E103" s="326"/>
      <c r="F103" s="326"/>
    </row>
    <row r="104" spans="1:6">
      <c r="A104" s="1312" t="s">
        <v>77</v>
      </c>
      <c r="B104" s="1313">
        <v>2851</v>
      </c>
      <c r="C104" s="326"/>
      <c r="D104" s="326"/>
      <c r="E104" s="326"/>
      <c r="F104" s="326"/>
    </row>
    <row r="105" spans="1:6">
      <c r="A105" s="1307" t="s">
        <v>78</v>
      </c>
      <c r="B105" s="131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3</v>
      </c>
      <c r="C122" s="1313">
        <v>0</v>
      </c>
      <c r="D122" s="326"/>
      <c r="E122" s="326"/>
      <c r="F122" s="326"/>
    </row>
    <row r="123" spans="1:6">
      <c r="A123" s="1312" t="s">
        <v>87</v>
      </c>
      <c r="B123" s="1313">
        <v>88</v>
      </c>
      <c r="C123" s="1313">
        <v>38</v>
      </c>
      <c r="D123" s="326"/>
      <c r="E123" s="326"/>
      <c r="F123" s="326"/>
    </row>
    <row r="124" spans="1:6" s="43" customFormat="1">
      <c r="A124" s="1314" t="s">
        <v>88</v>
      </c>
      <c r="B124" s="1335">
        <v>3</v>
      </c>
      <c r="C124" s="1335">
        <v>1</v>
      </c>
      <c r="D124" s="332"/>
      <c r="E124" s="332"/>
      <c r="F124" s="332"/>
    </row>
    <row r="125" spans="1:6">
      <c r="A125" s="1307" t="s">
        <v>786</v>
      </c>
      <c r="B125" s="1335">
        <v>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228</v>
      </c>
      <c r="C129" s="326"/>
      <c r="D129" s="326"/>
      <c r="E129" s="326"/>
      <c r="F129" s="326"/>
    </row>
    <row r="130" spans="1:6">
      <c r="A130" s="1312" t="s">
        <v>290</v>
      </c>
      <c r="B130" s="1313">
        <v>4</v>
      </c>
      <c r="C130" s="326"/>
      <c r="D130" s="326"/>
      <c r="E130" s="326"/>
      <c r="F130" s="326"/>
    </row>
    <row r="131" spans="1:6">
      <c r="A131" s="1312" t="s">
        <v>291</v>
      </c>
      <c r="B131" s="1313">
        <v>2</v>
      </c>
      <c r="C131" s="326"/>
      <c r="D131" s="326"/>
      <c r="E131" s="326"/>
      <c r="F131" s="326"/>
    </row>
    <row r="132" spans="1:6">
      <c r="A132" s="1307" t="s">
        <v>292</v>
      </c>
      <c r="B132" s="1308">
        <v>70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115522.31952117907</v>
      </c>
      <c r="C3" s="43" t="s">
        <v>169</v>
      </c>
      <c r="D3" s="43"/>
      <c r="E3" s="154"/>
      <c r="F3" s="43"/>
      <c r="G3" s="43"/>
      <c r="H3" s="43"/>
      <c r="I3" s="43"/>
      <c r="J3" s="43"/>
      <c r="K3" s="96"/>
    </row>
    <row r="4" spans="1:11">
      <c r="A4" s="354" t="s">
        <v>170</v>
      </c>
      <c r="B4" s="49">
        <f>IF(ISERROR('SEAP template'!B78+'SEAP template'!C78),0,'SEAP template'!B78+'SEAP template'!C78)</f>
        <v>203141.56203746222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43207.162416207684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0.21269484187701412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60792.057370230512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267091.07456563698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0.22760797031160623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1246.9290000000001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1246.9290000000001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0.21269484187701412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265.21536648686339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27655.7109160738</v>
      </c>
      <c r="C5" s="17">
        <f>IF(ISERROR('Eigen informatie GS &amp; warmtenet'!B59),0,'Eigen informatie GS &amp; warmtenet'!B59)</f>
        <v>0</v>
      </c>
      <c r="D5" s="30">
        <f>(SUM(HH_hh_gas_kWh,HH_rest_gas_kWh)/1000)*0.903</f>
        <v>80368.980131492601</v>
      </c>
      <c r="E5" s="17">
        <f>B32*B41</f>
        <v>1733.4941069964182</v>
      </c>
      <c r="F5" s="17">
        <f>B36*B45</f>
        <v>37974.971149389654</v>
      </c>
      <c r="G5" s="18"/>
      <c r="H5" s="17"/>
      <c r="I5" s="17"/>
      <c r="J5" s="17">
        <f>B35*B44+C35*C44</f>
        <v>216.42351404568558</v>
      </c>
      <c r="K5" s="17"/>
      <c r="L5" s="17"/>
      <c r="M5" s="17"/>
      <c r="N5" s="17">
        <f>B34*B43+C34*C43</f>
        <v>10717.27886551265</v>
      </c>
      <c r="O5" s="17">
        <f>B52*B53*B54</f>
        <v>529.71684457633751</v>
      </c>
      <c r="P5" s="17">
        <f>B60*B61*B62/1000-B60*B61*B62/1000/B63</f>
        <v>1695.9674485372886</v>
      </c>
    </row>
    <row r="6" spans="1:16">
      <c r="A6" s="16" t="s">
        <v>603</v>
      </c>
      <c r="B6" s="780">
        <f>kWh_PV_kleiner_dan_10kW</f>
        <v>7147.2494008141666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34802.960316887969</v>
      </c>
      <c r="C8" s="21">
        <f>C5</f>
        <v>0</v>
      </c>
      <c r="D8" s="21">
        <f>D5</f>
        <v>80368.980131492601</v>
      </c>
      <c r="E8" s="21">
        <f>E5</f>
        <v>1733.4941069964182</v>
      </c>
      <c r="F8" s="21">
        <f>F5</f>
        <v>37974.971149389654</v>
      </c>
      <c r="G8" s="21"/>
      <c r="H8" s="21"/>
      <c r="I8" s="21"/>
      <c r="J8" s="21">
        <f>J5</f>
        <v>216.42351404568558</v>
      </c>
      <c r="K8" s="21"/>
      <c r="L8" s="21">
        <f>L5</f>
        <v>0</v>
      </c>
      <c r="M8" s="21">
        <f>M5</f>
        <v>0</v>
      </c>
      <c r="N8" s="21">
        <f>N5</f>
        <v>10717.27886551265</v>
      </c>
      <c r="O8" s="21">
        <f>O5</f>
        <v>529.71684457633751</v>
      </c>
      <c r="P8" s="21">
        <f>P5</f>
        <v>1695.9674485372886</v>
      </c>
    </row>
    <row r="9" spans="1:16">
      <c r="B9" s="19"/>
      <c r="C9" s="19"/>
      <c r="D9" s="254"/>
      <c r="E9" s="19"/>
      <c r="F9" s="19"/>
      <c r="G9" s="19"/>
      <c r="H9" s="19"/>
      <c r="I9" s="19"/>
      <c r="J9" s="19"/>
      <c r="K9" s="19"/>
      <c r="L9" s="19"/>
      <c r="M9" s="19"/>
      <c r="N9" s="19"/>
      <c r="O9" s="19"/>
      <c r="P9" s="19"/>
    </row>
    <row r="10" spans="1:16">
      <c r="A10" s="24" t="s">
        <v>213</v>
      </c>
      <c r="B10" s="25">
        <f ca="1">'EF ele_warmte'!B12</f>
        <v>0.21269484187701412</v>
      </c>
      <c r="C10" s="25">
        <f ca="1">'EF ele_warmte'!B22</f>
        <v>0.22760797031160623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7402.4101414524839</v>
      </c>
      <c r="C12" s="23">
        <f ca="1">C10*C8</f>
        <v>0</v>
      </c>
      <c r="D12" s="23">
        <f>D8*D10</f>
        <v>16234.533986561506</v>
      </c>
      <c r="E12" s="23">
        <f>E10*E8</f>
        <v>393.50316228818696</v>
      </c>
      <c r="F12" s="23">
        <f>F10*F8</f>
        <v>10139.317296887039</v>
      </c>
      <c r="G12" s="23"/>
      <c r="H12" s="23"/>
      <c r="I12" s="23"/>
      <c r="J12" s="23">
        <f>J10*J8</f>
        <v>76.613923972172685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8229</v>
      </c>
      <c r="C26" s="36"/>
      <c r="D26" s="225"/>
    </row>
    <row r="27" spans="1:5" s="15" customFormat="1">
      <c r="A27" s="227" t="s">
        <v>866</v>
      </c>
      <c r="B27" s="37">
        <f>SUM(HH_hh_gas_aantal,HH_rest_gas_aantal)</f>
        <v>5618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5337.1</v>
      </c>
      <c r="C31" s="34" t="s">
        <v>110</v>
      </c>
      <c r="D31" s="171"/>
    </row>
    <row r="32" spans="1:5">
      <c r="A32" s="168" t="s">
        <v>72</v>
      </c>
      <c r="B32" s="33">
        <f>IF((B21*($B$26-($B$27-0.05*$B$27)-$B$60))&lt;0,0,(B21*($B$26-($B$27-0.05*$B$27)-$B$60)))</f>
        <v>43.353580113266261</v>
      </c>
      <c r="C32" s="34" t="s">
        <v>110</v>
      </c>
      <c r="D32" s="171"/>
    </row>
    <row r="33" spans="1:6">
      <c r="A33" s="168" t="s">
        <v>73</v>
      </c>
      <c r="B33" s="33">
        <f>IF((B22*($B$26-($B$27-0.05*$B$27)-$B$60))&lt;0,0,B22*($B$26-($B$27-0.05*$B$27)-$B$60))</f>
        <v>703.97627833161027</v>
      </c>
      <c r="C33" s="34" t="s">
        <v>110</v>
      </c>
      <c r="D33" s="171"/>
    </row>
    <row r="34" spans="1:6">
      <c r="A34" s="168" t="s">
        <v>74</v>
      </c>
      <c r="B34" s="33">
        <f>IF((B24*($B$26-($B$27-0.05*$B$27)-$B$60))&lt;0,0,B24*($B$26-($B$27-0.05*$B$27)-$B$60))</f>
        <v>134.96167349343884</v>
      </c>
      <c r="C34" s="33">
        <f>B26*C24</f>
        <v>1686.1709786680519</v>
      </c>
      <c r="D34" s="230"/>
    </row>
    <row r="35" spans="1:6">
      <c r="A35" s="168" t="s">
        <v>76</v>
      </c>
      <c r="B35" s="33">
        <f>IF((B19*($B$26-($B$27-0.05*$B$27)-$B$60))&lt;0,0,B19*($B$26-($B$27-0.05*$B$27)-$B$60))</f>
        <v>18.845697917472808</v>
      </c>
      <c r="C35" s="33">
        <f>B35/2</f>
        <v>9.4228489587364042</v>
      </c>
      <c r="D35" s="230"/>
    </row>
    <row r="36" spans="1:6">
      <c r="A36" s="168" t="s">
        <v>77</v>
      </c>
      <c r="B36" s="33">
        <f>IF((B18*($B$26-($B$27-0.05*$B$27)-$B$60))&lt;0,0,B18*($B$26-($B$27-0.05*$B$27)-$B$60))</f>
        <v>1829.7627701442109</v>
      </c>
      <c r="C36" s="34" t="s">
        <v>110</v>
      </c>
      <c r="D36" s="171"/>
    </row>
    <row r="37" spans="1:6">
      <c r="A37" s="168" t="s">
        <v>78</v>
      </c>
      <c r="B37" s="33">
        <f>B60</f>
        <v>161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267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161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58483.084113612138</v>
      </c>
      <c r="C5" s="17">
        <f>IF(ISERROR('Eigen informatie GS &amp; warmtenet'!B60),0,'Eigen informatie GS &amp; warmtenet'!B60)</f>
        <v>0</v>
      </c>
      <c r="D5" s="30">
        <f>SUM(D6:D12)</f>
        <v>48137.616171268244</v>
      </c>
      <c r="E5" s="17">
        <f>SUM(E6:E12)</f>
        <v>310.68601601585789</v>
      </c>
      <c r="F5" s="17">
        <f>SUM(F6:F12)</f>
        <v>6705.9485352029878</v>
      </c>
      <c r="G5" s="18"/>
      <c r="H5" s="17"/>
      <c r="I5" s="17"/>
      <c r="J5" s="17">
        <f>SUM(J6:J12)</f>
        <v>1.5251006828313388E-2</v>
      </c>
      <c r="K5" s="17"/>
      <c r="L5" s="17"/>
      <c r="M5" s="17"/>
      <c r="N5" s="17">
        <f>SUM(N6:N12)</f>
        <v>638.59438487334478</v>
      </c>
      <c r="O5" s="17">
        <f>B38*B39*B40</f>
        <v>19.589043063364617</v>
      </c>
      <c r="P5" s="17">
        <f>B46*B47*B48/1000-B46*B47*B48/1000/B49</f>
        <v>367.77396814546512</v>
      </c>
      <c r="R5" s="32"/>
    </row>
    <row r="6" spans="1:18">
      <c r="A6" s="32" t="s">
        <v>53</v>
      </c>
      <c r="B6" s="37">
        <f>B26</f>
        <v>13154.060186659901</v>
      </c>
      <c r="C6" s="33"/>
      <c r="D6" s="37">
        <f>IF(ISERROR(TER_kantoor_gas_kWh/1000),0,TER_kantoor_gas_kWh/1000)*0.903</f>
        <v>20366.186652661057</v>
      </c>
      <c r="E6" s="33">
        <f>$C$26*'E Balans VL '!I12/100/3.6*1000000</f>
        <v>3.1342248307963976</v>
      </c>
      <c r="F6" s="33">
        <f>$C$26*('E Balans VL '!L12+'E Balans VL '!N12)/100/3.6*1000000</f>
        <v>1142.5589863442924</v>
      </c>
      <c r="G6" s="34"/>
      <c r="H6" s="33"/>
      <c r="I6" s="33"/>
      <c r="J6" s="33">
        <f>$C$26*('E Balans VL '!D12+'E Balans VL '!E12)/100/3.6*1000000</f>
        <v>0</v>
      </c>
      <c r="K6" s="33"/>
      <c r="L6" s="33"/>
      <c r="M6" s="33"/>
      <c r="N6" s="33">
        <f>$C$26*'E Balans VL '!Y12/100/3.6*1000000</f>
        <v>17.582241695109399</v>
      </c>
      <c r="O6" s="33"/>
      <c r="P6" s="33"/>
      <c r="R6" s="32"/>
    </row>
    <row r="7" spans="1:18">
      <c r="A7" s="32" t="s">
        <v>52</v>
      </c>
      <c r="B7" s="37">
        <f t="shared" ref="B7:B12" si="0">B27</f>
        <v>2771.9025039414296</v>
      </c>
      <c r="C7" s="33"/>
      <c r="D7" s="37">
        <f>IF(ISERROR(TER_horeca_gas_kWh/1000),0,TER_horeca_gas_kWh/1000)*0.903</f>
        <v>6203.4614573145327</v>
      </c>
      <c r="E7" s="33">
        <f>$C$27*'E Balans VL '!I9/100/3.6*1000000</f>
        <v>0</v>
      </c>
      <c r="F7" s="33">
        <f>$C$27*('E Balans VL '!L9+'E Balans VL '!N9)/100/3.6*1000000</f>
        <v>225.85988980170836</v>
      </c>
      <c r="G7" s="34"/>
      <c r="H7" s="33"/>
      <c r="I7" s="33"/>
      <c r="J7" s="33">
        <f>$C$27*('E Balans VL '!D9+'E Balans VL '!E9)/100/3.6*1000000</f>
        <v>0</v>
      </c>
      <c r="K7" s="33"/>
      <c r="L7" s="33"/>
      <c r="M7" s="33"/>
      <c r="N7" s="33">
        <f>$C$27*'E Balans VL '!Y9/100/3.6*1000000</f>
        <v>0.76776538811055239</v>
      </c>
      <c r="O7" s="33"/>
      <c r="P7" s="33"/>
      <c r="R7" s="32"/>
    </row>
    <row r="8" spans="1:18">
      <c r="A8" s="6" t="s">
        <v>51</v>
      </c>
      <c r="B8" s="37">
        <f t="shared" si="0"/>
        <v>36029.108845554802</v>
      </c>
      <c r="C8" s="33"/>
      <c r="D8" s="37">
        <f>IF(ISERROR(TER_handel_gas_kWh/1000),0,TER_handel_gas_kWh/1000)*0.903</f>
        <v>7133.6607333191141</v>
      </c>
      <c r="E8" s="33">
        <f>$C$28*'E Balans VL '!I13/100/3.6*1000000</f>
        <v>288.00281044307837</v>
      </c>
      <c r="F8" s="33">
        <f>$C$28*('E Balans VL '!L13+'E Balans VL '!N13)/100/3.6*1000000</f>
        <v>3579.267993797796</v>
      </c>
      <c r="G8" s="34"/>
      <c r="H8" s="33"/>
      <c r="I8" s="33"/>
      <c r="J8" s="33">
        <f>$C$28*('E Balans VL '!D13+'E Balans VL '!E13)/100/3.6*1000000</f>
        <v>0</v>
      </c>
      <c r="K8" s="33"/>
      <c r="L8" s="33"/>
      <c r="M8" s="33"/>
      <c r="N8" s="33">
        <f>$C$28*'E Balans VL '!Y13/100/3.6*1000000</f>
        <v>13.459016749124968</v>
      </c>
      <c r="O8" s="33"/>
      <c r="P8" s="33"/>
      <c r="R8" s="32"/>
    </row>
    <row r="9" spans="1:18">
      <c r="A9" s="32" t="s">
        <v>50</v>
      </c>
      <c r="B9" s="37">
        <f t="shared" si="0"/>
        <v>3436.0348286118401</v>
      </c>
      <c r="C9" s="33"/>
      <c r="D9" s="37">
        <f>IF(ISERROR(TER_gezond_gas_kWh/1000),0,TER_gezond_gas_kWh/1000)*0.903</f>
        <v>8858.4927288535164</v>
      </c>
      <c r="E9" s="33">
        <f>$C$29*'E Balans VL '!I10/100/3.6*1000000</f>
        <v>0</v>
      </c>
      <c r="F9" s="33">
        <f>$C$29*('E Balans VL '!L10+'E Balans VL '!N10)/100/3.6*1000000</f>
        <v>313.25056720922771</v>
      </c>
      <c r="G9" s="34"/>
      <c r="H9" s="33"/>
      <c r="I9" s="33"/>
      <c r="J9" s="33">
        <f>$C$29*('E Balans VL '!D10+'E Balans VL '!E10)/100/3.6*1000000</f>
        <v>0</v>
      </c>
      <c r="K9" s="33"/>
      <c r="L9" s="33"/>
      <c r="M9" s="33"/>
      <c r="N9" s="33">
        <f>$C$29*'E Balans VL '!Y10/100/3.6*1000000</f>
        <v>25.11433536003025</v>
      </c>
      <c r="O9" s="33"/>
      <c r="P9" s="33"/>
      <c r="R9" s="32"/>
    </row>
    <row r="10" spans="1:18">
      <c r="A10" s="32" t="s">
        <v>49</v>
      </c>
      <c r="B10" s="37">
        <f t="shared" si="0"/>
        <v>1507.8848422719</v>
      </c>
      <c r="C10" s="33"/>
      <c r="D10" s="37">
        <f>IF(ISERROR(TER_ander_gas_kWh/1000),0,TER_ander_gas_kWh/1000)*0.903</f>
        <v>1510.3980515157118</v>
      </c>
      <c r="E10" s="33">
        <f>$C$30*'E Balans VL '!I14/100/3.6*1000000</f>
        <v>19.54898074198314</v>
      </c>
      <c r="F10" s="33">
        <f>$C$30*('E Balans VL '!L14+'E Balans VL '!N14)/100/3.6*1000000</f>
        <v>1382.9421114149893</v>
      </c>
      <c r="G10" s="34"/>
      <c r="H10" s="33"/>
      <c r="I10" s="33"/>
      <c r="J10" s="33">
        <f>$C$30*('E Balans VL '!D14+'E Balans VL '!E14)/100/3.6*1000000</f>
        <v>1.5251006828313388E-2</v>
      </c>
      <c r="K10" s="33"/>
      <c r="L10" s="33"/>
      <c r="M10" s="33"/>
      <c r="N10" s="33">
        <f>$C$30*'E Balans VL '!Y14/100/3.6*1000000</f>
        <v>576.68232573186185</v>
      </c>
      <c r="O10" s="33"/>
      <c r="P10" s="33"/>
      <c r="R10" s="32"/>
    </row>
    <row r="11" spans="1:18">
      <c r="A11" s="32" t="s">
        <v>54</v>
      </c>
      <c r="B11" s="37">
        <f t="shared" si="0"/>
        <v>1584.0929065722701</v>
      </c>
      <c r="C11" s="33"/>
      <c r="D11" s="37">
        <f>IF(ISERROR(TER_onderwijs_gas_kWh/1000),0,TER_onderwijs_gas_kWh/1000)*0.903</f>
        <v>4065.416547604314</v>
      </c>
      <c r="E11" s="33">
        <f>$C$31*'E Balans VL '!I11/100/3.6*1000000</f>
        <v>0</v>
      </c>
      <c r="F11" s="33">
        <f>$C$31*('E Balans VL '!L11+'E Balans VL '!N11)/100/3.6*1000000</f>
        <v>62.068986634974586</v>
      </c>
      <c r="G11" s="34"/>
      <c r="H11" s="33"/>
      <c r="I11" s="33"/>
      <c r="J11" s="33">
        <f>$C$31*('E Balans VL '!D11+'E Balans VL '!E11)/100/3.6*1000000</f>
        <v>0</v>
      </c>
      <c r="K11" s="33"/>
      <c r="L11" s="33"/>
      <c r="M11" s="33"/>
      <c r="N11" s="33">
        <f>$C$31*'E Balans VL '!Y11/100/3.6*1000000</f>
        <v>4.9886999491077786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energieproductie'!N67+'lokale energieproductie'!N60</f>
        <v>5732</v>
      </c>
      <c r="C13" s="243">
        <f ca="1">'lokale energieproductie'!O67+'lokale energieproductie'!O60</f>
        <v>8188.6370656370664</v>
      </c>
      <c r="D13" s="304">
        <f ca="1">('lokale energieproductie'!P60+'lokale energieproductie'!P67)*(-1)</f>
        <v>-16374.517374517376</v>
      </c>
      <c r="E13" s="244"/>
      <c r="F13" s="304">
        <f ca="1">('lokale energieproductie'!S60+'lokale energieproductie'!S67)*(-1)</f>
        <v>0</v>
      </c>
      <c r="G13" s="245"/>
      <c r="H13" s="244"/>
      <c r="I13" s="244"/>
      <c r="J13" s="244"/>
      <c r="K13" s="244"/>
      <c r="L13" s="304">
        <f ca="1">('lokale energieproductie'!U60+'lokale energieproductie'!T60+'lokale energieproductie'!U67+'lokale energieproductie'!T67)*(-1)</f>
        <v>0</v>
      </c>
      <c r="M13" s="244"/>
      <c r="N13" s="304">
        <f ca="1">('lokale energieproductie'!Q60+'lokale energieproductie'!R60+'lokale energieproductie'!V60+'lokale energieproductie'!Q67+'lokale energieproductie'!R67+'lokale energieproductie'!V67)*(-1)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64215.084113612138</v>
      </c>
      <c r="C16" s="21">
        <f t="shared" ca="1" si="1"/>
        <v>8188.6370656370664</v>
      </c>
      <c r="D16" s="21">
        <f t="shared" ca="1" si="1"/>
        <v>31763.09879675087</v>
      </c>
      <c r="E16" s="21">
        <f t="shared" si="1"/>
        <v>310.68601601585789</v>
      </c>
      <c r="F16" s="21">
        <f t="shared" ca="1" si="1"/>
        <v>6705.9485352029878</v>
      </c>
      <c r="G16" s="21">
        <f t="shared" si="1"/>
        <v>0</v>
      </c>
      <c r="H16" s="21">
        <f t="shared" si="1"/>
        <v>0</v>
      </c>
      <c r="I16" s="21">
        <f t="shared" si="1"/>
        <v>0</v>
      </c>
      <c r="J16" s="21">
        <f t="shared" si="1"/>
        <v>1.5251006828313388E-2</v>
      </c>
      <c r="K16" s="21">
        <f t="shared" si="1"/>
        <v>0</v>
      </c>
      <c r="L16" s="21">
        <f t="shared" ca="1" si="1"/>
        <v>0</v>
      </c>
      <c r="M16" s="21">
        <f t="shared" si="1"/>
        <v>0</v>
      </c>
      <c r="N16" s="21">
        <f t="shared" ca="1" si="1"/>
        <v>638.59438487334478</v>
      </c>
      <c r="O16" s="21">
        <f>O5</f>
        <v>19.589043063364617</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0.21269484187701412</v>
      </c>
      <c r="C18" s="25">
        <f ca="1">'EF ele_warmte'!B22</f>
        <v>0.22760797031160623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13658.217161663895</v>
      </c>
      <c r="C20" s="23">
        <f t="shared" ref="C20:P20" ca="1" si="2">C16*C18</f>
        <v>1863.7990621280398</v>
      </c>
      <c r="D20" s="23">
        <f t="shared" ca="1" si="2"/>
        <v>6416.1459569436765</v>
      </c>
      <c r="E20" s="23">
        <f t="shared" si="2"/>
        <v>70.525725635599741</v>
      </c>
      <c r="F20" s="23">
        <f t="shared" ca="1" si="2"/>
        <v>1790.4882588991979</v>
      </c>
      <c r="G20" s="23">
        <f t="shared" si="2"/>
        <v>0</v>
      </c>
      <c r="H20" s="23">
        <f t="shared" si="2"/>
        <v>0</v>
      </c>
      <c r="I20" s="23">
        <f t="shared" si="2"/>
        <v>0</v>
      </c>
      <c r="J20" s="23">
        <f t="shared" si="2"/>
        <v>5.398856417222939E-3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13154.060186659901</v>
      </c>
      <c r="C26" s="39">
        <f>IF(ISERROR(B26*3.6/1000000/'E Balans VL '!Z12*100),0,B26*3.6/1000000/'E Balans VL '!Z12*100)</f>
        <v>0.37738874889103985</v>
      </c>
      <c r="D26" s="233" t="s">
        <v>841</v>
      </c>
      <c r="F26" s="6"/>
    </row>
    <row r="27" spans="1:18" ht="30">
      <c r="A27" s="228" t="s">
        <v>52</v>
      </c>
      <c r="B27" s="33">
        <f>IF(ISERROR(TER_horeca_ele_kWh/1000),0,TER_horeca_ele_kWh/1000)</f>
        <v>2771.9025039414296</v>
      </c>
      <c r="C27" s="39">
        <f>IF(ISERROR(B27*3.6/1000000/'E Balans VL '!Z9*100),0,B27*3.6/1000000/'E Balans VL '!Z9*100)</f>
        <v>0.20307055879080449</v>
      </c>
      <c r="D27" s="233" t="s">
        <v>841</v>
      </c>
      <c r="F27" s="6"/>
    </row>
    <row r="28" spans="1:18" ht="30">
      <c r="A28" s="168" t="s">
        <v>51</v>
      </c>
      <c r="B28" s="33">
        <f>IF(ISERROR(TER_handel_ele_kWh/1000),0,TER_handel_ele_kWh/1000)</f>
        <v>36029.108845554802</v>
      </c>
      <c r="C28" s="39">
        <f>IF(ISERROR(B28*3.6/1000000/'E Balans VL '!Z13*100),0,B28*3.6/1000000/'E Balans VL '!Z13*100)</f>
        <v>1.1133298521276591</v>
      </c>
      <c r="D28" s="233" t="s">
        <v>841</v>
      </c>
      <c r="F28" s="6"/>
    </row>
    <row r="29" spans="1:18" ht="30">
      <c r="A29" s="228" t="s">
        <v>50</v>
      </c>
      <c r="B29" s="33">
        <f>IF(ISERROR(TER_gezond_ele_kWh/1000),0,TER_gezond_ele_kWh/1000)</f>
        <v>3436.0348286118401</v>
      </c>
      <c r="C29" s="39">
        <f>IF(ISERROR(B29*3.6/1000000/'E Balans VL '!Z10*100),0,B29*3.6/1000000/'E Balans VL '!Z10*100)</f>
        <v>0.33675254122749559</v>
      </c>
      <c r="D29" s="233" t="s">
        <v>841</v>
      </c>
      <c r="F29" s="6"/>
    </row>
    <row r="30" spans="1:18" ht="30">
      <c r="A30" s="228" t="s">
        <v>49</v>
      </c>
      <c r="B30" s="33">
        <f>IF(ISERROR(TER_ander_ele_kWh/1000),0,TER_ander_ele_kWh/1000)</f>
        <v>1507.8848422719</v>
      </c>
      <c r="C30" s="39">
        <f>IF(ISERROR(B30*3.6/1000000/'E Balans VL '!Z14*100),0,B30*3.6/1000000/'E Balans VL '!Z14*100)</f>
        <v>6.2461461412887588E-2</v>
      </c>
      <c r="D30" s="233" t="s">
        <v>841</v>
      </c>
      <c r="F30" s="6"/>
    </row>
    <row r="31" spans="1:18" ht="30">
      <c r="A31" s="228" t="s">
        <v>54</v>
      </c>
      <c r="B31" s="33">
        <f>IF(ISERROR(TER_onderwijs_ele_kWh/1000),0,TER_onderwijs_ele_kWh/1000)</f>
        <v>1584.0929065722701</v>
      </c>
      <c r="C31" s="39">
        <f>IF(ISERROR(B31*3.6/1000000/'E Balans VL '!Z11*100),0,B31*3.6/1000000/'E Balans VL '!Z11*100)</f>
        <v>0.4867435896148401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7</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6164.4565899850741</v>
      </c>
      <c r="C5" s="17">
        <f>IF(ISERROR('Eigen informatie GS &amp; warmtenet'!B61),0,'Eigen informatie GS &amp; warmtenet'!B61)</f>
        <v>0</v>
      </c>
      <c r="D5" s="30">
        <f>SUM(D6:D15)</f>
        <v>7006.2462240454124</v>
      </c>
      <c r="E5" s="17">
        <f>SUM(E6:E15)</f>
        <v>25.655378921204328</v>
      </c>
      <c r="F5" s="17">
        <f>SUM(F6:F15)</f>
        <v>1593.1776098956275</v>
      </c>
      <c r="G5" s="18"/>
      <c r="H5" s="17"/>
      <c r="I5" s="17"/>
      <c r="J5" s="17">
        <f>SUM(J6:J15)</f>
        <v>17.891973028897127</v>
      </c>
      <c r="K5" s="17"/>
      <c r="L5" s="17"/>
      <c r="M5" s="17"/>
      <c r="N5" s="17">
        <f>SUM(N6:N15)</f>
        <v>443.43328641816129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1183.3706212776599</v>
      </c>
      <c r="C8" s="33"/>
      <c r="D8" s="37">
        <f>IF( ISERROR(IND_metaal_Gas_kWH/1000),0,IND_metaal_Gas_kWH/1000)*0.903</f>
        <v>1038.3294588233125</v>
      </c>
      <c r="E8" s="33">
        <f>C30*'E Balans VL '!I18/100/3.6*1000000</f>
        <v>6.4507378120750838</v>
      </c>
      <c r="F8" s="33">
        <f>C30*'E Balans VL '!L18/100/3.6*1000000+C30*'E Balans VL '!N18/100/3.6*1000000</f>
        <v>76.20915839932627</v>
      </c>
      <c r="G8" s="34"/>
      <c r="H8" s="33"/>
      <c r="I8" s="33"/>
      <c r="J8" s="40">
        <f>C30*'E Balans VL '!D18/100/3.6*1000000+C30*'E Balans VL '!E18/100/3.6*1000000</f>
        <v>0.96932488449087573</v>
      </c>
      <c r="K8" s="33"/>
      <c r="L8" s="33"/>
      <c r="M8" s="33"/>
      <c r="N8" s="33">
        <f>C30*'E Balans VL '!Y18/100/3.6*1000000</f>
        <v>25.565940305068743</v>
      </c>
      <c r="O8" s="33"/>
      <c r="P8" s="33"/>
      <c r="R8" s="32"/>
    </row>
    <row r="9" spans="1:18">
      <c r="A9" s="6" t="s">
        <v>32</v>
      </c>
      <c r="B9" s="37">
        <f t="shared" si="0"/>
        <v>2177.5157849716802</v>
      </c>
      <c r="C9" s="33"/>
      <c r="D9" s="37">
        <f>IF( ISERROR(IND_andere_gas_kWh/1000),0,IND_andere_gas_kWh/1000)*0.903</f>
        <v>4554.9014057563318</v>
      </c>
      <c r="E9" s="33">
        <f>C31*'E Balans VL '!I19/100/3.6*1000000</f>
        <v>7.0293917860366761</v>
      </c>
      <c r="F9" s="33">
        <f>C31*'E Balans VL '!L19/100/3.6*1000000+C31*'E Balans VL '!N19/100/3.6*1000000</f>
        <v>1407.9988001953409</v>
      </c>
      <c r="G9" s="34"/>
      <c r="H9" s="33"/>
      <c r="I9" s="33"/>
      <c r="J9" s="40">
        <f>C31*'E Balans VL '!D19/100/3.6*1000000+C31*'E Balans VL '!E19/100/3.6*1000000</f>
        <v>0</v>
      </c>
      <c r="K9" s="33"/>
      <c r="L9" s="33"/>
      <c r="M9" s="33"/>
      <c r="N9" s="33">
        <f>C31*'E Balans VL '!Y19/100/3.6*1000000</f>
        <v>87.990897619386658</v>
      </c>
      <c r="O9" s="33"/>
      <c r="P9" s="33"/>
      <c r="R9" s="32"/>
    </row>
    <row r="10" spans="1:18">
      <c r="A10" s="6" t="s">
        <v>40</v>
      </c>
      <c r="B10" s="37">
        <f t="shared" si="0"/>
        <v>1830.50820764798</v>
      </c>
      <c r="C10" s="33"/>
      <c r="D10" s="37">
        <f>IF( ISERROR(IND_voed_gas_kWh/1000),0,IND_voed_gas_kWh/1000)*0.903</f>
        <v>1076.634506554976</v>
      </c>
      <c r="E10" s="33">
        <f>C32*'E Balans VL '!I20/100/3.6*1000000</f>
        <v>3.8371938123920266</v>
      </c>
      <c r="F10" s="33">
        <f>C32*'E Balans VL '!L20/100/3.6*1000000+C32*'E Balans VL '!N20/100/3.6*1000000</f>
        <v>35.66462589648188</v>
      </c>
      <c r="G10" s="34"/>
      <c r="H10" s="33"/>
      <c r="I10" s="33"/>
      <c r="J10" s="40">
        <f>C32*'E Balans VL '!D20/100/3.6*1000000+C32*'E Balans VL '!E20/100/3.6*1000000</f>
        <v>0</v>
      </c>
      <c r="K10" s="33"/>
      <c r="L10" s="33"/>
      <c r="M10" s="33"/>
      <c r="N10" s="33">
        <f>C32*'E Balans VL '!Y20/100/3.6*1000000</f>
        <v>72.812541587716311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468.41814259058299</v>
      </c>
      <c r="C12" s="33"/>
      <c r="D12" s="37">
        <f>IF( ISERROR(IND_min_gas_kWh/1000),0,IND_min_gas_kWh/1000)*0.903</f>
        <v>0</v>
      </c>
      <c r="E12" s="33">
        <f>C34*'E Balans VL '!I22/100/3.6*1000000</f>
        <v>7.6656904868585505</v>
      </c>
      <c r="F12" s="33">
        <f>C34*'E Balans VL '!L22/100/3.6*1000000+C34*'E Balans VL '!N22/100/3.6*1000000</f>
        <v>71.496688526539913</v>
      </c>
      <c r="G12" s="34"/>
      <c r="H12" s="33"/>
      <c r="I12" s="33"/>
      <c r="J12" s="40">
        <f>C34*'E Balans VL '!D22/100/3.6*1000000+C34*'E Balans VL '!E22/100/3.6*1000000</f>
        <v>16.763076611825529</v>
      </c>
      <c r="K12" s="33"/>
      <c r="L12" s="33"/>
      <c r="M12" s="33"/>
      <c r="N12" s="33">
        <f>C34*'E Balans VL '!Y22/100/3.6*1000000</f>
        <v>256.70308378235057</v>
      </c>
      <c r="O12" s="33"/>
      <c r="P12" s="33"/>
      <c r="R12" s="32"/>
    </row>
    <row r="13" spans="1:18">
      <c r="A13" s="6" t="s">
        <v>38</v>
      </c>
      <c r="B13" s="37">
        <f t="shared" si="0"/>
        <v>493.22313361105699</v>
      </c>
      <c r="C13" s="33"/>
      <c r="D13" s="37">
        <f>IF( ISERROR(IND_papier_gas_kWh/1000),0,IND_papier_gas_kWh/1000)*0.903</f>
        <v>284.1164711048545</v>
      </c>
      <c r="E13" s="33">
        <f>C35*'E Balans VL '!I23/100/3.6*1000000</f>
        <v>0</v>
      </c>
      <c r="F13" s="33">
        <f>C35*'E Balans VL '!L23/100/3.6*1000000+C35*'E Balans VL '!N23/100/3.6*1000000</f>
        <v>6.6068793714590318E-2</v>
      </c>
      <c r="G13" s="34"/>
      <c r="H13" s="33"/>
      <c r="I13" s="33"/>
      <c r="J13" s="40">
        <f>C35*'E Balans VL '!D23/100/3.6*1000000+C35*'E Balans VL '!E23/100/3.6*1000000</f>
        <v>9.756263917373241E-2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11.4206998861132</v>
      </c>
      <c r="C15" s="33"/>
      <c r="D15" s="37">
        <f>IF( ISERROR(IND_rest_gas_kWh/1000),0,IND_rest_gas_kWh/1000)*0.903</f>
        <v>52.264381805938783</v>
      </c>
      <c r="E15" s="33">
        <f>C37*'E Balans VL '!I15/100/3.6*1000000</f>
        <v>0.67236502384199215</v>
      </c>
      <c r="F15" s="33">
        <f>C37*'E Balans VL '!L15/100/3.6*1000000+C37*'E Balans VL '!N15/100/3.6*1000000</f>
        <v>1.7422680842240021</v>
      </c>
      <c r="G15" s="34"/>
      <c r="H15" s="33"/>
      <c r="I15" s="33"/>
      <c r="J15" s="40">
        <f>C37*'E Balans VL '!D15/100/3.6*1000000+C37*'E Balans VL '!E15/100/3.6*1000000</f>
        <v>6.2008893406989118E-2</v>
      </c>
      <c r="K15" s="33"/>
      <c r="L15" s="33"/>
      <c r="M15" s="33"/>
      <c r="N15" s="33">
        <f>C37*'E Balans VL '!Y15/100/3.6*1000000</f>
        <v>0.36082312363896535</v>
      </c>
      <c r="O15" s="33"/>
      <c r="P15" s="33"/>
      <c r="R15" s="32"/>
    </row>
    <row r="16" spans="1:18">
      <c r="A16" s="16" t="s">
        <v>473</v>
      </c>
      <c r="B16" s="243">
        <f>'lokale energieproductie'!N66+'lokale energieproductie'!N59</f>
        <v>0</v>
      </c>
      <c r="C16" s="243">
        <f>'lokale energieproductie'!O66+'lokale energieproductie'!O59</f>
        <v>0</v>
      </c>
      <c r="D16" s="304">
        <f>('lokale energieproductie'!P59+'lokale energieproductie'!P66)*(-1)</f>
        <v>0</v>
      </c>
      <c r="E16" s="244"/>
      <c r="F16" s="304">
        <f>('lokale energieproductie'!S59+'lokale energieproductie'!S66)*(-1)</f>
        <v>0</v>
      </c>
      <c r="G16" s="245"/>
      <c r="H16" s="244"/>
      <c r="I16" s="244"/>
      <c r="J16" s="244"/>
      <c r="K16" s="244"/>
      <c r="L16" s="304">
        <f>('lokale energieproductie'!T59+'lokale energieproductie'!U59+'lokale energieproductie'!T66+'lokale energieproductie'!U66)*(-1)</f>
        <v>0</v>
      </c>
      <c r="M16" s="244"/>
      <c r="N16" s="304">
        <f>('lokale energieproductie'!Q59+'lokale energieproductie'!R59+'lokale energieproductie'!V59+'lokale energieproductie'!Q66+'lokale energieproductie'!R66+'lokale energieproductie'!V66)*(-1)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6164.4565899850741</v>
      </c>
      <c r="C18" s="21">
        <f>C5+C16</f>
        <v>0</v>
      </c>
      <c r="D18" s="21">
        <f>MAX((D5+D16),0)</f>
        <v>7006.2462240454124</v>
      </c>
      <c r="E18" s="21">
        <f>MAX((E5+E16),0)</f>
        <v>25.655378921204328</v>
      </c>
      <c r="F18" s="21">
        <f>MAX((F5+F16),0)</f>
        <v>1593.1776098956275</v>
      </c>
      <c r="G18" s="21"/>
      <c r="H18" s="21"/>
      <c r="I18" s="21"/>
      <c r="J18" s="21">
        <f>MAX((J5+J16),0)</f>
        <v>17.891973028897127</v>
      </c>
      <c r="K18" s="21"/>
      <c r="L18" s="21">
        <f>MAX((L5+L16),0)</f>
        <v>0</v>
      </c>
      <c r="M18" s="21"/>
      <c r="N18" s="21">
        <f>MAX((N5+N16),0)</f>
        <v>443.43328641816129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0.21269484187701412</v>
      </c>
      <c r="C20" s="25">
        <f ca="1">'EF ele_warmte'!B22</f>
        <v>0.22760797031160623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1311.148119664593</v>
      </c>
      <c r="C22" s="23">
        <f ca="1">C18*C20</f>
        <v>0</v>
      </c>
      <c r="D22" s="23">
        <f>D18*D20</f>
        <v>1415.2617372571733</v>
      </c>
      <c r="E22" s="23">
        <f>E18*E20</f>
        <v>5.8237710151133824</v>
      </c>
      <c r="F22" s="23">
        <f>F18*F20</f>
        <v>425.37842184213258</v>
      </c>
      <c r="G22" s="23"/>
      <c r="H22" s="23"/>
      <c r="I22" s="23"/>
      <c r="J22" s="23">
        <f>J18*J20</f>
        <v>6.3337584522295822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1183.3706212776599</v>
      </c>
      <c r="C30" s="39">
        <f>IF(ISERROR(B30*3.6/1000000/'E Balans VL '!Z18*100),0,B30*3.6/1000000/'E Balans VL '!Z18*100)</f>
        <v>7.1259333962980662E-2</v>
      </c>
      <c r="D30" s="233" t="s">
        <v>841</v>
      </c>
    </row>
    <row r="31" spans="1:18" ht="30">
      <c r="A31" s="6" t="s">
        <v>32</v>
      </c>
      <c r="B31" s="37">
        <f>IF( ISERROR(IND_ander_ele_kWh/1000),0,IND_ander_ele_kWh/1000)</f>
        <v>2177.5157849716802</v>
      </c>
      <c r="C31" s="39">
        <f>IF(ISERROR(B31*3.6/1000000/'E Balans VL '!Z19*100),0,B31*3.6/1000000/'E Balans VL '!Z19*100)</f>
        <v>8.8716501056204849E-2</v>
      </c>
      <c r="D31" s="233" t="s">
        <v>841</v>
      </c>
    </row>
    <row r="32" spans="1:18" ht="30">
      <c r="A32" s="168" t="s">
        <v>40</v>
      </c>
      <c r="B32" s="37">
        <f>IF( ISERROR(IND_voed_ele_kWh/1000),0,IND_voed_ele_kWh/1000)</f>
        <v>1830.50820764798</v>
      </c>
      <c r="C32" s="39">
        <f>IF(ISERROR(B32*3.6/1000000/'E Balans VL '!Z20*100),0,B32*3.6/1000000/'E Balans VL '!Z20*100)</f>
        <v>5.2927358798577157E-2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468.41814259058299</v>
      </c>
      <c r="C34" s="39">
        <f>IF(ISERROR(B34*3.6/1000000/'E Balans VL '!Z22*100),0,B34*3.6/1000000/'E Balans VL '!Z22*100)</f>
        <v>0.20001019422833036</v>
      </c>
      <c r="D34" s="233" t="s">
        <v>841</v>
      </c>
    </row>
    <row r="35" spans="1:5" ht="30">
      <c r="A35" s="168" t="s">
        <v>38</v>
      </c>
      <c r="B35" s="37">
        <f>IF( ISERROR(IND_papier_ele_kWh/1000),0,IND_papier_ele_kWh/1000)</f>
        <v>493.22313361105699</v>
      </c>
      <c r="C35" s="39">
        <f>IF(ISERROR(B35*3.6/1000000/'E Balans VL '!Z22*100),0,B35*3.6/1000000/'E Balans VL '!Z22*100)</f>
        <v>0.21060169489992867</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11.4206998861132</v>
      </c>
      <c r="C37" s="39">
        <f>IF(ISERROR(B37*3.6/1000000/'E Balans VL '!Z15*100),0,B37*3.6/1000000/'E Balans VL '!Z15*100)</f>
        <v>9.3772596349441518E-5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8090.8381678625601</v>
      </c>
      <c r="C5" s="17">
        <f>'Eigen informatie GS &amp; warmtenet'!B62</f>
        <v>0</v>
      </c>
      <c r="D5" s="30">
        <f>IF(ISERROR(SUM(LB_lb_gas_kWh,LB_rest_gas_kWh)/1000),0,SUM(LB_lb_gas_kWh,LB_rest_gas_kWh)/1000)*0.903</f>
        <v>489328.72795063717</v>
      </c>
      <c r="E5" s="17">
        <f>B17*'E Balans VL '!I25/3.6*1000000/100</f>
        <v>231.73529733252516</v>
      </c>
      <c r="F5" s="17">
        <f>B17*('E Balans VL '!L25/3.6*1000000+'E Balans VL '!N25/3.6*1000000)/100</f>
        <v>25611.414213308813</v>
      </c>
      <c r="G5" s="18"/>
      <c r="H5" s="17"/>
      <c r="I5" s="17"/>
      <c r="J5" s="17">
        <f>('E Balans VL '!D25+'E Balans VL '!E25)/3.6*1000000*landbouw!B17/100</f>
        <v>2057.2460744157183</v>
      </c>
      <c r="K5" s="17"/>
      <c r="L5" s="17">
        <f>L6*(-1)</f>
        <v>25304.0625</v>
      </c>
      <c r="M5" s="17"/>
      <c r="N5" s="17">
        <f>N6*(-1)</f>
        <v>115.71428571428572</v>
      </c>
      <c r="O5" s="17"/>
      <c r="P5" s="17"/>
      <c r="R5" s="32"/>
    </row>
    <row r="6" spans="1:18">
      <c r="A6" s="16" t="s">
        <v>473</v>
      </c>
      <c r="B6" s="17" t="s">
        <v>210</v>
      </c>
      <c r="C6" s="17">
        <f>'lokale energieproductie'!O68+'lokale energieproductie'!O61</f>
        <v>258902.43749999991</v>
      </c>
      <c r="D6" s="304">
        <f>('lokale energieproductie'!P61+'lokale energieproductie'!P68)*(-1)</f>
        <v>-487324.28571428556</v>
      </c>
      <c r="E6" s="244"/>
      <c r="F6" s="304">
        <f>('lokale energieproductie'!S61+'lokale energieproductie'!S68)*(-1)</f>
        <v>-8434.6875</v>
      </c>
      <c r="G6" s="245"/>
      <c r="H6" s="244"/>
      <c r="I6" s="244"/>
      <c r="J6" s="244"/>
      <c r="K6" s="244"/>
      <c r="L6" s="304">
        <f>('lokale energieproductie'!T61+'lokale energieproductie'!U61+'lokale energieproductie'!T68+'lokale energieproductie'!U68)*(-1)</f>
        <v>-25304.0625</v>
      </c>
      <c r="M6" s="244"/>
      <c r="N6" s="304">
        <f>('lokale energieproductie'!V61+'lokale energieproductie'!R61+'lokale energieproductie'!Q61+'lokale energieproductie'!Q68+'lokale energieproductie'!R68+'lokale energieproductie'!V68)*(-1)</f>
        <v>-115.71428571428572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8090.8381678625601</v>
      </c>
      <c r="C8" s="21">
        <f>C5+C6</f>
        <v>258902.43749999991</v>
      </c>
      <c r="D8" s="21">
        <f>MAX((D5+D6),0)</f>
        <v>2004.442236351606</v>
      </c>
      <c r="E8" s="21">
        <f>MAX((E5+E6),0)</f>
        <v>231.73529733252516</v>
      </c>
      <c r="F8" s="21">
        <f>MAX((F5+F6),0)</f>
        <v>17176.726713308813</v>
      </c>
      <c r="G8" s="21"/>
      <c r="H8" s="21"/>
      <c r="I8" s="21"/>
      <c r="J8" s="21">
        <f>MAX((J5+J6),0)</f>
        <v>2057.2460744157183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0.21269484187701412</v>
      </c>
      <c r="C10" s="31">
        <f ca="1">'EF ele_warmte'!B22</f>
        <v>0.22760797031160623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1720.879544766038</v>
      </c>
      <c r="C12" s="23">
        <f ca="1">C8*C10</f>
        <v>58928.258308102471</v>
      </c>
      <c r="D12" s="23">
        <f>D8*D10</f>
        <v>404.89733174302444</v>
      </c>
      <c r="E12" s="23">
        <f>E8*E10</f>
        <v>52.603912494483211</v>
      </c>
      <c r="F12" s="23">
        <f>F8*F10</f>
        <v>4586.1860324534537</v>
      </c>
      <c r="G12" s="23"/>
      <c r="H12" s="23"/>
      <c r="I12" s="23"/>
      <c r="J12" s="23">
        <f>J8*J10</f>
        <v>728.26511034316422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1.1203975415416896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98.425113783558217</v>
      </c>
      <c r="C26" s="243">
        <f>B26*'GWP N2O_CH4'!B5</f>
        <v>2066.9273894547227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13.520435733349027</v>
      </c>
      <c r="C27" s="243">
        <f>B27*'GWP N2O_CH4'!B5</f>
        <v>283.92915040032955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1.312964965021326</v>
      </c>
      <c r="C28" s="243">
        <f>B28*'GWP N2O_CH4'!B4</f>
        <v>407.01913915661106</v>
      </c>
      <c r="D28" s="50"/>
    </row>
    <row r="29" spans="1:4">
      <c r="A29" s="41" t="s">
        <v>272</v>
      </c>
      <c r="B29" s="243">
        <f>B34*'ha_N2O bodem landbouw'!B4</f>
        <v>8.107389208503017</v>
      </c>
      <c r="C29" s="243">
        <f>B29*'GWP N2O_CH4'!B4</f>
        <v>2513.2906546359354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1.8418537279758622E-3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6.7207014373728302E-4</v>
      </c>
      <c r="C5" s="434" t="s">
        <v>210</v>
      </c>
      <c r="D5" s="419">
        <f>SUM(D6:D11)</f>
        <v>1.2118383460787282E-3</v>
      </c>
      <c r="E5" s="419">
        <f>SUM(E6:E11)</f>
        <v>4.7457552371218422E-4</v>
      </c>
      <c r="F5" s="432" t="s">
        <v>210</v>
      </c>
      <c r="G5" s="419">
        <f>SUM(G6:G11)</f>
        <v>0.20412891999091121</v>
      </c>
      <c r="H5" s="419">
        <f>SUM(H6:H11)</f>
        <v>5.9271690500333832E-2</v>
      </c>
      <c r="I5" s="434" t="s">
        <v>210</v>
      </c>
      <c r="J5" s="434" t="s">
        <v>210</v>
      </c>
      <c r="K5" s="434" t="s">
        <v>210</v>
      </c>
      <c r="L5" s="434" t="s">
        <v>210</v>
      </c>
      <c r="M5" s="419">
        <f>SUM(M6:M11)</f>
        <v>1.5922585952586464E-2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5.1797381678277674E-4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8.6361063181650483E-4</v>
      </c>
      <c r="E6" s="886">
        <f>vkm_GW_PW*SUMIFS(TableVerdeelsleutelVkm[LPG],TableVerdeelsleutelVkm[Voertuigtype],"Lichte voertuigen")*SUMIFS(TableECFTransport[EnergieConsumptieFactor (PJ per km)],TableECFTransport[Index],CONCATENATE($A6,"_LPG_LPG"))</f>
        <v>3.4238649058789184E-4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0.10289574132103727</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4.2352976915456531E-2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8.9105805124442168E-3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1.4570012779729968E-6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5.7756449022392034E-2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4.2615899414968947E-7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3.3162776283821925E-3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1.5250048091681903E-4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3.4822771426222342E-4</v>
      </c>
      <c r="E8" s="422">
        <f>vkm_NGW_PW*SUMIFS(TableVerdeelsleutelVkm[LPG],TableVerdeelsleutelVkm[Voertuigtype],"Lichte voertuigen")*SUMIFS(TableECFTransport[EnergieConsumptieFactor (PJ per km)],TableECFTransport[Index],CONCATENATE($A8,"_LPG_LPG"))</f>
        <v>1.3218903312429238E-4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3.6389007814605426E-2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1.6918238407648608E-2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3.2887630429269325E-3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1.3884475971422101E-7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7.0877218328764908E-3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4.9018234541694118E-8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4.0696476883312298E-4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186.6861510381342</v>
      </c>
      <c r="C14" s="21"/>
      <c r="D14" s="21">
        <f t="shared" ref="D14:M14" si="0">((D5)*10^9/3600)+D12</f>
        <v>336.62176279964672</v>
      </c>
      <c r="E14" s="21">
        <f t="shared" si="0"/>
        <v>131.82653436449561</v>
      </c>
      <c r="F14" s="21"/>
      <c r="G14" s="21">
        <f t="shared" si="0"/>
        <v>56702.477775253115</v>
      </c>
      <c r="H14" s="21">
        <f t="shared" si="0"/>
        <v>16464.358472314954</v>
      </c>
      <c r="I14" s="21"/>
      <c r="J14" s="21"/>
      <c r="K14" s="21"/>
      <c r="L14" s="21"/>
      <c r="M14" s="21">
        <f t="shared" si="0"/>
        <v>4422.9405423851294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0.21269484187701412</v>
      </c>
      <c r="C16" s="56">
        <f ca="1">'EF ele_warmte'!B22</f>
        <v>0.22760797031160623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39.707181375684328</v>
      </c>
      <c r="C18" s="23"/>
      <c r="D18" s="23">
        <f t="shared" ref="D18:M18" si="1">D14*D16</f>
        <v>67.997596085528642</v>
      </c>
      <c r="E18" s="23">
        <f t="shared" si="1"/>
        <v>29.924623300740507</v>
      </c>
      <c r="F18" s="23"/>
      <c r="G18" s="23">
        <f t="shared" si="1"/>
        <v>15139.561565992582</v>
      </c>
      <c r="H18" s="23">
        <f t="shared" si="1"/>
        <v>4099.6252596064232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1.2228877644081382E-4</v>
      </c>
      <c r="C50" s="315">
        <f t="shared" ref="C50:P50" si="2">SUM(C51:C52)</f>
        <v>0</v>
      </c>
      <c r="D50" s="315">
        <f t="shared" si="2"/>
        <v>0</v>
      </c>
      <c r="E50" s="315">
        <f t="shared" si="2"/>
        <v>0</v>
      </c>
      <c r="F50" s="315">
        <f t="shared" si="2"/>
        <v>0</v>
      </c>
      <c r="G50" s="315">
        <f t="shared" si="2"/>
        <v>7.6556471100588967E-3</v>
      </c>
      <c r="H50" s="315">
        <f t="shared" si="2"/>
        <v>0</v>
      </c>
      <c r="I50" s="315">
        <f t="shared" si="2"/>
        <v>0</v>
      </c>
      <c r="J50" s="315">
        <f t="shared" si="2"/>
        <v>0</v>
      </c>
      <c r="K50" s="315">
        <f t="shared" si="2"/>
        <v>0</v>
      </c>
      <c r="L50" s="315">
        <f t="shared" si="2"/>
        <v>0</v>
      </c>
      <c r="M50" s="315">
        <f t="shared" si="2"/>
        <v>4.395703056743133E-4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1.2228877644081382E-4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7.6556471100588967E-3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4.395703056743133E-4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33.969104566892725</v>
      </c>
      <c r="C54" s="21">
        <f t="shared" ref="C54:P54" si="3">(C50)*10^9/3600</f>
        <v>0</v>
      </c>
      <c r="D54" s="21">
        <f t="shared" si="3"/>
        <v>0</v>
      </c>
      <c r="E54" s="21">
        <f t="shared" si="3"/>
        <v>0</v>
      </c>
      <c r="F54" s="21">
        <f t="shared" si="3"/>
        <v>0</v>
      </c>
      <c r="G54" s="21">
        <f t="shared" si="3"/>
        <v>2126.5686416830267</v>
      </c>
      <c r="H54" s="21">
        <f t="shared" si="3"/>
        <v>0</v>
      </c>
      <c r="I54" s="21">
        <f t="shared" si="3"/>
        <v>0</v>
      </c>
      <c r="J54" s="21">
        <f t="shared" si="3"/>
        <v>0</v>
      </c>
      <c r="K54" s="21">
        <f t="shared" si="3"/>
        <v>0</v>
      </c>
      <c r="L54" s="21">
        <f t="shared" si="3"/>
        <v>0</v>
      </c>
      <c r="M54" s="21">
        <f t="shared" si="3"/>
        <v>122.10286268730924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0.21269484187701412</v>
      </c>
      <c r="C56" s="56">
        <f ca="1">'EF ele_warmte'!B22</f>
        <v>0.22760797031160623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7.2250533245590063</v>
      </c>
      <c r="C58" s="23">
        <f t="shared" ref="C58:P58" ca="1" si="4">C54*C56</f>
        <v>0</v>
      </c>
      <c r="D58" s="23">
        <f t="shared" si="4"/>
        <v>0</v>
      </c>
      <c r="E58" s="23">
        <f t="shared" si="4"/>
        <v>0</v>
      </c>
      <c r="F58" s="23">
        <f t="shared" si="4"/>
        <v>0</v>
      </c>
      <c r="G58" s="23">
        <f t="shared" si="4"/>
        <v>567.79382732936813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80"/>
  <sheetViews>
    <sheetView showGridLines="0" zoomScale="65" zoomScaleNormal="65" workbookViewId="0">
      <selection activeCell="M57" sqref="M57"/>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13310.062037462221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N58</f>
        <v>189831.5</v>
      </c>
      <c r="C8" s="545">
        <f>B77</f>
        <v>209264.99293550788</v>
      </c>
      <c r="D8" s="546"/>
      <c r="E8" s="546">
        <f>E77</f>
        <v>3504.2466038767402</v>
      </c>
      <c r="F8" s="547"/>
      <c r="G8" s="548"/>
      <c r="H8" s="546">
        <f>I77</f>
        <v>0</v>
      </c>
      <c r="I8" s="546">
        <f>G77+F77</f>
        <v>10512.739811630221</v>
      </c>
      <c r="J8" s="546">
        <f>H77+D77+C77</f>
        <v>48.074263893512182</v>
      </c>
      <c r="K8" s="546"/>
      <c r="L8" s="546"/>
      <c r="M8" s="546"/>
      <c r="N8" s="549"/>
      <c r="O8" s="550">
        <f>C8*$C$12+D8*$D$12+E8*$E$12+F8*$F$12+G8*$G$12+H8*$H$12+I8*$I$12+J8*$J$12</f>
        <v>43207.162416207684</v>
      </c>
      <c r="P8" s="1285"/>
      <c r="Q8" s="1286"/>
      <c r="S8" s="540"/>
      <c r="T8" s="1282"/>
      <c r="U8" s="1282"/>
    </row>
    <row r="9" spans="1:21" s="531" customFormat="1" ht="17.45" customHeight="1" thickBot="1">
      <c r="A9" s="551" t="s">
        <v>243</v>
      </c>
      <c r="B9" s="552">
        <f>N65+'Eigen informatie GS &amp; warmtenet'!B12</f>
        <v>0</v>
      </c>
      <c r="C9" s="553">
        <f>P65+IF(ISERROR(('Eigen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S65+IF(ISERROR('Eigen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W65+IF(ISERROR('Eigen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(T65+U65)+IF(ISERROR('Eigen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V65+Q65+R65+IF(ISERROR('Eigen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203141.56203746222</v>
      </c>
      <c r="C10" s="560">
        <f t="shared" ref="C10:L10" si="0">SUM(C8:C9)</f>
        <v>209264.99293550788</v>
      </c>
      <c r="D10" s="560">
        <f t="shared" si="0"/>
        <v>0</v>
      </c>
      <c r="E10" s="560">
        <f t="shared" si="0"/>
        <v>3504.2466038767402</v>
      </c>
      <c r="F10" s="560">
        <f t="shared" si="0"/>
        <v>0</v>
      </c>
      <c r="G10" s="560">
        <f t="shared" si="0"/>
        <v>0</v>
      </c>
      <c r="H10" s="560">
        <f t="shared" si="0"/>
        <v>0</v>
      </c>
      <c r="I10" s="560">
        <f t="shared" si="0"/>
        <v>10512.739811630221</v>
      </c>
      <c r="J10" s="560">
        <f t="shared" si="0"/>
        <v>48.074263893512182</v>
      </c>
      <c r="K10" s="560">
        <f t="shared" si="0"/>
        <v>0</v>
      </c>
      <c r="L10" s="560">
        <f t="shared" si="0"/>
        <v>0</v>
      </c>
      <c r="M10" s="961"/>
      <c r="N10" s="961"/>
      <c r="O10" s="561">
        <f>SUM(O4:O9)</f>
        <v>43207.162416207684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O58</f>
        <v>267091.07456563698</v>
      </c>
      <c r="C17" s="576">
        <f>B78</f>
        <v>294433.81015329505</v>
      </c>
      <c r="D17" s="577"/>
      <c r="E17" s="577">
        <f>E78</f>
        <v>4930.4408961232602</v>
      </c>
      <c r="F17" s="578"/>
      <c r="G17" s="579"/>
      <c r="H17" s="576">
        <f>I78</f>
        <v>0</v>
      </c>
      <c r="I17" s="577">
        <f>G78+F78</f>
        <v>14791.322688369781</v>
      </c>
      <c r="J17" s="577">
        <f>H78+D78+C78</f>
        <v>67.640021820773541</v>
      </c>
      <c r="K17" s="577"/>
      <c r="L17" s="577"/>
      <c r="M17" s="577"/>
      <c r="N17" s="962"/>
      <c r="O17" s="580">
        <f>C17*$C$22+E17*$E$22+H17*$H$22+I17*$I$22+J17*$J$22+D17*$D$22+F17*$F$22+G17*$G$22+K17*$K$22+L17*$L$22</f>
        <v>60792.057370230512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267091.07456563698</v>
      </c>
      <c r="C20" s="559">
        <f>SUM(C17:C19)</f>
        <v>294433.81015329505</v>
      </c>
      <c r="D20" s="559">
        <f t="shared" ref="D20:L20" si="1">SUM(D17:D19)</f>
        <v>0</v>
      </c>
      <c r="E20" s="559">
        <f t="shared" si="1"/>
        <v>4930.4408961232602</v>
      </c>
      <c r="F20" s="559">
        <f t="shared" si="1"/>
        <v>0</v>
      </c>
      <c r="G20" s="559">
        <f t="shared" si="1"/>
        <v>0</v>
      </c>
      <c r="H20" s="559">
        <f t="shared" si="1"/>
        <v>0</v>
      </c>
      <c r="I20" s="559">
        <f t="shared" si="1"/>
        <v>14791.322688369781</v>
      </c>
      <c r="J20" s="559">
        <f t="shared" si="1"/>
        <v>67.640021820773541</v>
      </c>
      <c r="K20" s="559">
        <f t="shared" si="1"/>
        <v>0</v>
      </c>
      <c r="L20" s="559">
        <f t="shared" si="1"/>
        <v>0</v>
      </c>
      <c r="M20" s="559"/>
      <c r="N20" s="559"/>
      <c r="O20" s="585">
        <f>SUM(O17:O19)</f>
        <v>60792.057370230512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12035</v>
      </c>
      <c r="C28" s="787">
        <v>2860</v>
      </c>
      <c r="D28" s="637" t="s">
        <v>874</v>
      </c>
      <c r="E28" s="636" t="s">
        <v>875</v>
      </c>
      <c r="F28" s="636" t="s">
        <v>876</v>
      </c>
      <c r="G28" s="636" t="s">
        <v>877</v>
      </c>
      <c r="H28" s="636" t="s">
        <v>878</v>
      </c>
      <c r="I28" s="636" t="s">
        <v>875</v>
      </c>
      <c r="J28" s="786">
        <v>40568</v>
      </c>
      <c r="K28" s="786">
        <v>39203</v>
      </c>
      <c r="L28" s="636" t="s">
        <v>879</v>
      </c>
      <c r="M28" s="636">
        <v>1129</v>
      </c>
      <c r="N28" s="636">
        <v>0</v>
      </c>
      <c r="O28" s="636">
        <v>0</v>
      </c>
      <c r="P28" s="636">
        <v>0</v>
      </c>
      <c r="Q28" s="636">
        <v>0</v>
      </c>
      <c r="R28" s="636">
        <v>0</v>
      </c>
      <c r="S28" s="636">
        <v>0</v>
      </c>
      <c r="T28" s="636">
        <v>0</v>
      </c>
      <c r="U28" s="636">
        <v>0</v>
      </c>
      <c r="V28" s="636">
        <v>0</v>
      </c>
      <c r="W28" s="636">
        <v>0</v>
      </c>
      <c r="X28" s="636">
        <v>10</v>
      </c>
      <c r="Y28" s="636" t="s">
        <v>111</v>
      </c>
      <c r="Z28" s="638" t="s">
        <v>111</v>
      </c>
    </row>
    <row r="29" spans="1:26" s="590" customFormat="1" ht="25.5">
      <c r="A29" s="589"/>
      <c r="B29" s="787">
        <v>12035</v>
      </c>
      <c r="C29" s="787">
        <v>2861</v>
      </c>
      <c r="D29" s="637" t="s">
        <v>880</v>
      </c>
      <c r="E29" s="636" t="s">
        <v>881</v>
      </c>
      <c r="F29" s="636" t="s">
        <v>882</v>
      </c>
      <c r="G29" s="636" t="s">
        <v>877</v>
      </c>
      <c r="H29" s="636" t="s">
        <v>883</v>
      </c>
      <c r="I29" s="636" t="s">
        <v>881</v>
      </c>
      <c r="J29" s="786">
        <v>40570</v>
      </c>
      <c r="K29" s="786">
        <v>39247</v>
      </c>
      <c r="L29" s="636" t="s">
        <v>879</v>
      </c>
      <c r="M29" s="636">
        <v>1752</v>
      </c>
      <c r="N29" s="636">
        <v>7884</v>
      </c>
      <c r="O29" s="636">
        <v>11262.857142857143</v>
      </c>
      <c r="P29" s="636">
        <v>22525.714285714286</v>
      </c>
      <c r="Q29" s="636">
        <v>0</v>
      </c>
      <c r="R29" s="636">
        <v>0</v>
      </c>
      <c r="S29" s="636">
        <v>0</v>
      </c>
      <c r="T29" s="636">
        <v>0</v>
      </c>
      <c r="U29" s="636">
        <v>0</v>
      </c>
      <c r="V29" s="636">
        <v>0</v>
      </c>
      <c r="W29" s="636">
        <v>0</v>
      </c>
      <c r="X29" s="636">
        <v>10</v>
      </c>
      <c r="Y29" s="636" t="s">
        <v>111</v>
      </c>
      <c r="Z29" s="638" t="s">
        <v>111</v>
      </c>
    </row>
    <row r="30" spans="1:26" s="590" customFormat="1" ht="25.5">
      <c r="A30" s="589"/>
      <c r="B30" s="787">
        <v>12035</v>
      </c>
      <c r="C30" s="787">
        <v>2861</v>
      </c>
      <c r="D30" s="637" t="s">
        <v>884</v>
      </c>
      <c r="E30" s="636" t="s">
        <v>885</v>
      </c>
      <c r="F30" s="636" t="s">
        <v>886</v>
      </c>
      <c r="G30" s="636" t="s">
        <v>877</v>
      </c>
      <c r="H30" s="636" t="s">
        <v>883</v>
      </c>
      <c r="I30" s="636" t="s">
        <v>885</v>
      </c>
      <c r="J30" s="786">
        <v>39263</v>
      </c>
      <c r="K30" s="786">
        <v>42984</v>
      </c>
      <c r="L30" s="636" t="s">
        <v>887</v>
      </c>
      <c r="M30" s="636">
        <v>2027</v>
      </c>
      <c r="N30" s="636">
        <v>9121.5</v>
      </c>
      <c r="O30" s="636">
        <v>13030.714285714286</v>
      </c>
      <c r="P30" s="636">
        <v>26061.428571428572</v>
      </c>
      <c r="Q30" s="636">
        <v>0</v>
      </c>
      <c r="R30" s="636">
        <v>0</v>
      </c>
      <c r="S30" s="636">
        <v>0</v>
      </c>
      <c r="T30" s="636">
        <v>0</v>
      </c>
      <c r="U30" s="636">
        <v>0</v>
      </c>
      <c r="V30" s="636">
        <v>0</v>
      </c>
      <c r="W30" s="636">
        <v>0</v>
      </c>
      <c r="X30" s="636">
        <v>10</v>
      </c>
      <c r="Y30" s="636" t="s">
        <v>111</v>
      </c>
      <c r="Z30" s="638" t="s">
        <v>111</v>
      </c>
    </row>
    <row r="31" spans="1:26" s="590" customFormat="1" ht="25.5">
      <c r="A31" s="589"/>
      <c r="B31" s="787">
        <v>12035</v>
      </c>
      <c r="C31" s="787">
        <v>2861</v>
      </c>
      <c r="D31" s="637" t="s">
        <v>888</v>
      </c>
      <c r="E31" s="636" t="s">
        <v>889</v>
      </c>
      <c r="F31" s="636" t="s">
        <v>890</v>
      </c>
      <c r="G31" s="636" t="s">
        <v>877</v>
      </c>
      <c r="H31" s="636" t="s">
        <v>883</v>
      </c>
      <c r="I31" s="636" t="s">
        <v>889</v>
      </c>
      <c r="J31" s="786">
        <v>39322</v>
      </c>
      <c r="K31" s="786">
        <v>43087</v>
      </c>
      <c r="L31" s="636" t="s">
        <v>887</v>
      </c>
      <c r="M31" s="636">
        <v>2678</v>
      </c>
      <c r="N31" s="636">
        <v>12051</v>
      </c>
      <c r="O31" s="636">
        <v>17215.714285714286</v>
      </c>
      <c r="P31" s="636">
        <v>34431.428571428572</v>
      </c>
      <c r="Q31" s="636">
        <v>0</v>
      </c>
      <c r="R31" s="636">
        <v>0</v>
      </c>
      <c r="S31" s="636">
        <v>0</v>
      </c>
      <c r="T31" s="636">
        <v>0</v>
      </c>
      <c r="U31" s="636">
        <v>0</v>
      </c>
      <c r="V31" s="636">
        <v>0</v>
      </c>
      <c r="W31" s="636">
        <v>0</v>
      </c>
      <c r="X31" s="636">
        <v>10</v>
      </c>
      <c r="Y31" s="636" t="s">
        <v>111</v>
      </c>
      <c r="Z31" s="638" t="s">
        <v>111</v>
      </c>
    </row>
    <row r="32" spans="1:26" s="590" customFormat="1" ht="38.25">
      <c r="A32" s="589"/>
      <c r="B32" s="787">
        <v>12035</v>
      </c>
      <c r="C32" s="787">
        <v>2861</v>
      </c>
      <c r="D32" s="637" t="s">
        <v>891</v>
      </c>
      <c r="E32" s="636" t="s">
        <v>892</v>
      </c>
      <c r="F32" s="636" t="s">
        <v>893</v>
      </c>
      <c r="G32" s="636" t="s">
        <v>877</v>
      </c>
      <c r="H32" s="636" t="s">
        <v>883</v>
      </c>
      <c r="I32" s="636" t="s">
        <v>892</v>
      </c>
      <c r="J32" s="786">
        <v>40921</v>
      </c>
      <c r="K32" s="786">
        <v>39455</v>
      </c>
      <c r="L32" s="636" t="s">
        <v>879</v>
      </c>
      <c r="M32" s="636">
        <v>2566</v>
      </c>
      <c r="N32" s="636">
        <v>11547</v>
      </c>
      <c r="O32" s="636">
        <v>16495.714285714286</v>
      </c>
      <c r="P32" s="636">
        <v>32991.428571428572</v>
      </c>
      <c r="Q32" s="636">
        <v>0</v>
      </c>
      <c r="R32" s="636">
        <v>0</v>
      </c>
      <c r="S32" s="636">
        <v>0</v>
      </c>
      <c r="T32" s="636">
        <v>0</v>
      </c>
      <c r="U32" s="636">
        <v>0</v>
      </c>
      <c r="V32" s="636">
        <v>0</v>
      </c>
      <c r="W32" s="636">
        <v>0</v>
      </c>
      <c r="X32" s="636">
        <v>10</v>
      </c>
      <c r="Y32" s="636" t="s">
        <v>111</v>
      </c>
      <c r="Z32" s="638" t="s">
        <v>111</v>
      </c>
    </row>
    <row r="33" spans="1:26" s="590" customFormat="1" ht="25.5">
      <c r="A33" s="589"/>
      <c r="B33" s="787">
        <v>12035</v>
      </c>
      <c r="C33" s="787">
        <v>2861</v>
      </c>
      <c r="D33" s="637" t="s">
        <v>894</v>
      </c>
      <c r="E33" s="636" t="s">
        <v>895</v>
      </c>
      <c r="F33" s="636" t="s">
        <v>896</v>
      </c>
      <c r="G33" s="636" t="s">
        <v>877</v>
      </c>
      <c r="H33" s="636" t="s">
        <v>883</v>
      </c>
      <c r="I33" s="636" t="s">
        <v>895</v>
      </c>
      <c r="J33" s="786">
        <v>39462</v>
      </c>
      <c r="K33" s="786">
        <v>43209</v>
      </c>
      <c r="L33" s="636" t="s">
        <v>887</v>
      </c>
      <c r="M33" s="636">
        <v>1500</v>
      </c>
      <c r="N33" s="636">
        <v>6750</v>
      </c>
      <c r="O33" s="636">
        <v>9642.8571428571431</v>
      </c>
      <c r="P33" s="636">
        <v>19285.714285714286</v>
      </c>
      <c r="Q33" s="636">
        <v>0</v>
      </c>
      <c r="R33" s="636">
        <v>0</v>
      </c>
      <c r="S33" s="636">
        <v>0</v>
      </c>
      <c r="T33" s="636">
        <v>0</v>
      </c>
      <c r="U33" s="636">
        <v>0</v>
      </c>
      <c r="V33" s="636">
        <v>0</v>
      </c>
      <c r="W33" s="636">
        <v>0</v>
      </c>
      <c r="X33" s="636">
        <v>10</v>
      </c>
      <c r="Y33" s="636" t="s">
        <v>111</v>
      </c>
      <c r="Z33" s="638" t="s">
        <v>111</v>
      </c>
    </row>
    <row r="34" spans="1:26" s="590" customFormat="1" ht="25.5">
      <c r="A34" s="589"/>
      <c r="B34" s="787">
        <v>12035</v>
      </c>
      <c r="C34" s="787">
        <v>2860</v>
      </c>
      <c r="D34" s="637" t="s">
        <v>897</v>
      </c>
      <c r="E34" s="636" t="s">
        <v>898</v>
      </c>
      <c r="F34" s="636" t="s">
        <v>899</v>
      </c>
      <c r="G34" s="636" t="s">
        <v>877</v>
      </c>
      <c r="H34" s="636" t="s">
        <v>883</v>
      </c>
      <c r="I34" s="636" t="s">
        <v>898</v>
      </c>
      <c r="J34" s="786">
        <v>39653</v>
      </c>
      <c r="K34" s="786">
        <v>43398</v>
      </c>
      <c r="L34" s="636" t="s">
        <v>887</v>
      </c>
      <c r="M34" s="636">
        <v>2000</v>
      </c>
      <c r="N34" s="636">
        <v>9000</v>
      </c>
      <c r="O34" s="636">
        <v>12857.142857142857</v>
      </c>
      <c r="P34" s="636">
        <v>25714.285714285717</v>
      </c>
      <c r="Q34" s="636">
        <v>0</v>
      </c>
      <c r="R34" s="636">
        <v>0</v>
      </c>
      <c r="S34" s="636">
        <v>0</v>
      </c>
      <c r="T34" s="636">
        <v>0</v>
      </c>
      <c r="U34" s="636">
        <v>0</v>
      </c>
      <c r="V34" s="636">
        <v>0</v>
      </c>
      <c r="W34" s="636">
        <v>0</v>
      </c>
      <c r="X34" s="636">
        <v>10</v>
      </c>
      <c r="Y34" s="636" t="s">
        <v>111</v>
      </c>
      <c r="Z34" s="638" t="s">
        <v>111</v>
      </c>
    </row>
    <row r="35" spans="1:26" s="590" customFormat="1" ht="38.25">
      <c r="A35" s="589"/>
      <c r="B35" s="787">
        <v>12035</v>
      </c>
      <c r="C35" s="787">
        <v>2861</v>
      </c>
      <c r="D35" s="637" t="s">
        <v>900</v>
      </c>
      <c r="E35" s="636" t="s">
        <v>901</v>
      </c>
      <c r="F35" s="636" t="s">
        <v>902</v>
      </c>
      <c r="G35" s="636" t="s">
        <v>877</v>
      </c>
      <c r="H35" s="636" t="s">
        <v>883</v>
      </c>
      <c r="I35" s="636" t="s">
        <v>901</v>
      </c>
      <c r="J35" s="786">
        <v>39805</v>
      </c>
      <c r="K35" s="786">
        <v>39805</v>
      </c>
      <c r="L35" s="636" t="s">
        <v>879</v>
      </c>
      <c r="M35" s="636">
        <v>2014</v>
      </c>
      <c r="N35" s="636">
        <v>9062.9999999999982</v>
      </c>
      <c r="O35" s="636">
        <v>12947.142857142855</v>
      </c>
      <c r="P35" s="636">
        <v>25894.28571428571</v>
      </c>
      <c r="Q35" s="636">
        <v>0</v>
      </c>
      <c r="R35" s="636">
        <v>0</v>
      </c>
      <c r="S35" s="636">
        <v>0</v>
      </c>
      <c r="T35" s="636">
        <v>0</v>
      </c>
      <c r="U35" s="636">
        <v>0</v>
      </c>
      <c r="V35" s="636">
        <v>0</v>
      </c>
      <c r="W35" s="636">
        <v>0</v>
      </c>
      <c r="X35" s="636">
        <v>10</v>
      </c>
      <c r="Y35" s="636" t="s">
        <v>111</v>
      </c>
      <c r="Z35" s="638" t="s">
        <v>111</v>
      </c>
    </row>
    <row r="36" spans="1:26" s="590" customFormat="1" ht="38.25">
      <c r="A36" s="589"/>
      <c r="B36" s="787">
        <v>12035</v>
      </c>
      <c r="C36" s="787">
        <v>2860</v>
      </c>
      <c r="D36" s="637" t="s">
        <v>903</v>
      </c>
      <c r="E36" s="636" t="s">
        <v>904</v>
      </c>
      <c r="F36" s="636" t="s">
        <v>905</v>
      </c>
      <c r="G36" s="636" t="s">
        <v>877</v>
      </c>
      <c r="H36" s="636" t="s">
        <v>878</v>
      </c>
      <c r="I36" s="636" t="s">
        <v>904</v>
      </c>
      <c r="J36" s="786">
        <v>39834</v>
      </c>
      <c r="K36" s="786">
        <v>39834</v>
      </c>
      <c r="L36" s="636" t="s">
        <v>906</v>
      </c>
      <c r="M36" s="636">
        <v>773</v>
      </c>
      <c r="N36" s="636">
        <v>3478.5</v>
      </c>
      <c r="O36" s="636">
        <v>3913.3125</v>
      </c>
      <c r="P36" s="636">
        <v>0</v>
      </c>
      <c r="Q36" s="636">
        <v>0</v>
      </c>
      <c r="R36" s="636">
        <v>0</v>
      </c>
      <c r="S36" s="636">
        <v>2174.0625</v>
      </c>
      <c r="T36" s="636">
        <v>6522.1875</v>
      </c>
      <c r="U36" s="636">
        <v>0</v>
      </c>
      <c r="V36" s="636">
        <v>0</v>
      </c>
      <c r="W36" s="636">
        <v>0</v>
      </c>
      <c r="X36" s="636">
        <v>10</v>
      </c>
      <c r="Y36" s="636" t="s">
        <v>111</v>
      </c>
      <c r="Z36" s="638" t="s">
        <v>111</v>
      </c>
    </row>
    <row r="37" spans="1:26" s="590" customFormat="1" ht="25.5">
      <c r="A37" s="589"/>
      <c r="B37" s="787">
        <v>12035</v>
      </c>
      <c r="C37" s="787">
        <v>2861</v>
      </c>
      <c r="D37" s="637" t="s">
        <v>907</v>
      </c>
      <c r="E37" s="636" t="s">
        <v>908</v>
      </c>
      <c r="F37" s="636" t="s">
        <v>909</v>
      </c>
      <c r="G37" s="636" t="s">
        <v>877</v>
      </c>
      <c r="H37" s="636" t="s">
        <v>883</v>
      </c>
      <c r="I37" s="636" t="s">
        <v>910</v>
      </c>
      <c r="J37" s="786">
        <v>39910</v>
      </c>
      <c r="K37" s="786">
        <v>39910</v>
      </c>
      <c r="L37" s="636" t="s">
        <v>879</v>
      </c>
      <c r="M37" s="636">
        <v>1400</v>
      </c>
      <c r="N37" s="636">
        <v>6300</v>
      </c>
      <c r="O37" s="636">
        <v>9000</v>
      </c>
      <c r="P37" s="636">
        <v>18000</v>
      </c>
      <c r="Q37" s="636">
        <v>0</v>
      </c>
      <c r="R37" s="636">
        <v>0</v>
      </c>
      <c r="S37" s="636">
        <v>0</v>
      </c>
      <c r="T37" s="636">
        <v>0</v>
      </c>
      <c r="U37" s="636">
        <v>0</v>
      </c>
      <c r="V37" s="636">
        <v>0</v>
      </c>
      <c r="W37" s="636">
        <v>0</v>
      </c>
      <c r="X37" s="636">
        <v>10</v>
      </c>
      <c r="Y37" s="636" t="s">
        <v>111</v>
      </c>
      <c r="Z37" s="638" t="s">
        <v>111</v>
      </c>
    </row>
    <row r="38" spans="1:26" s="590" customFormat="1" ht="25.5">
      <c r="A38" s="589"/>
      <c r="B38" s="787">
        <v>12035</v>
      </c>
      <c r="C38" s="787">
        <v>2861</v>
      </c>
      <c r="D38" s="637" t="s">
        <v>911</v>
      </c>
      <c r="E38" s="636" t="s">
        <v>912</v>
      </c>
      <c r="F38" s="636" t="s">
        <v>913</v>
      </c>
      <c r="G38" s="636" t="s">
        <v>877</v>
      </c>
      <c r="H38" s="636" t="s">
        <v>883</v>
      </c>
      <c r="I38" s="636" t="s">
        <v>912</v>
      </c>
      <c r="J38" s="786">
        <v>40006</v>
      </c>
      <c r="K38" s="786">
        <v>40007</v>
      </c>
      <c r="L38" s="636" t="s">
        <v>879</v>
      </c>
      <c r="M38" s="636">
        <v>1562</v>
      </c>
      <c r="N38" s="636">
        <v>7029</v>
      </c>
      <c r="O38" s="636">
        <v>10041.428571428572</v>
      </c>
      <c r="P38" s="636">
        <v>20082.857142857145</v>
      </c>
      <c r="Q38" s="636">
        <v>0</v>
      </c>
      <c r="R38" s="636">
        <v>0</v>
      </c>
      <c r="S38" s="636">
        <v>0</v>
      </c>
      <c r="T38" s="636">
        <v>0</v>
      </c>
      <c r="U38" s="636">
        <v>0</v>
      </c>
      <c r="V38" s="636">
        <v>0</v>
      </c>
      <c r="W38" s="636">
        <v>0</v>
      </c>
      <c r="X38" s="636">
        <v>10</v>
      </c>
      <c r="Y38" s="636" t="s">
        <v>111</v>
      </c>
      <c r="Z38" s="638" t="s">
        <v>111</v>
      </c>
    </row>
    <row r="39" spans="1:26" s="590" customFormat="1" ht="25.5">
      <c r="A39" s="589"/>
      <c r="B39" s="787">
        <v>12035</v>
      </c>
      <c r="C39" s="787">
        <v>2860</v>
      </c>
      <c r="D39" s="637" t="s">
        <v>914</v>
      </c>
      <c r="E39" s="636" t="s">
        <v>915</v>
      </c>
      <c r="F39" s="636" t="s">
        <v>916</v>
      </c>
      <c r="G39" s="636" t="s">
        <v>877</v>
      </c>
      <c r="H39" s="636" t="s">
        <v>883</v>
      </c>
      <c r="I39" s="636" t="s">
        <v>915</v>
      </c>
      <c r="J39" s="786">
        <v>40058</v>
      </c>
      <c r="K39" s="786">
        <v>40058</v>
      </c>
      <c r="L39" s="636" t="s">
        <v>879</v>
      </c>
      <c r="M39" s="636">
        <v>2014</v>
      </c>
      <c r="N39" s="636">
        <v>9062.9999999999982</v>
      </c>
      <c r="O39" s="636">
        <v>12947.142857142855</v>
      </c>
      <c r="P39" s="636">
        <v>25894.28571428571</v>
      </c>
      <c r="Q39" s="636">
        <v>0</v>
      </c>
      <c r="R39" s="636">
        <v>0</v>
      </c>
      <c r="S39" s="636">
        <v>0</v>
      </c>
      <c r="T39" s="636">
        <v>0</v>
      </c>
      <c r="U39" s="636">
        <v>0</v>
      </c>
      <c r="V39" s="636">
        <v>0</v>
      </c>
      <c r="W39" s="636">
        <v>0</v>
      </c>
      <c r="X39" s="636">
        <v>10</v>
      </c>
      <c r="Y39" s="636" t="s">
        <v>111</v>
      </c>
      <c r="Z39" s="638" t="s">
        <v>111</v>
      </c>
    </row>
    <row r="40" spans="1:26" s="590" customFormat="1" ht="25.5">
      <c r="A40" s="589"/>
      <c r="B40" s="787">
        <v>12035</v>
      </c>
      <c r="C40" s="787">
        <v>2861</v>
      </c>
      <c r="D40" s="637" t="s">
        <v>917</v>
      </c>
      <c r="E40" s="636" t="s">
        <v>918</v>
      </c>
      <c r="F40" s="636" t="s">
        <v>919</v>
      </c>
      <c r="G40" s="636" t="s">
        <v>877</v>
      </c>
      <c r="H40" s="636" t="s">
        <v>883</v>
      </c>
      <c r="I40" s="636" t="s">
        <v>918</v>
      </c>
      <c r="J40" s="786">
        <v>40108</v>
      </c>
      <c r="K40" s="786">
        <v>40112</v>
      </c>
      <c r="L40" s="636" t="s">
        <v>879</v>
      </c>
      <c r="M40" s="636">
        <v>2014</v>
      </c>
      <c r="N40" s="636">
        <v>9062.9999999999982</v>
      </c>
      <c r="O40" s="636">
        <v>12947.142857142855</v>
      </c>
      <c r="P40" s="636">
        <v>25894.28571428571</v>
      </c>
      <c r="Q40" s="636">
        <v>0</v>
      </c>
      <c r="R40" s="636">
        <v>0</v>
      </c>
      <c r="S40" s="636">
        <v>0</v>
      </c>
      <c r="T40" s="636">
        <v>0</v>
      </c>
      <c r="U40" s="636">
        <v>0</v>
      </c>
      <c r="V40" s="636">
        <v>0</v>
      </c>
      <c r="W40" s="636">
        <v>0</v>
      </c>
      <c r="X40" s="636">
        <v>10</v>
      </c>
      <c r="Y40" s="636" t="s">
        <v>111</v>
      </c>
      <c r="Z40" s="638" t="s">
        <v>111</v>
      </c>
    </row>
    <row r="41" spans="1:26" s="590" customFormat="1" ht="25.5">
      <c r="A41" s="589"/>
      <c r="B41" s="787">
        <v>12035</v>
      </c>
      <c r="C41" s="787">
        <v>2860</v>
      </c>
      <c r="D41" s="637" t="s">
        <v>920</v>
      </c>
      <c r="E41" s="636" t="s">
        <v>921</v>
      </c>
      <c r="F41" s="636" t="s">
        <v>922</v>
      </c>
      <c r="G41" s="636" t="s">
        <v>877</v>
      </c>
      <c r="H41" s="636" t="s">
        <v>883</v>
      </c>
      <c r="I41" s="636" t="s">
        <v>923</v>
      </c>
      <c r="J41" s="786">
        <v>41985</v>
      </c>
      <c r="K41" s="786">
        <v>40193</v>
      </c>
      <c r="L41" s="636" t="s">
        <v>879</v>
      </c>
      <c r="M41" s="636">
        <v>2789</v>
      </c>
      <c r="N41" s="636">
        <v>12550.5</v>
      </c>
      <c r="O41" s="636">
        <v>17929.285714285714</v>
      </c>
      <c r="P41" s="636">
        <v>35858.571428571428</v>
      </c>
      <c r="Q41" s="636">
        <v>0</v>
      </c>
      <c r="R41" s="636">
        <v>0</v>
      </c>
      <c r="S41" s="636">
        <v>0</v>
      </c>
      <c r="T41" s="636">
        <v>0</v>
      </c>
      <c r="U41" s="636">
        <v>0</v>
      </c>
      <c r="V41" s="636">
        <v>0</v>
      </c>
      <c r="W41" s="636">
        <v>0</v>
      </c>
      <c r="X41" s="636">
        <v>10</v>
      </c>
      <c r="Y41" s="636" t="s">
        <v>111</v>
      </c>
      <c r="Z41" s="638" t="s">
        <v>111</v>
      </c>
    </row>
    <row r="42" spans="1:26" s="590" customFormat="1" ht="38.25">
      <c r="A42" s="589"/>
      <c r="B42" s="787">
        <v>12035</v>
      </c>
      <c r="C42" s="787">
        <v>2861</v>
      </c>
      <c r="D42" s="637" t="s">
        <v>924</v>
      </c>
      <c r="E42" s="636" t="s">
        <v>925</v>
      </c>
      <c r="F42" s="636" t="s">
        <v>926</v>
      </c>
      <c r="G42" s="636" t="s">
        <v>877</v>
      </c>
      <c r="H42" s="636" t="s">
        <v>878</v>
      </c>
      <c r="I42" s="636" t="s">
        <v>925</v>
      </c>
      <c r="J42" s="786">
        <v>40196</v>
      </c>
      <c r="K42" s="786">
        <v>40196</v>
      </c>
      <c r="L42" s="636" t="s">
        <v>879</v>
      </c>
      <c r="M42" s="636">
        <v>640</v>
      </c>
      <c r="N42" s="636">
        <v>2880</v>
      </c>
      <c r="O42" s="636">
        <v>3240</v>
      </c>
      <c r="P42" s="636">
        <v>0</v>
      </c>
      <c r="Q42" s="636">
        <v>0</v>
      </c>
      <c r="R42" s="636">
        <v>0</v>
      </c>
      <c r="S42" s="636">
        <v>1800</v>
      </c>
      <c r="T42" s="636">
        <v>5400</v>
      </c>
      <c r="U42" s="636">
        <v>0</v>
      </c>
      <c r="V42" s="636">
        <v>0</v>
      </c>
      <c r="W42" s="636">
        <v>0</v>
      </c>
      <c r="X42" s="636">
        <v>10</v>
      </c>
      <c r="Y42" s="636" t="s">
        <v>111</v>
      </c>
      <c r="Z42" s="638" t="s">
        <v>111</v>
      </c>
    </row>
    <row r="43" spans="1:26" s="590" customFormat="1" ht="38.25">
      <c r="A43" s="589"/>
      <c r="B43" s="787">
        <v>12035</v>
      </c>
      <c r="C43" s="787">
        <v>2860</v>
      </c>
      <c r="D43" s="637" t="s">
        <v>927</v>
      </c>
      <c r="E43" s="636" t="s">
        <v>928</v>
      </c>
      <c r="F43" s="636" t="s">
        <v>929</v>
      </c>
      <c r="G43" s="636" t="s">
        <v>877</v>
      </c>
      <c r="H43" s="636" t="s">
        <v>878</v>
      </c>
      <c r="I43" s="636" t="s">
        <v>928</v>
      </c>
      <c r="J43" s="786">
        <v>40315</v>
      </c>
      <c r="K43" s="786">
        <v>40315</v>
      </c>
      <c r="L43" s="636" t="s">
        <v>879</v>
      </c>
      <c r="M43" s="636">
        <v>1058</v>
      </c>
      <c r="N43" s="636">
        <v>4761</v>
      </c>
      <c r="O43" s="636">
        <v>5356.125</v>
      </c>
      <c r="P43" s="636">
        <v>0</v>
      </c>
      <c r="Q43" s="636">
        <v>0</v>
      </c>
      <c r="R43" s="636">
        <v>0</v>
      </c>
      <c r="S43" s="636">
        <v>2975.625</v>
      </c>
      <c r="T43" s="636">
        <v>8926.875</v>
      </c>
      <c r="U43" s="636">
        <v>0</v>
      </c>
      <c r="V43" s="636">
        <v>0</v>
      </c>
      <c r="W43" s="636">
        <v>0</v>
      </c>
      <c r="X43" s="636">
        <v>10</v>
      </c>
      <c r="Y43" s="636" t="s">
        <v>111</v>
      </c>
      <c r="Z43" s="638" t="s">
        <v>111</v>
      </c>
    </row>
    <row r="44" spans="1:26" s="590" customFormat="1" ht="25.5">
      <c r="A44" s="589"/>
      <c r="B44" s="787">
        <v>12035</v>
      </c>
      <c r="C44" s="787">
        <v>2860</v>
      </c>
      <c r="D44" s="637" t="s">
        <v>930</v>
      </c>
      <c r="E44" s="636" t="s">
        <v>931</v>
      </c>
      <c r="F44" s="636" t="s">
        <v>932</v>
      </c>
      <c r="G44" s="636" t="s">
        <v>877</v>
      </c>
      <c r="H44" s="636" t="s">
        <v>883</v>
      </c>
      <c r="I44" s="636" t="s">
        <v>931</v>
      </c>
      <c r="J44" s="786">
        <v>40396</v>
      </c>
      <c r="K44" s="786">
        <v>40399</v>
      </c>
      <c r="L44" s="636" t="s">
        <v>879</v>
      </c>
      <c r="M44" s="636">
        <v>1008</v>
      </c>
      <c r="N44" s="636">
        <v>4536</v>
      </c>
      <c r="O44" s="636">
        <v>6480</v>
      </c>
      <c r="P44" s="636">
        <v>12960</v>
      </c>
      <c r="Q44" s="636">
        <v>0</v>
      </c>
      <c r="R44" s="636">
        <v>0</v>
      </c>
      <c r="S44" s="636">
        <v>0</v>
      </c>
      <c r="T44" s="636">
        <v>0</v>
      </c>
      <c r="U44" s="636">
        <v>0</v>
      </c>
      <c r="V44" s="636">
        <v>0</v>
      </c>
      <c r="W44" s="636">
        <v>0</v>
      </c>
      <c r="X44" s="636">
        <v>10</v>
      </c>
      <c r="Y44" s="636" t="s">
        <v>111</v>
      </c>
      <c r="Z44" s="638" t="s">
        <v>111</v>
      </c>
    </row>
    <row r="45" spans="1:26" s="590" customFormat="1" ht="25.5">
      <c r="A45" s="589"/>
      <c r="B45" s="787">
        <v>12035</v>
      </c>
      <c r="C45" s="787">
        <v>2861</v>
      </c>
      <c r="D45" s="637" t="s">
        <v>933</v>
      </c>
      <c r="E45" s="636" t="s">
        <v>934</v>
      </c>
      <c r="F45" s="636" t="s">
        <v>935</v>
      </c>
      <c r="G45" s="636" t="s">
        <v>877</v>
      </c>
      <c r="H45" s="636" t="s">
        <v>883</v>
      </c>
      <c r="I45" s="636" t="s">
        <v>934</v>
      </c>
      <c r="J45" s="786">
        <v>40466</v>
      </c>
      <c r="K45" s="786">
        <v>40466</v>
      </c>
      <c r="L45" s="636" t="s">
        <v>879</v>
      </c>
      <c r="M45" s="636">
        <v>800</v>
      </c>
      <c r="N45" s="636">
        <v>3600</v>
      </c>
      <c r="O45" s="636">
        <v>5142.8571428571431</v>
      </c>
      <c r="P45" s="636">
        <v>10285.714285714286</v>
      </c>
      <c r="Q45" s="636">
        <v>0</v>
      </c>
      <c r="R45" s="636">
        <v>0</v>
      </c>
      <c r="S45" s="636">
        <v>0</v>
      </c>
      <c r="T45" s="636">
        <v>0</v>
      </c>
      <c r="U45" s="636">
        <v>0</v>
      </c>
      <c r="V45" s="636">
        <v>0</v>
      </c>
      <c r="W45" s="636">
        <v>0</v>
      </c>
      <c r="X45" s="636">
        <v>10</v>
      </c>
      <c r="Y45" s="636" t="s">
        <v>111</v>
      </c>
      <c r="Z45" s="638" t="s">
        <v>111</v>
      </c>
    </row>
    <row r="46" spans="1:26" s="590" customFormat="1" ht="38.25">
      <c r="A46" s="589"/>
      <c r="B46" s="787">
        <v>12035</v>
      </c>
      <c r="C46" s="787">
        <v>2861</v>
      </c>
      <c r="D46" s="637" t="s">
        <v>936</v>
      </c>
      <c r="E46" s="636" t="s">
        <v>937</v>
      </c>
      <c r="F46" s="636" t="s">
        <v>938</v>
      </c>
      <c r="G46" s="636" t="s">
        <v>877</v>
      </c>
      <c r="H46" s="636" t="s">
        <v>878</v>
      </c>
      <c r="I46" s="636" t="s">
        <v>937</v>
      </c>
      <c r="J46" s="786">
        <v>40477</v>
      </c>
      <c r="K46" s="786">
        <v>40477</v>
      </c>
      <c r="L46" s="636" t="s">
        <v>906</v>
      </c>
      <c r="M46" s="636">
        <v>528</v>
      </c>
      <c r="N46" s="636">
        <v>2376</v>
      </c>
      <c r="O46" s="636">
        <v>2673</v>
      </c>
      <c r="P46" s="636">
        <v>0</v>
      </c>
      <c r="Q46" s="636">
        <v>0</v>
      </c>
      <c r="R46" s="636">
        <v>0</v>
      </c>
      <c r="S46" s="636">
        <v>1485</v>
      </c>
      <c r="T46" s="636">
        <v>4455</v>
      </c>
      <c r="U46" s="636">
        <v>0</v>
      </c>
      <c r="V46" s="636">
        <v>0</v>
      </c>
      <c r="W46" s="636">
        <v>0</v>
      </c>
      <c r="X46" s="636">
        <v>10</v>
      </c>
      <c r="Y46" s="636" t="s">
        <v>111</v>
      </c>
      <c r="Z46" s="638" t="s">
        <v>111</v>
      </c>
    </row>
    <row r="47" spans="1:26" s="590" customFormat="1" ht="25.5">
      <c r="A47" s="589"/>
      <c r="B47" s="787">
        <v>12035</v>
      </c>
      <c r="C47" s="787">
        <v>2861</v>
      </c>
      <c r="D47" s="637" t="s">
        <v>907</v>
      </c>
      <c r="E47" s="636" t="s">
        <v>908</v>
      </c>
      <c r="F47" s="636" t="s">
        <v>939</v>
      </c>
      <c r="G47" s="636" t="s">
        <v>877</v>
      </c>
      <c r="H47" s="636" t="s">
        <v>883</v>
      </c>
      <c r="I47" s="636" t="s">
        <v>940</v>
      </c>
      <c r="J47" s="786">
        <v>40472</v>
      </c>
      <c r="K47" s="786">
        <v>40478</v>
      </c>
      <c r="L47" s="636" t="s">
        <v>879</v>
      </c>
      <c r="M47" s="636">
        <v>2040</v>
      </c>
      <c r="N47" s="636">
        <v>9180</v>
      </c>
      <c r="O47" s="636">
        <v>13114.285714285714</v>
      </c>
      <c r="P47" s="636">
        <v>26228.571428571431</v>
      </c>
      <c r="Q47" s="636">
        <v>0</v>
      </c>
      <c r="R47" s="636">
        <v>0</v>
      </c>
      <c r="S47" s="636">
        <v>0</v>
      </c>
      <c r="T47" s="636">
        <v>0</v>
      </c>
      <c r="U47" s="636">
        <v>0</v>
      </c>
      <c r="V47" s="636">
        <v>0</v>
      </c>
      <c r="W47" s="636">
        <v>0</v>
      </c>
      <c r="X47" s="636">
        <v>10</v>
      </c>
      <c r="Y47" s="636" t="s">
        <v>111</v>
      </c>
      <c r="Z47" s="638" t="s">
        <v>111</v>
      </c>
    </row>
    <row r="48" spans="1:26" s="590" customFormat="1" ht="25.5">
      <c r="A48" s="589"/>
      <c r="B48" s="787">
        <v>12035</v>
      </c>
      <c r="C48" s="787">
        <v>2860</v>
      </c>
      <c r="D48" s="637" t="s">
        <v>941</v>
      </c>
      <c r="E48" s="636" t="s">
        <v>942</v>
      </c>
      <c r="F48" s="636" t="s">
        <v>943</v>
      </c>
      <c r="G48" s="636" t="s">
        <v>877</v>
      </c>
      <c r="H48" s="636" t="s">
        <v>883</v>
      </c>
      <c r="I48" s="636" t="s">
        <v>942</v>
      </c>
      <c r="J48" s="786">
        <v>40480</v>
      </c>
      <c r="K48" s="786">
        <v>40480</v>
      </c>
      <c r="L48" s="636" t="s">
        <v>879</v>
      </c>
      <c r="M48" s="636">
        <v>2014</v>
      </c>
      <c r="N48" s="636">
        <v>9062.9999999999982</v>
      </c>
      <c r="O48" s="636">
        <v>12947.142857142855</v>
      </c>
      <c r="P48" s="636">
        <v>25894.28571428571</v>
      </c>
      <c r="Q48" s="636">
        <v>0</v>
      </c>
      <c r="R48" s="636">
        <v>0</v>
      </c>
      <c r="S48" s="636">
        <v>0</v>
      </c>
      <c r="T48" s="636">
        <v>0</v>
      </c>
      <c r="U48" s="636">
        <v>0</v>
      </c>
      <c r="V48" s="636">
        <v>0</v>
      </c>
      <c r="W48" s="636">
        <v>0</v>
      </c>
      <c r="X48" s="636">
        <v>10</v>
      </c>
      <c r="Y48" s="636" t="s">
        <v>111</v>
      </c>
      <c r="Z48" s="638" t="s">
        <v>111</v>
      </c>
    </row>
    <row r="49" spans="1:26" s="590" customFormat="1" ht="38.25">
      <c r="A49" s="589"/>
      <c r="B49" s="787">
        <v>12035</v>
      </c>
      <c r="C49" s="787">
        <v>2860</v>
      </c>
      <c r="D49" s="637" t="s">
        <v>944</v>
      </c>
      <c r="E49" s="636" t="s">
        <v>945</v>
      </c>
      <c r="F49" s="636" t="s">
        <v>946</v>
      </c>
      <c r="G49" s="636" t="s">
        <v>877</v>
      </c>
      <c r="H49" s="636" t="s">
        <v>883</v>
      </c>
      <c r="I49" s="636" t="s">
        <v>945</v>
      </c>
      <c r="J49" s="786">
        <v>40422</v>
      </c>
      <c r="K49" s="786">
        <v>40664</v>
      </c>
      <c r="L49" s="636" t="s">
        <v>879</v>
      </c>
      <c r="M49" s="636">
        <v>265</v>
      </c>
      <c r="N49" s="636">
        <v>1192.5</v>
      </c>
      <c r="O49" s="636">
        <v>1703.5714285714287</v>
      </c>
      <c r="P49" s="636">
        <v>3407.1428571428573</v>
      </c>
      <c r="Q49" s="636">
        <v>0</v>
      </c>
      <c r="R49" s="636">
        <v>0</v>
      </c>
      <c r="S49" s="636">
        <v>0</v>
      </c>
      <c r="T49" s="636">
        <v>0</v>
      </c>
      <c r="U49" s="636">
        <v>0</v>
      </c>
      <c r="V49" s="636">
        <v>0</v>
      </c>
      <c r="W49" s="636">
        <v>0</v>
      </c>
      <c r="X49" s="636">
        <v>10</v>
      </c>
      <c r="Y49" s="636" t="s">
        <v>111</v>
      </c>
      <c r="Z49" s="638" t="s">
        <v>111</v>
      </c>
    </row>
    <row r="50" spans="1:26" s="590" customFormat="1" ht="25.5">
      <c r="A50" s="589"/>
      <c r="B50" s="787">
        <v>12035</v>
      </c>
      <c r="C50" s="787">
        <v>2860</v>
      </c>
      <c r="D50" s="637" t="s">
        <v>947</v>
      </c>
      <c r="E50" s="636" t="s">
        <v>948</v>
      </c>
      <c r="F50" s="636" t="s">
        <v>949</v>
      </c>
      <c r="G50" s="636" t="s">
        <v>877</v>
      </c>
      <c r="H50" s="636" t="s">
        <v>883</v>
      </c>
      <c r="I50" s="636" t="s">
        <v>948</v>
      </c>
      <c r="J50" s="786">
        <v>40784</v>
      </c>
      <c r="K50" s="786">
        <v>40784</v>
      </c>
      <c r="L50" s="636" t="s">
        <v>879</v>
      </c>
      <c r="M50" s="636">
        <v>1160</v>
      </c>
      <c r="N50" s="636">
        <v>5220</v>
      </c>
      <c r="O50" s="636">
        <v>7457.1428571428569</v>
      </c>
      <c r="P50" s="636">
        <v>14914.285714285716</v>
      </c>
      <c r="Q50" s="636">
        <v>0</v>
      </c>
      <c r="R50" s="636">
        <v>0</v>
      </c>
      <c r="S50" s="636">
        <v>0</v>
      </c>
      <c r="T50" s="636">
        <v>0</v>
      </c>
      <c r="U50" s="636">
        <v>0</v>
      </c>
      <c r="V50" s="636">
        <v>0</v>
      </c>
      <c r="W50" s="636">
        <v>0</v>
      </c>
      <c r="X50" s="636">
        <v>10</v>
      </c>
      <c r="Y50" s="636" t="s">
        <v>111</v>
      </c>
      <c r="Z50" s="638" t="s">
        <v>111</v>
      </c>
    </row>
    <row r="51" spans="1:26" s="590" customFormat="1" ht="25.5">
      <c r="A51" s="589"/>
      <c r="B51" s="787">
        <v>12035</v>
      </c>
      <c r="C51" s="787">
        <v>2861</v>
      </c>
      <c r="D51" s="637" t="s">
        <v>950</v>
      </c>
      <c r="E51" s="636" t="s">
        <v>951</v>
      </c>
      <c r="F51" s="636" t="s">
        <v>952</v>
      </c>
      <c r="G51" s="636" t="s">
        <v>877</v>
      </c>
      <c r="H51" s="636" t="s">
        <v>883</v>
      </c>
      <c r="I51" s="636" t="s">
        <v>951</v>
      </c>
      <c r="J51" s="786">
        <v>40858</v>
      </c>
      <c r="K51" s="786">
        <v>41000</v>
      </c>
      <c r="L51" s="636" t="s">
        <v>879</v>
      </c>
      <c r="M51" s="636">
        <v>9</v>
      </c>
      <c r="N51" s="636">
        <v>40.5</v>
      </c>
      <c r="O51" s="636">
        <v>57.857142857142861</v>
      </c>
      <c r="P51" s="636">
        <v>0</v>
      </c>
      <c r="Q51" s="636">
        <v>0</v>
      </c>
      <c r="R51" s="636">
        <v>0</v>
      </c>
      <c r="S51" s="636">
        <v>0</v>
      </c>
      <c r="T51" s="636">
        <v>0</v>
      </c>
      <c r="U51" s="636">
        <v>0</v>
      </c>
      <c r="V51" s="636">
        <v>115.71428571428572</v>
      </c>
      <c r="W51" s="636">
        <v>0</v>
      </c>
      <c r="X51" s="636">
        <v>10</v>
      </c>
      <c r="Y51" s="636" t="s">
        <v>111</v>
      </c>
      <c r="Z51" s="638" t="s">
        <v>111</v>
      </c>
    </row>
    <row r="52" spans="1:26" s="590" customFormat="1" ht="25.5">
      <c r="A52" s="589"/>
      <c r="B52" s="787">
        <v>12035</v>
      </c>
      <c r="C52" s="787">
        <v>2861</v>
      </c>
      <c r="D52" s="637" t="s">
        <v>953</v>
      </c>
      <c r="E52" s="636" t="s">
        <v>954</v>
      </c>
      <c r="F52" s="636" t="s">
        <v>955</v>
      </c>
      <c r="G52" s="636" t="s">
        <v>877</v>
      </c>
      <c r="H52" s="636" t="s">
        <v>883</v>
      </c>
      <c r="I52" s="636" t="s">
        <v>954</v>
      </c>
      <c r="J52" s="786">
        <v>41031</v>
      </c>
      <c r="K52" s="786">
        <v>41031</v>
      </c>
      <c r="L52" s="636" t="s">
        <v>879</v>
      </c>
      <c r="M52" s="636">
        <v>1200</v>
      </c>
      <c r="N52" s="636">
        <v>5400</v>
      </c>
      <c r="O52" s="636">
        <v>7714.2857142857147</v>
      </c>
      <c r="P52" s="636">
        <v>15428.571428571429</v>
      </c>
      <c r="Q52" s="636">
        <v>0</v>
      </c>
      <c r="R52" s="636">
        <v>0</v>
      </c>
      <c r="S52" s="636">
        <v>0</v>
      </c>
      <c r="T52" s="636">
        <v>0</v>
      </c>
      <c r="U52" s="636">
        <v>0</v>
      </c>
      <c r="V52" s="636">
        <v>0</v>
      </c>
      <c r="W52" s="636">
        <v>0</v>
      </c>
      <c r="X52" s="636">
        <v>1300</v>
      </c>
      <c r="Y52" s="636" t="s">
        <v>53</v>
      </c>
      <c r="Z52" s="638" t="s">
        <v>155</v>
      </c>
    </row>
    <row r="53" spans="1:26" s="590" customFormat="1" ht="25.5">
      <c r="A53" s="589"/>
      <c r="B53" s="787">
        <v>12035</v>
      </c>
      <c r="C53" s="787">
        <v>2861</v>
      </c>
      <c r="D53" s="637" t="s">
        <v>956</v>
      </c>
      <c r="E53" s="636" t="s">
        <v>925</v>
      </c>
      <c r="F53" s="636" t="s">
        <v>957</v>
      </c>
      <c r="G53" s="636" t="s">
        <v>877</v>
      </c>
      <c r="H53" s="636" t="s">
        <v>883</v>
      </c>
      <c r="I53" s="636" t="s">
        <v>925</v>
      </c>
      <c r="J53" s="786">
        <v>41033</v>
      </c>
      <c r="K53" s="786">
        <v>41033</v>
      </c>
      <c r="L53" s="636" t="s">
        <v>879</v>
      </c>
      <c r="M53" s="636">
        <v>800</v>
      </c>
      <c r="N53" s="636">
        <v>3600</v>
      </c>
      <c r="O53" s="636">
        <v>5142.8571428571431</v>
      </c>
      <c r="P53" s="636">
        <v>10285.714285714286</v>
      </c>
      <c r="Q53" s="636">
        <v>0</v>
      </c>
      <c r="R53" s="636">
        <v>0</v>
      </c>
      <c r="S53" s="636">
        <v>0</v>
      </c>
      <c r="T53" s="636">
        <v>0</v>
      </c>
      <c r="U53" s="636">
        <v>0</v>
      </c>
      <c r="V53" s="636">
        <v>0</v>
      </c>
      <c r="W53" s="636">
        <v>0</v>
      </c>
      <c r="X53" s="636">
        <v>10</v>
      </c>
      <c r="Y53" s="636" t="s">
        <v>111</v>
      </c>
      <c r="Z53" s="638" t="s">
        <v>111</v>
      </c>
    </row>
    <row r="54" spans="1:26" s="590" customFormat="1" ht="25.5">
      <c r="A54" s="589"/>
      <c r="B54" s="787">
        <v>12035</v>
      </c>
      <c r="C54" s="787">
        <v>2860</v>
      </c>
      <c r="D54" s="637" t="s">
        <v>958</v>
      </c>
      <c r="E54" s="636" t="s">
        <v>959</v>
      </c>
      <c r="F54" s="636" t="s">
        <v>960</v>
      </c>
      <c r="G54" s="636" t="s">
        <v>877</v>
      </c>
      <c r="H54" s="636" t="s">
        <v>883</v>
      </c>
      <c r="I54" s="636" t="s">
        <v>961</v>
      </c>
      <c r="J54" s="786">
        <v>42118</v>
      </c>
      <c r="K54" s="786">
        <v>42118</v>
      </c>
      <c r="L54" s="636" t="s">
        <v>879</v>
      </c>
      <c r="M54" s="636">
        <v>4000</v>
      </c>
      <c r="N54" s="636">
        <v>18000</v>
      </c>
      <c r="O54" s="636">
        <v>25714.285714285714</v>
      </c>
      <c r="P54" s="636">
        <v>51428.571428571435</v>
      </c>
      <c r="Q54" s="636">
        <v>0</v>
      </c>
      <c r="R54" s="636">
        <v>0</v>
      </c>
      <c r="S54" s="636">
        <v>0</v>
      </c>
      <c r="T54" s="636">
        <v>0</v>
      </c>
      <c r="U54" s="636">
        <v>0</v>
      </c>
      <c r="V54" s="636">
        <v>0</v>
      </c>
      <c r="W54" s="636">
        <v>0</v>
      </c>
      <c r="X54" s="636">
        <v>10</v>
      </c>
      <c r="Y54" s="636" t="s">
        <v>111</v>
      </c>
      <c r="Z54" s="638" t="s">
        <v>111</v>
      </c>
    </row>
    <row r="55" spans="1:26" s="590" customFormat="1" ht="51">
      <c r="A55" s="589"/>
      <c r="B55" s="787">
        <v>12035</v>
      </c>
      <c r="C55" s="787">
        <v>2860</v>
      </c>
      <c r="D55" s="637" t="s">
        <v>962</v>
      </c>
      <c r="E55" s="636" t="s">
        <v>963</v>
      </c>
      <c r="F55" s="636" t="s">
        <v>964</v>
      </c>
      <c r="G55" s="636" t="s">
        <v>877</v>
      </c>
      <c r="H55" s="636" t="s">
        <v>883</v>
      </c>
      <c r="I55" s="636" t="s">
        <v>963</v>
      </c>
      <c r="J55" s="786">
        <v>42101</v>
      </c>
      <c r="K55" s="786">
        <v>42073</v>
      </c>
      <c r="L55" s="636" t="s">
        <v>879</v>
      </c>
      <c r="M55" s="636">
        <v>70</v>
      </c>
      <c r="N55" s="636">
        <v>315.00000000000006</v>
      </c>
      <c r="O55" s="636">
        <v>450.00000000000011</v>
      </c>
      <c r="P55" s="636">
        <v>900.00000000000023</v>
      </c>
      <c r="Q55" s="636">
        <v>0</v>
      </c>
      <c r="R55" s="636">
        <v>0</v>
      </c>
      <c r="S55" s="636">
        <v>0</v>
      </c>
      <c r="T55" s="636">
        <v>0</v>
      </c>
      <c r="U55" s="636">
        <v>0</v>
      </c>
      <c r="V55" s="636">
        <v>0</v>
      </c>
      <c r="W55" s="636">
        <v>0</v>
      </c>
      <c r="X55" s="636">
        <v>1500</v>
      </c>
      <c r="Y55" s="636" t="s">
        <v>50</v>
      </c>
      <c r="Z55" s="638" t="s">
        <v>155</v>
      </c>
    </row>
    <row r="56" spans="1:26" s="590" customFormat="1" ht="25.5">
      <c r="A56" s="589"/>
      <c r="B56" s="787">
        <v>12035</v>
      </c>
      <c r="C56" s="787">
        <v>2860</v>
      </c>
      <c r="D56" s="637" t="s">
        <v>965</v>
      </c>
      <c r="E56" s="636"/>
      <c r="F56" s="636" t="s">
        <v>966</v>
      </c>
      <c r="G56" s="636" t="s">
        <v>967</v>
      </c>
      <c r="H56" s="636" t="s">
        <v>883</v>
      </c>
      <c r="I56" s="636" t="s">
        <v>968</v>
      </c>
      <c r="J56" s="786">
        <v>42803</v>
      </c>
      <c r="K56" s="786">
        <v>42809</v>
      </c>
      <c r="L56" s="636" t="s">
        <v>887</v>
      </c>
      <c r="M56" s="636">
        <v>1500</v>
      </c>
      <c r="N56" s="636">
        <v>6750</v>
      </c>
      <c r="O56" s="636">
        <v>9642.8571428571431</v>
      </c>
      <c r="P56" s="636">
        <v>19285.714285714286</v>
      </c>
      <c r="Q56" s="636">
        <v>0</v>
      </c>
      <c r="R56" s="636">
        <v>0</v>
      </c>
      <c r="S56" s="636">
        <v>0</v>
      </c>
      <c r="T56" s="636">
        <v>0</v>
      </c>
      <c r="U56" s="636">
        <v>0</v>
      </c>
      <c r="V56" s="636">
        <v>0</v>
      </c>
      <c r="W56" s="636">
        <v>0</v>
      </c>
      <c r="X56" s="636">
        <v>10</v>
      </c>
      <c r="Y56" s="636" t="s">
        <v>111</v>
      </c>
      <c r="Z56" s="638" t="s">
        <v>111</v>
      </c>
    </row>
    <row r="57" spans="1:26" s="590" customFormat="1" ht="12.75">
      <c r="A57" s="589"/>
      <c r="B57" s="787">
        <v>12035</v>
      </c>
      <c r="C57" s="787">
        <v>2860</v>
      </c>
      <c r="D57" s="637" t="s">
        <v>969</v>
      </c>
      <c r="E57" s="636"/>
      <c r="F57" s="636" t="s">
        <v>970</v>
      </c>
      <c r="G57" s="636" t="s">
        <v>971</v>
      </c>
      <c r="H57" s="636" t="s">
        <v>972</v>
      </c>
      <c r="I57" s="636" t="s">
        <v>973</v>
      </c>
      <c r="J57" s="786">
        <v>43083</v>
      </c>
      <c r="K57" s="786">
        <v>43083</v>
      </c>
      <c r="L57" s="636" t="s">
        <v>887</v>
      </c>
      <c r="M57" s="636">
        <v>3.4</v>
      </c>
      <c r="N57" s="636">
        <v>17</v>
      </c>
      <c r="O57" s="636">
        <v>24.351351351351351</v>
      </c>
      <c r="P57" s="636">
        <v>45.945945945945944</v>
      </c>
      <c r="Q57" s="636">
        <v>0</v>
      </c>
      <c r="R57" s="636">
        <v>0</v>
      </c>
      <c r="S57" s="636">
        <v>0</v>
      </c>
      <c r="T57" s="636">
        <v>0</v>
      </c>
      <c r="U57" s="636">
        <v>0</v>
      </c>
      <c r="V57" s="636">
        <v>0</v>
      </c>
      <c r="W57" s="636">
        <v>0</v>
      </c>
      <c r="X57" s="636">
        <v>1200</v>
      </c>
      <c r="Y57" s="636" t="s">
        <v>52</v>
      </c>
      <c r="Z57" s="638" t="s">
        <v>155</v>
      </c>
    </row>
    <row r="58" spans="1:26" s="570" customFormat="1">
      <c r="A58" s="592" t="s">
        <v>275</v>
      </c>
      <c r="B58" s="593"/>
      <c r="C58" s="593"/>
      <c r="D58" s="593"/>
      <c r="E58" s="593"/>
      <c r="F58" s="593"/>
      <c r="G58" s="593"/>
      <c r="H58" s="593"/>
      <c r="I58" s="593"/>
      <c r="J58" s="593"/>
      <c r="K58" s="593"/>
      <c r="L58" s="594"/>
      <c r="M58" s="594">
        <f>SUM(M28:M57)</f>
        <v>43313.4</v>
      </c>
      <c r="N58" s="594">
        <f>SUM(N28:N57)</f>
        <v>189831.5</v>
      </c>
      <c r="O58" s="594">
        <f>SUM(O28:O57)</f>
        <v>267091.07456563698</v>
      </c>
      <c r="P58" s="594">
        <f>SUM(P28:P57)</f>
        <v>503698.8030888029</v>
      </c>
      <c r="Q58" s="594">
        <f>SUM(Q28:Q57)</f>
        <v>0</v>
      </c>
      <c r="R58" s="594">
        <f>SUM(R28:R57)</f>
        <v>0</v>
      </c>
      <c r="S58" s="594">
        <f>SUM(S28:S57)</f>
        <v>8434.6875</v>
      </c>
      <c r="T58" s="594">
        <f>SUM(T28:T57)</f>
        <v>25304.0625</v>
      </c>
      <c r="U58" s="594">
        <f>SUM(U28:U57)</f>
        <v>0</v>
      </c>
      <c r="V58" s="594">
        <f>SUM(V28:V57)</f>
        <v>115.71428571428572</v>
      </c>
      <c r="W58" s="594">
        <f>SUM(W28:W57)</f>
        <v>0</v>
      </c>
      <c r="X58" s="595"/>
      <c r="Y58" s="595"/>
      <c r="Z58" s="596"/>
    </row>
    <row r="59" spans="1:26" s="570" customFormat="1">
      <c r="A59" s="592" t="s">
        <v>282</v>
      </c>
      <c r="B59" s="593"/>
      <c r="C59" s="593"/>
      <c r="D59" s="593"/>
      <c r="E59" s="593"/>
      <c r="F59" s="593"/>
      <c r="G59" s="593"/>
      <c r="H59" s="593"/>
      <c r="I59" s="593"/>
      <c r="J59" s="593"/>
      <c r="K59" s="593"/>
      <c r="L59" s="594"/>
      <c r="M59" s="594">
        <f>SUMIF($Z$28:$Z$57,"industrie",M28:M57)</f>
        <v>0</v>
      </c>
      <c r="N59" s="594">
        <f>SUMIF($Z$28:$Z$57,"industrie",N28:N57)</f>
        <v>0</v>
      </c>
      <c r="O59" s="594">
        <f>SUMIF($Z$28:$Z$57,"industrie",O28:O57)</f>
        <v>0</v>
      </c>
      <c r="P59" s="594">
        <f>SUMIF($Z$28:$Z$57,"industrie",P28:P57)</f>
        <v>0</v>
      </c>
      <c r="Q59" s="594">
        <f>SUMIF($Z$28:$Z$57,"industrie",Q28:Q57)</f>
        <v>0</v>
      </c>
      <c r="R59" s="594">
        <f>SUMIF($Z$28:$Z$57,"industrie",R28:R57)</f>
        <v>0</v>
      </c>
      <c r="S59" s="594">
        <f>SUMIF($Z$28:$Z$57,"industrie",S28:S57)</f>
        <v>0</v>
      </c>
      <c r="T59" s="594">
        <f>SUMIF($Z$28:$Z$57,"industrie",T28:T57)</f>
        <v>0</v>
      </c>
      <c r="U59" s="594">
        <f>SUMIF($Z$28:$Z$57,"industrie",U28:U57)</f>
        <v>0</v>
      </c>
      <c r="V59" s="594">
        <f>SUMIF($Z$28:$Z$57,"industrie",V28:V57)</f>
        <v>0</v>
      </c>
      <c r="W59" s="594">
        <f>SUMIF($Z$28:$Z$57,"industrie",W28:W57)</f>
        <v>0</v>
      </c>
      <c r="X59" s="595"/>
      <c r="Y59" s="595"/>
      <c r="Z59" s="596"/>
    </row>
    <row r="60" spans="1:26" s="570" customFormat="1">
      <c r="A60" s="592" t="s">
        <v>283</v>
      </c>
      <c r="B60" s="593"/>
      <c r="C60" s="593"/>
      <c r="D60" s="593"/>
      <c r="E60" s="593"/>
      <c r="F60" s="593"/>
      <c r="G60" s="593"/>
      <c r="H60" s="593"/>
      <c r="I60" s="593"/>
      <c r="J60" s="593"/>
      <c r="K60" s="593"/>
      <c r="L60" s="594"/>
      <c r="M60" s="594">
        <f ca="1">SUMIF($Z$28:AC57,"tertiair",M28:M57)</f>
        <v>1273.4000000000001</v>
      </c>
      <c r="N60" s="594">
        <f ca="1">SUMIF($Z$28:AD57,"tertiair",N28:N57)</f>
        <v>5732</v>
      </c>
      <c r="O60" s="594">
        <f ca="1">SUMIF($Z$28:AE57,"tertiair",O28:O57)</f>
        <v>8188.6370656370664</v>
      </c>
      <c r="P60" s="594">
        <f ca="1">SUMIF($Z$28:AF57,"tertiair",P28:P57)</f>
        <v>16374.517374517376</v>
      </c>
      <c r="Q60" s="594">
        <f ca="1">SUMIF($Z$28:AG57,"tertiair",Q28:Q57)</f>
        <v>0</v>
      </c>
      <c r="R60" s="594">
        <f ca="1">SUMIF($Z$28:AH57,"tertiair",R28:R57)</f>
        <v>0</v>
      </c>
      <c r="S60" s="594">
        <f ca="1">SUMIF($Z$28:AI57,"tertiair",S28:S57)</f>
        <v>0</v>
      </c>
      <c r="T60" s="594">
        <f ca="1">SUMIF($Z$28:AJ57,"tertiair",T28:T57)</f>
        <v>0</v>
      </c>
      <c r="U60" s="594">
        <f ca="1">SUMIF($Z$28:AK57,"tertiair",U28:U57)</f>
        <v>0</v>
      </c>
      <c r="V60" s="594">
        <f ca="1">SUMIF($Z$28:AL57,"tertiair",V28:V57)</f>
        <v>0</v>
      </c>
      <c r="W60" s="594">
        <f ca="1">SUMIF($Z$28:AM57,"tertiair",W28:W57)</f>
        <v>0</v>
      </c>
      <c r="X60" s="595"/>
      <c r="Y60" s="595"/>
      <c r="Z60" s="596"/>
    </row>
    <row r="61" spans="1:26" s="570" customFormat="1" ht="15.75" thickBot="1">
      <c r="A61" s="597" t="s">
        <v>284</v>
      </c>
      <c r="B61" s="598"/>
      <c r="C61" s="598"/>
      <c r="D61" s="598"/>
      <c r="E61" s="598"/>
      <c r="F61" s="598"/>
      <c r="G61" s="598"/>
      <c r="H61" s="598"/>
      <c r="I61" s="598"/>
      <c r="J61" s="598"/>
      <c r="K61" s="598"/>
      <c r="L61" s="599"/>
      <c r="M61" s="599">
        <f>SUMIF($Z$28:$Z$57,"landbouw",M28:M57)</f>
        <v>42040</v>
      </c>
      <c r="N61" s="599">
        <f>SUMIF($Z$28:$Z$57,"landbouw",N28:N57)</f>
        <v>184099.5</v>
      </c>
      <c r="O61" s="599">
        <f>SUMIF($Z$28:$Z$57,"landbouw",O28:O57)</f>
        <v>258902.43749999991</v>
      </c>
      <c r="P61" s="599">
        <f>SUMIF($Z$28:$Z$57,"landbouw",P28:P57)</f>
        <v>487324.28571428556</v>
      </c>
      <c r="Q61" s="599">
        <f>SUMIF($Z$28:$Z$57,"landbouw",Q28:Q57)</f>
        <v>0</v>
      </c>
      <c r="R61" s="599">
        <f>SUMIF($Z$28:$Z$57,"landbouw",R28:R57)</f>
        <v>0</v>
      </c>
      <c r="S61" s="599">
        <f>SUMIF($Z$28:$Z$57,"landbouw",S28:S57)</f>
        <v>8434.6875</v>
      </c>
      <c r="T61" s="599">
        <f>SUMIF($Z$28:$Z$57,"landbouw",T28:T57)</f>
        <v>25304.0625</v>
      </c>
      <c r="U61" s="599">
        <f>SUMIF($Z$28:$Z$57,"landbouw",U28:U57)</f>
        <v>0</v>
      </c>
      <c r="V61" s="599">
        <f>SUMIF($Z$28:$Z$57,"landbouw",V28:V57)</f>
        <v>115.71428571428572</v>
      </c>
      <c r="W61" s="599">
        <f>SUMIF($Z$28:$Z$57,"landbouw",W28:W57)</f>
        <v>0</v>
      </c>
      <c r="X61" s="600"/>
      <c r="Y61" s="600"/>
      <c r="Z61" s="601"/>
    </row>
    <row r="62" spans="1:26" s="531" customFormat="1" ht="15.75" thickBot="1">
      <c r="A62" s="602"/>
      <c r="B62" s="603"/>
      <c r="C62" s="603"/>
      <c r="D62" s="603"/>
      <c r="E62" s="603"/>
      <c r="F62" s="603"/>
      <c r="G62" s="603"/>
      <c r="H62" s="603"/>
      <c r="I62" s="603"/>
      <c r="J62" s="603"/>
      <c r="K62" s="603"/>
      <c r="L62" s="586"/>
      <c r="M62" s="586"/>
      <c r="N62" s="586"/>
      <c r="O62" s="587"/>
      <c r="P62" s="587"/>
    </row>
    <row r="63" spans="1:26" s="531" customFormat="1" ht="45">
      <c r="A63" s="604" t="s">
        <v>276</v>
      </c>
      <c r="B63" s="633" t="s">
        <v>89</v>
      </c>
      <c r="C63" s="633" t="s">
        <v>90</v>
      </c>
      <c r="D63" s="633" t="s">
        <v>91</v>
      </c>
      <c r="E63" s="633" t="s">
        <v>92</v>
      </c>
      <c r="F63" s="633" t="s">
        <v>93</v>
      </c>
      <c r="G63" s="633" t="s">
        <v>94</v>
      </c>
      <c r="H63" s="633" t="s">
        <v>95</v>
      </c>
      <c r="I63" s="633" t="s">
        <v>96</v>
      </c>
      <c r="J63" s="633" t="s">
        <v>97</v>
      </c>
      <c r="K63" s="633" t="s">
        <v>98</v>
      </c>
      <c r="L63" s="633" t="s">
        <v>99</v>
      </c>
      <c r="M63" s="634" t="s">
        <v>293</v>
      </c>
      <c r="N63" s="634" t="s">
        <v>100</v>
      </c>
      <c r="O63" s="634" t="s">
        <v>101</v>
      </c>
      <c r="P63" s="634" t="s">
        <v>517</v>
      </c>
      <c r="Q63" s="634" t="s">
        <v>102</v>
      </c>
      <c r="R63" s="634" t="s">
        <v>103</v>
      </c>
      <c r="S63" s="634" t="s">
        <v>104</v>
      </c>
      <c r="T63" s="634" t="s">
        <v>105</v>
      </c>
      <c r="U63" s="634" t="s">
        <v>106</v>
      </c>
      <c r="V63" s="634" t="s">
        <v>107</v>
      </c>
      <c r="W63" s="633" t="s">
        <v>108</v>
      </c>
      <c r="X63" s="633" t="s">
        <v>294</v>
      </c>
      <c r="Y63" s="633" t="s">
        <v>109</v>
      </c>
      <c r="Z63" s="635" t="s">
        <v>295</v>
      </c>
    </row>
    <row r="64" spans="1:26" s="605" customFormat="1" ht="12.75">
      <c r="A64" s="591"/>
      <c r="B64" s="787"/>
      <c r="C64" s="787"/>
      <c r="D64" s="639"/>
      <c r="E64" s="639"/>
      <c r="F64" s="639"/>
      <c r="G64" s="639"/>
      <c r="H64" s="639"/>
      <c r="I64" s="639"/>
      <c r="J64" s="786"/>
      <c r="K64" s="786"/>
      <c r="L64" s="639"/>
      <c r="M64" s="639"/>
      <c r="N64" s="639"/>
      <c r="O64" s="639"/>
      <c r="P64" s="639"/>
      <c r="Q64" s="639"/>
      <c r="R64" s="639"/>
      <c r="S64" s="639"/>
      <c r="T64" s="639"/>
      <c r="U64" s="639"/>
      <c r="V64" s="639"/>
      <c r="W64" s="639"/>
      <c r="X64" s="639"/>
      <c r="Y64" s="639"/>
      <c r="Z64" s="640"/>
    </row>
    <row r="65" spans="1:27" s="570" customFormat="1">
      <c r="A65" s="592" t="s">
        <v>275</v>
      </c>
      <c r="B65" s="593"/>
      <c r="C65" s="593"/>
      <c r="D65" s="593"/>
      <c r="E65" s="593"/>
      <c r="F65" s="593"/>
      <c r="G65" s="593"/>
      <c r="H65" s="593"/>
      <c r="I65" s="593"/>
      <c r="J65" s="593"/>
      <c r="K65" s="593"/>
      <c r="L65" s="594"/>
      <c r="M65" s="594">
        <f>SUM(M64:M64)</f>
        <v>0</v>
      </c>
      <c r="N65" s="594">
        <f>SUM(N64:N64)</f>
        <v>0</v>
      </c>
      <c r="O65" s="594">
        <f>SUM(O64:O64)</f>
        <v>0</v>
      </c>
      <c r="P65" s="594">
        <f>SUM(P64:P64)</f>
        <v>0</v>
      </c>
      <c r="Q65" s="594">
        <f>SUM(Q64:Q64)</f>
        <v>0</v>
      </c>
      <c r="R65" s="594">
        <f>SUM(R64:R64)</f>
        <v>0</v>
      </c>
      <c r="S65" s="594">
        <f>SUM(S64:S64)</f>
        <v>0</v>
      </c>
      <c r="T65" s="594">
        <f>SUM(T64:T64)</f>
        <v>0</v>
      </c>
      <c r="U65" s="594">
        <f>SUM(U64:U64)</f>
        <v>0</v>
      </c>
      <c r="V65" s="594">
        <f>SUM(V64:V64)</f>
        <v>0</v>
      </c>
      <c r="W65" s="594">
        <f>SUM(W64:W64)</f>
        <v>0</v>
      </c>
      <c r="X65" s="595"/>
      <c r="Y65" s="595"/>
      <c r="Z65" s="596"/>
    </row>
    <row r="66" spans="1:27" s="570" customFormat="1">
      <c r="A66" s="592" t="s">
        <v>282</v>
      </c>
      <c r="B66" s="593"/>
      <c r="C66" s="593"/>
      <c r="D66" s="593"/>
      <c r="E66" s="593"/>
      <c r="F66" s="593"/>
      <c r="G66" s="593"/>
      <c r="H66" s="593"/>
      <c r="I66" s="593"/>
      <c r="J66" s="593"/>
      <c r="K66" s="593"/>
      <c r="L66" s="594"/>
      <c r="M66" s="594">
        <f>SUMIF($Z$64:$Z$64,"industrie",M64:M64)</f>
        <v>0</v>
      </c>
      <c r="N66" s="594">
        <f>SUMIF($Z$64:$Z$64,"industrie",N64:N64)</f>
        <v>0</v>
      </c>
      <c r="O66" s="594">
        <f>SUMIF($Z$64:$Z$64,"industrie",O64:O64)</f>
        <v>0</v>
      </c>
      <c r="P66" s="594">
        <f>SUMIF($Z$64:$Z$64,"industrie",P64:P64)</f>
        <v>0</v>
      </c>
      <c r="Q66" s="594">
        <f>SUMIF($Z$64:$Z$64,"industrie",Q64:Q64)</f>
        <v>0</v>
      </c>
      <c r="R66" s="594">
        <f>SUMIF($Z$64:$Z$64,"industrie",R64:R64)</f>
        <v>0</v>
      </c>
      <c r="S66" s="594">
        <f>SUMIF($Z$64:$Z$64,"industrie",S64:S64)</f>
        <v>0</v>
      </c>
      <c r="T66" s="594">
        <f>SUMIF($Z$64:$Z$64,"industrie",T64:T64)</f>
        <v>0</v>
      </c>
      <c r="U66" s="594">
        <f>SUMIF($Z$64:$Z$64,"industrie",U64:U64)</f>
        <v>0</v>
      </c>
      <c r="V66" s="594">
        <f>SUMIF($Z$64:$Z$64,"industrie",V64:V64)</f>
        <v>0</v>
      </c>
      <c r="W66" s="594">
        <f>SUMIF($Z$64:$Z$64,"industrie",W64:W64)</f>
        <v>0</v>
      </c>
      <c r="X66" s="595"/>
      <c r="Y66" s="595"/>
      <c r="Z66" s="596"/>
    </row>
    <row r="67" spans="1:27" s="570" customFormat="1">
      <c r="A67" s="592" t="s">
        <v>283</v>
      </c>
      <c r="B67" s="593"/>
      <c r="C67" s="593"/>
      <c r="D67" s="593"/>
      <c r="E67" s="593"/>
      <c r="F67" s="593"/>
      <c r="G67" s="593"/>
      <c r="H67" s="593"/>
      <c r="I67" s="593"/>
      <c r="J67" s="593"/>
      <c r="K67" s="593"/>
      <c r="L67" s="594"/>
      <c r="M67" s="594">
        <f>SUMIF($Z$64:$Z$65,"tertiair",M64:M65)</f>
        <v>0</v>
      </c>
      <c r="N67" s="594">
        <f>SUMIF($Z$64:$Z$65,"tertiair",N64:N65)</f>
        <v>0</v>
      </c>
      <c r="O67" s="594">
        <f>SUMIF($Z$64:$Z$65,"tertiair",O64:O65)</f>
        <v>0</v>
      </c>
      <c r="P67" s="594">
        <f>SUMIF($Z$64:$Z$65,"tertiair",P64:P65)</f>
        <v>0</v>
      </c>
      <c r="Q67" s="594">
        <f>SUMIF($Z$64:$Z$65,"tertiair",Q64:Q65)</f>
        <v>0</v>
      </c>
      <c r="R67" s="594">
        <f>SUMIF($Z$64:$Z$65,"tertiair",R64:R65)</f>
        <v>0</v>
      </c>
      <c r="S67" s="594">
        <f>SUMIF($Z$64:$Z$65,"tertiair",S64:S65)</f>
        <v>0</v>
      </c>
      <c r="T67" s="594">
        <f>SUMIF($Z$64:$Z$65,"tertiair",T64:T65)</f>
        <v>0</v>
      </c>
      <c r="U67" s="594">
        <f>SUMIF($Z$64:$Z$65,"tertiair",U64:U65)</f>
        <v>0</v>
      </c>
      <c r="V67" s="594">
        <f>SUMIF($Z$64:$Z$65,"tertiair",V64:V65)</f>
        <v>0</v>
      </c>
      <c r="W67" s="594">
        <f>SUMIF($Z$64:$Z$65,"tertiair",W64:W65)</f>
        <v>0</v>
      </c>
      <c r="X67" s="595"/>
      <c r="Y67" s="595"/>
      <c r="Z67" s="596"/>
    </row>
    <row r="68" spans="1:27" s="570" customFormat="1" ht="15.75" thickBot="1">
      <c r="A68" s="597" t="s">
        <v>284</v>
      </c>
      <c r="B68" s="598"/>
      <c r="C68" s="598"/>
      <c r="D68" s="598"/>
      <c r="E68" s="598"/>
      <c r="F68" s="598"/>
      <c r="G68" s="598"/>
      <c r="H68" s="598"/>
      <c r="I68" s="598"/>
      <c r="J68" s="598"/>
      <c r="K68" s="598"/>
      <c r="L68" s="599"/>
      <c r="M68" s="599">
        <f>SUMIF($Z$64:$Z$66,"landbouw",M64:M66)</f>
        <v>0</v>
      </c>
      <c r="N68" s="599">
        <f>SUMIF($Z$64:$Z$66,"landbouw",N64:N66)</f>
        <v>0</v>
      </c>
      <c r="O68" s="599">
        <f>SUMIF($Z$64:$Z$66,"landbouw",O64:O66)</f>
        <v>0</v>
      </c>
      <c r="P68" s="599">
        <f>SUMIF($Z$64:$Z$66,"landbouw",P64:P66)</f>
        <v>0</v>
      </c>
      <c r="Q68" s="599">
        <f>SUMIF($Z$64:$Z$66,"landbouw",Q64:Q66)</f>
        <v>0</v>
      </c>
      <c r="R68" s="599">
        <f>SUMIF($Z$64:$Z$66,"landbouw",R64:R66)</f>
        <v>0</v>
      </c>
      <c r="S68" s="599">
        <f>SUMIF($Z$64:$Z$66,"landbouw",S64:S66)</f>
        <v>0</v>
      </c>
      <c r="T68" s="599">
        <f>SUMIF($Z$64:$Z$66,"landbouw",T64:T66)</f>
        <v>0</v>
      </c>
      <c r="U68" s="599">
        <f>SUMIF($Z$64:$Z$66,"landbouw",U64:U66)</f>
        <v>0</v>
      </c>
      <c r="V68" s="599">
        <f>SUMIF($Z$64:$Z$66,"landbouw",V64:V66)</f>
        <v>0</v>
      </c>
      <c r="W68" s="599">
        <f>SUMIF($Z$64:$Z$66,"landbouw",W64:W66)</f>
        <v>0</v>
      </c>
      <c r="X68" s="600"/>
      <c r="Y68" s="600"/>
      <c r="Z68" s="601"/>
    </row>
    <row r="69" spans="1:27" s="606" customFormat="1">
      <c r="A69" s="602"/>
      <c r="B69" s="586"/>
      <c r="C69" s="586"/>
      <c r="D69" s="586"/>
      <c r="E69" s="586"/>
      <c r="F69" s="586"/>
      <c r="G69" s="586"/>
      <c r="H69" s="586"/>
      <c r="I69" s="586"/>
      <c r="J69" s="586"/>
      <c r="K69" s="586"/>
      <c r="L69" s="586"/>
      <c r="M69" s="586"/>
      <c r="N69" s="586"/>
      <c r="O69" s="586"/>
      <c r="P69" s="586"/>
      <c r="Q69" s="586"/>
      <c r="R69" s="586"/>
      <c r="S69" s="586"/>
      <c r="T69" s="586"/>
      <c r="U69" s="586"/>
      <c r="V69" s="586"/>
      <c r="W69" s="586"/>
      <c r="X69" s="586"/>
      <c r="Y69" s="586"/>
    </row>
    <row r="70" spans="1:27" s="606" customFormat="1" ht="15.75" thickBot="1">
      <c r="A70" s="602"/>
      <c r="B70" s="586"/>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row>
    <row r="71" spans="1:27">
      <c r="A71" s="607" t="s">
        <v>277</v>
      </c>
      <c r="B71" s="608"/>
      <c r="C71" s="608"/>
      <c r="D71" s="608"/>
      <c r="E71" s="608"/>
      <c r="F71" s="608"/>
      <c r="G71" s="608"/>
      <c r="H71" s="608"/>
      <c r="I71" s="609"/>
      <c r="J71" s="610"/>
      <c r="K71" s="610"/>
      <c r="L71" s="611"/>
      <c r="M71" s="611"/>
      <c r="N71" s="611"/>
      <c r="O71" s="611"/>
      <c r="P71" s="611"/>
    </row>
    <row r="72" spans="1:27">
      <c r="A72" s="613"/>
      <c r="B72" s="603"/>
      <c r="C72" s="603"/>
      <c r="D72" s="603"/>
      <c r="E72" s="603"/>
      <c r="F72" s="603"/>
      <c r="G72" s="603"/>
      <c r="H72" s="603"/>
      <c r="I72" s="614"/>
      <c r="J72" s="603"/>
      <c r="K72" s="603"/>
      <c r="L72" s="611"/>
      <c r="M72" s="611"/>
      <c r="N72" s="611"/>
      <c r="O72" s="611"/>
      <c r="P72" s="611"/>
    </row>
    <row r="73" spans="1:27">
      <c r="A73" s="615"/>
      <c r="B73" s="616" t="s">
        <v>278</v>
      </c>
      <c r="C73" s="616" t="s">
        <v>279</v>
      </c>
      <c r="D73" s="616"/>
      <c r="E73" s="616"/>
      <c r="F73" s="616"/>
      <c r="G73" s="616"/>
      <c r="H73" s="616"/>
      <c r="I73" s="617"/>
      <c r="J73" s="616"/>
      <c r="K73" s="616"/>
      <c r="L73" s="616"/>
      <c r="M73" s="616"/>
      <c r="N73" s="616"/>
      <c r="O73" s="616"/>
      <c r="P73" s="611"/>
    </row>
    <row r="74" spans="1:27">
      <c r="A74" s="613" t="s">
        <v>275</v>
      </c>
      <c r="B74" s="618">
        <f>IF(ISERROR(O58/(O58+N58)),0,O58/(O58+N58))</f>
        <v>0.58454339845112935</v>
      </c>
      <c r="C74" s="619">
        <f>IF(ISERROR(N58/(O58+N58)),0,N58/(N58+O58))</f>
        <v>0.41545660154887071</v>
      </c>
      <c r="D74" s="586"/>
      <c r="E74" s="586"/>
      <c r="F74" s="586"/>
      <c r="G74" s="586"/>
      <c r="H74" s="586"/>
      <c r="I74" s="620"/>
      <c r="J74" s="586"/>
      <c r="K74" s="586"/>
      <c r="L74" s="621"/>
      <c r="M74" s="621"/>
      <c r="N74" s="621"/>
      <c r="O74" s="621"/>
      <c r="P74" s="611"/>
    </row>
    <row r="75" spans="1:27">
      <c r="A75" s="613"/>
      <c r="B75" s="622"/>
      <c r="C75" s="622"/>
      <c r="D75" s="622"/>
      <c r="E75" s="622"/>
      <c r="F75" s="622"/>
      <c r="G75" s="622"/>
      <c r="H75" s="622"/>
      <c r="I75" s="623"/>
      <c r="J75" s="622"/>
      <c r="K75" s="622"/>
      <c r="L75" s="624"/>
      <c r="M75" s="624"/>
      <c r="N75" s="624"/>
      <c r="O75" s="624"/>
      <c r="P75" s="611"/>
    </row>
    <row r="76" spans="1:27" ht="30">
      <c r="A76" s="625"/>
      <c r="B76" s="626" t="s">
        <v>517</v>
      </c>
      <c r="C76" s="626" t="s">
        <v>102</v>
      </c>
      <c r="D76" s="626" t="s">
        <v>103</v>
      </c>
      <c r="E76" s="626" t="s">
        <v>104</v>
      </c>
      <c r="F76" s="626" t="s">
        <v>105</v>
      </c>
      <c r="G76" s="626" t="s">
        <v>106</v>
      </c>
      <c r="H76" s="626" t="s">
        <v>107</v>
      </c>
      <c r="I76" s="627" t="s">
        <v>108</v>
      </c>
      <c r="J76" s="616"/>
      <c r="K76" s="616"/>
      <c r="L76" s="624"/>
      <c r="M76" s="624"/>
      <c r="N76" s="624"/>
      <c r="O76" s="611"/>
      <c r="P76" s="611"/>
    </row>
    <row r="77" spans="1:27">
      <c r="A77" s="615" t="s">
        <v>280</v>
      </c>
      <c r="B77" s="628">
        <f t="shared" ref="B77:I77" si="2">$C$74*P58</f>
        <v>209264.99293550788</v>
      </c>
      <c r="C77" s="628">
        <f t="shared" si="2"/>
        <v>0</v>
      </c>
      <c r="D77" s="628">
        <f t="shared" si="2"/>
        <v>0</v>
      </c>
      <c r="E77" s="628">
        <f t="shared" si="2"/>
        <v>3504.2466038767402</v>
      </c>
      <c r="F77" s="628">
        <f t="shared" si="2"/>
        <v>10512.739811630221</v>
      </c>
      <c r="G77" s="628">
        <f t="shared" si="2"/>
        <v>0</v>
      </c>
      <c r="H77" s="628">
        <f t="shared" si="2"/>
        <v>48.074263893512182</v>
      </c>
      <c r="I77" s="629">
        <f t="shared" si="2"/>
        <v>0</v>
      </c>
      <c r="J77" s="586"/>
      <c r="K77" s="586"/>
      <c r="L77" s="624"/>
      <c r="M77" s="624"/>
      <c r="N77" s="624"/>
      <c r="O77" s="611"/>
      <c r="P77" s="611"/>
    </row>
    <row r="78" spans="1:27" ht="15.75" thickBot="1">
      <c r="A78" s="630" t="s">
        <v>281</v>
      </c>
      <c r="B78" s="631">
        <f t="shared" ref="B78:I78" si="3">$B$74*P58</f>
        <v>294433.81015329505</v>
      </c>
      <c r="C78" s="631">
        <f t="shared" si="3"/>
        <v>0</v>
      </c>
      <c r="D78" s="631">
        <f t="shared" si="3"/>
        <v>0</v>
      </c>
      <c r="E78" s="631">
        <f t="shared" si="3"/>
        <v>4930.4408961232602</v>
      </c>
      <c r="F78" s="631">
        <f t="shared" si="3"/>
        <v>14791.322688369781</v>
      </c>
      <c r="G78" s="631">
        <f t="shared" si="3"/>
        <v>0</v>
      </c>
      <c r="H78" s="631">
        <f t="shared" si="3"/>
        <v>67.640021820773541</v>
      </c>
      <c r="I78" s="632">
        <f t="shared" si="3"/>
        <v>0</v>
      </c>
      <c r="J78" s="586"/>
      <c r="K78" s="586"/>
      <c r="L78" s="624"/>
      <c r="M78" s="624"/>
      <c r="N78" s="624"/>
      <c r="O78" s="611"/>
      <c r="P78" s="611"/>
    </row>
    <row r="79" spans="1:27">
      <c r="J79" s="566"/>
      <c r="K79" s="566"/>
      <c r="L79" s="566"/>
      <c r="M79" s="566"/>
      <c r="N79" s="566"/>
    </row>
    <row r="80" spans="1:27">
      <c r="J80" s="566"/>
      <c r="K80" s="566"/>
      <c r="L80" s="566"/>
      <c r="M80" s="566"/>
      <c r="N80"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2021-06-29T14:12:41Z</dcterms:modified>
</cp:coreProperties>
</file>