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T46" i="18"/>
  <c r="S46" i="18"/>
  <c r="E9" i="18" s="1"/>
  <c r="F77" i="14" s="1"/>
  <c r="F9" i="59" s="1"/>
  <c r="R46" i="18"/>
  <c r="Q46" i="18"/>
  <c r="P46" i="18"/>
  <c r="O46" i="18"/>
  <c r="N46" i="18"/>
  <c r="B9" i="18" s="1"/>
  <c r="M46" i="18"/>
  <c r="W42" i="18"/>
  <c r="V42" i="18"/>
  <c r="U42" i="18"/>
  <c r="T42" i="18"/>
  <c r="L6" i="17" s="1"/>
  <c r="L5" i="17" s="1"/>
  <c r="S42" i="18"/>
  <c r="R42" i="18"/>
  <c r="Q42" i="18"/>
  <c r="P42" i="18"/>
  <c r="O42" i="18"/>
  <c r="N42" i="18"/>
  <c r="M42" i="18"/>
  <c r="W41" i="18"/>
  <c r="V41" i="18"/>
  <c r="U41" i="18"/>
  <c r="T41" i="18"/>
  <c r="S41" i="18"/>
  <c r="R41" i="18"/>
  <c r="Q41" i="18"/>
  <c r="P41" i="18"/>
  <c r="O41" i="18"/>
  <c r="C13" i="15" s="1"/>
  <c r="N41" i="18"/>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5" i="18"/>
  <c r="B59" i="18" s="1"/>
  <c r="B16" i="16"/>
  <c r="K9" i="14"/>
  <c r="H77" i="14"/>
  <c r="J11" i="48"/>
  <c r="J29" i="48" s="1"/>
  <c r="M9" i="14"/>
  <c r="L11" i="48"/>
  <c r="O19" i="14"/>
  <c r="O22" i="14" s="1"/>
  <c r="N10" i="48"/>
  <c r="N28" i="48" s="1"/>
  <c r="J19" i="14"/>
  <c r="J22"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0" i="13"/>
  <c r="C12" i="13" s="1"/>
  <c r="D41" i="14" s="1"/>
  <c r="D46" i="14" s="1"/>
  <c r="D61" i="14" s="1"/>
  <c r="D63" i="14" s="1"/>
  <c r="C22" i="59"/>
  <c r="C56" i="22"/>
  <c r="C58" i="22" s="1"/>
  <c r="D49" i="14" s="1"/>
  <c r="D52" i="14" s="1"/>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<sst xmlns="http://schemas.openxmlformats.org/spreadsheetml/2006/main" count="2527" uniqueCount="916">
  <si>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</si>
  <si>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</si>
  <si>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</si>
  <si>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</si>
  <si>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</si>
  <si>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</si>
  <si>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</si>
  <si>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</si>
  <si>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</si>
  <si>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</si>
  <si>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</si>
  <si>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</si>
  <si>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</si>
  <si>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</si>
  <si>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</si>
  <si>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</si>
  <si>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</si>
  <si>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</si>
  <si>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</si>
  <si>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</si>
  <si>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</si>
  <si>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</si>
  <si>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</si>
  <si>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</si>
  <si>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</si>
  <si>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</si>
  <si>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</si>
  <si>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</si>
  <si>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</si>
  <si>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</si>
  <si>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</si>
  <si>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</si>
  <si>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</si>
  <si>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</si>
  <si>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</si>
  <si>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</si>
  <si>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</si>
  <si>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</si>
  <si>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</si>
  <si>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</si>
  <si>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</si>
  <si>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</si>
  <si>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</si>
  <si>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</si>
  <si>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</si>
  <si>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</si>
  <si>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</si>
  <si>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</si>
  <si>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</si>
  <si>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</si>
  <si>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</si>
  <si>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</si>
  <si>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</si>
  <si>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</si>
  <si>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</si>
  <si>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</si>
  <si>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</si>
  <si>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</si>
  <si>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</si>
  <si>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</si>
  <si>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</si>
  <si>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</si>
  <si>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</si>
  <si>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</si>
  <si>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</si>
  <si>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</si>
  <si>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</si>
  <si>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</si>
  <si>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</si>
  <si>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</si>
  <si>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</si>
  <si>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</si>
  <si>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</si>
  <si>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</si>
  <si>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</si>
  <si>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</si>
  <si>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</si>
  <si>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</si>
  <si>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</si>
  <si>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</si>
  <si>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</si>
  <si>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</si>
  <si>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</si>
  <si>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</si>
  <si>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</si>
  <si>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</si>
  <si>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</si>
  <si>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</si>
  <si>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</si>
  <si>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</si>
  <si>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</si>
  <si>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</si>
  <si>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</si>
  <si>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</si>
  <si>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</si>
  <si>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</si>
  <si>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</si>
  <si>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</si>
  <si>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</si>
  <si>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</si>
  <si>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</si>
  <si>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</si>
  <si>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</si>
  <si>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</si>
  <si>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</si>
  <si>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</si>
  <si>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</si>
  <si>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</si>
  <si>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</si>
  <si>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</si>
  <si>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</si>
  <si>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</si>
  <si>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</si>
  <si>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</si>
  <si>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</si>
  <si>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</si>
  <si>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</si>
  <si>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</si>
  <si>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</si>
  <si>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</si>
  <si>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</si>
  <si>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</si>
  <si>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</si>
  <si>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</si>
  <si>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</si>
  <si>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</si>
  <si>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</si>
  <si>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</si>
  <si>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</si>
  <si>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</si>
  <si>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</si>
  <si>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</si>
  <si>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</si>
  <si>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</si>
  <si>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</si>
  <si>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</si>
  <si>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</si>
  <si>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</si>
  <si>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</si>
  <si>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</si>
  <si>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</si>
  <si>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</si>
  <si>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</si>
  <si>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</si>
  <si>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</si>
  <si>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</si>
  <si>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</si>
  <si>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</si>
  <si>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</si>
  <si>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</si>
  <si>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</si>
  <si>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</si>
  <si>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</si>
  <si>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</si>
  <si>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</si>
  <si>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</si>
  <si>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</si>
  <si>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</si>
  <si>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</si>
  <si>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</si>
  <si>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</si>
  <si>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</si>
  <si>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</si>
  <si>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</si>
  <si>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</si>
  <si>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</si>
  <si>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</si>
  <si>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</si>
  <si>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</si>
  <si>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</si>
  <si>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</si>
  <si>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</si>
  <si>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</si>
  <si>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</si>
  <si>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</si>
  <si>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</si>
  <si>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</si>
  <si>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</si>
  <si>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</si>
  <si>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</si>
  <si>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</si>
  <si>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</si>
  <si>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</si>
  <si>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</si>
  <si>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</si>
  <si>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</si>
  <si>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</si>
  <si>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</si>
  <si>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</si>
  <si>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</si>
  <si>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</si>
  <si>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</si>
  <si>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</si>
  <si>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</si>
  <si>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</si>
  <si>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</si>
  <si>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</si>
  <si>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</si>
  <si>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</si>
  <si>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</si>
  <si>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</si>
  <si>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</si>
  <si>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</si>
  <si>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</si>
  <si>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</si>
  <si>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</si>
  <si>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</si>
  <si>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</si>
  <si>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</si>
  <si>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</si>
  <si>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</si>
  <si>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</si>
  <si>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</si>
  <si>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</si>
  <si>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</si>
  <si>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</si>
  <si>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</si>
  <si>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</si>
  <si>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</si>
  <si>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</si>
  <si>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</si>
  <si>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</si>
  <si>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</si>
  <si>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</si>
  <si>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</si>
  <si>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</si>
  <si>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</si>
  <si>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</si>
  <si>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</si>
  <si>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</si>
  <si>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</si>
  <si>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</si>
  <si>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</si>
  <si>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</si>
  <si>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</si>
  <si>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</si>
  <si>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</si>
  <si>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</si>
  <si>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</si>
  <si>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</si>
  <si>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</si>
  <si>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</si>
  <si>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</si>
  <si>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</si>
  <si>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</si>
  <si>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</si>
  <si>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</si>
  <si>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</si>
  <si>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</si>
  <si>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</si>
  <si>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</si>
  <si>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</si>
  <si>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</si>
  <si>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</si>
  <si>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</si>
  <si>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</si>
  <si>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</si>
  <si>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</si>
  <si>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</si>
  <si>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</si>
  <si>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</si>
  <si>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</si>
  <si>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</si>
  <si>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</si>
  <si>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</si>
  <si>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</si>
  <si>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</si>
  <si>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</si>
  <si>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</si>
  <si>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</si>
  <si>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</si>
  <si>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</si>
  <si>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</si>
  <si>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</si>
  <si>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</si>
  <si>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</si>
  <si>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</si>
  <si>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</si>
  <si>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</si>
  <si>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</si>
  <si>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</si>
  <si>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</si>
  <si>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</si>
  <si>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</si>
  <si>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</si>
  <si>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</si>
  <si>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</si>
  <si>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</si>
  <si>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</si>
  <si>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</si>
  <si>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</si>
  <si>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</si>
  <si>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</si>
  <si>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</si>
  <si>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</si>
  <si>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</si>
  <si>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</si>
  <si>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</si>
  <si>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</si>
  <si>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</si>
  <si>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</si>
  <si>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</si>
  <si>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</si>
  <si>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</si>
  <si>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</si>
  <si>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</si>
  <si>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</si>
  <si>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</si>
  <si>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</si>
  <si>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</si>
  <si>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</si>
  <si>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</si>
  <si>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</si>
  <si>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</si>
  <si>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</si>
  <si>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</si>
  <si>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</si>
  <si>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</si>
  <si>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</si>
  <si>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</si>
  <si>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</si>
  <si>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</si>
  <si>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</si>
  <si>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</si>
  <si>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</si>
  <si>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</si>
  <si>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</si>
  <si>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</si>
  <si>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</si>
  <si>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</si>
  <si>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</si>
  <si>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</si>
  <si>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</si>
  <si>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</si>
  <si>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</si>
  <si>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</si>
  <si>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</si>
  <si>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</si>
  <si>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</si>
  <si>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</si>
  <si>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</si>
  <si>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</si>
  <si>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</si>
  <si>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</si>
  <si>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</si>
  <si>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</si>
  <si>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</si>
  <si>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</si>
  <si>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</si>
  <si>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</si>
  <si>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</si>
  <si>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</si>
  <si>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</si>
  <si>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</si>
  <si>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</si>
  <si>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</si>
  <si>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</si>
  <si>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</si>
  <si>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</si>
  <si>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</si>
  <si>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</si>
  <si>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</si>
  <si>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</si>
  <si>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</si>
  <si>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</si>
  <si>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</si>
  <si>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</si>
  <si>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</si>
  <si>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</si>
  <si>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</si>
  <si>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</si>
  <si>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</si>
  <si>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</si>
  <si>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</si>
  <si>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</si>
  <si>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</si>
  <si>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</si>
  <si>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</si>
  <si>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</si>
  <si>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</si>
  <si>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</si>
  <si>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</si>
  <si>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</si>
  <si>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</si>
  <si>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</si>
  <si>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</si>
  <si>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</si>
  <si>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</si>
  <si>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</si>
  <si>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</si>
  <si>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</si>
  <si>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</si>
  <si>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</si>
  <si>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</si>
  <si>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</si>
  <si>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</si>
  <si>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</si>
  <si>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</si>
  <si>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</si>
  <si>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</si>
  <si>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</si>
  <si>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</si>
  <si>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</si>
  <si>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</si>
  <si>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</si>
  <si>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</si>
  <si>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</si>
  <si>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</si>
  <si>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</si>
  <si>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</si>
  <si>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</si>
  <si>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</si>
  <si>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</si>
  <si>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</si>
  <si>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</si>
  <si>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</si>
  <si>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</si>
  <si>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</si>
  <si>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</si>
  <si>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</si>
  <si>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</si>
  <si>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</si>
  <si>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</si>
  <si>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</si>
  <si>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</si>
  <si>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</si>
  <si>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</si>
  <si>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</si>
  <si>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</si>
  <si>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</si>
  <si>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</si>
  <si>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</si>
  <si>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</si>
  <si>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</si>
  <si>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</si>
  <si>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</si>
  <si>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</si>
  <si>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</si>
  <si>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</si>
  <si>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</si>
  <si>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</si>
  <si>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</si>
  <si>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</si>
  <si>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</si>
  <si>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</si>
  <si>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</si>
  <si>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</si>
  <si>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</si>
  <si>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</si>
  <si>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</si>
  <si>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</si>
  <si>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</si>
  <si>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</si>
  <si>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</si>
  <si>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</si>
  <si>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</si>
  <si>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</si>
  <si>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</si>
  <si>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</si>
  <si>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</si>
  <si>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</si>
  <si>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</si>
  <si>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</si>
  <si>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</si>
  <si>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</si>
  <si>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</si>
  <si>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</si>
  <si>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</si>
  <si>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</si>
  <si>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</si>
  <si>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</si>
  <si>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</si>
  <si>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</si>
  <si>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</si>
  <si>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</si>
  <si>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</si>
  <si>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</si>
  <si>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</si>
  <si>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</si>
  <si>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</si>
  <si>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</si>
  <si>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</si>
  <si>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</si>
  <si>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</si>
  <si>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</si>
  <si>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</si>
  <si>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</si>
  <si>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</si>
  <si>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</si>
  <si>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</si>
  <si>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</si>
  <si>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</si>
  <si>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</si>
  <si>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</si>
  <si>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</si>
  <si>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</si>
  <si>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</si>
  <si>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</si>
  <si>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</si>
  <si>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</si>
  <si>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</si>
  <si>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</si>
  <si>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</si>
  <si>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</si>
  <si>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</si>
  <si>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</si>
  <si>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</si>
  <si>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</si>
  <si>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</si>
  <si>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</si>
  <si>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</si>
  <si>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</si>
  <si>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</si>
  <si>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</si>
  <si>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</si>
  <si>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</si>
  <si>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</si>
  <si>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</si>
  <si>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</si>
  <si>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</si>
  <si>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</si>
  <si>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</si>
  <si>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</si>
  <si>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</si>
  <si>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</si>
  <si>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</si>
  <si>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</si>
  <si>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</si>
  <si>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</si>
  <si>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</si>
  <si>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</si>
  <si>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</si>
  <si>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</si>
  <si>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</si>
  <si>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</si>
  <si>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</si>
  <si>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</si>
  <si>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</si>
  <si>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</si>
  <si>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</si>
  <si>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</si>
  <si>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</si>
  <si>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</si>
  <si>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</si>
  <si>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</si>
  <si>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</si>
  <si>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</si>
  <si>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</si>
  <si>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</si>
  <si>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</si>
  <si>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</si>
  <si>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</si>
  <si>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</si>
  <si>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</si>
  <si>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</si>
  <si>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</si>
  <si>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</si>
  <si>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</si>
  <si>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</si>
  <si>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</si>
  <si>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</si>
  <si>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</si>
  <si>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</si>
  <si>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</si>
  <si>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</si>
  <si>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</si>
  <si>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</si>
  <si>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</si>
  <si>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</si>
  <si>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</si>
  <si>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</si>
  <si>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</si>
  <si>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</si>
  <si>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</si>
  <si>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</si>
  <si>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</si>
  <si>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</si>
  <si>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</si>
  <si>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</si>
  <si>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</si>
  <si>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</si>
  <si>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</si>
  <si>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</si>
  <si>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</si>
  <si>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</si>
  <si>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</si>
  <si>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</si>
  <si>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</si>
  <si>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</si>
  <si>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</si>
  <si>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</si>
  <si>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</si>
  <si>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</si>
  <si>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</si>
  <si>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</si>
  <si>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</si>
  <si>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</si>
  <si>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</si>
  <si>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</si>
  <si>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</si>
  <si>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</si>
  <si>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</si>
  <si>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</si>
  <si>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</si>
  <si>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</si>
  <si>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</si>
  <si>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</si>
  <si>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</si>
  <si>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</si>
  <si>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</si>
  <si>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</si>
  <si>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</si>
  <si>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</si>
  <si>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</si>
  <si>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</si>
  <si>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</si>
  <si>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</si>
  <si>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</si>
  <si>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</si>
  <si>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</si>
  <si>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</si>
  <si>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</si>
  <si>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</si>
  <si>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</si>
  <si>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</si>
  <si>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</si>
  <si>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</si>
  <si>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</si>
  <si>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</si>
  <si>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</si>
  <si>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</si>
  <si>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</si>
  <si>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</si>
  <si>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</si>
  <si>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</si>
  <si>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</si>
  <si>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</si>
  <si>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</si>
  <si>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</si>
  <si>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</si>
  <si>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</si>
  <si>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</si>
  <si>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</si>
  <si>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</si>
  <si>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</si>
  <si>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</si>
  <si>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</si>
  <si>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</si>
  <si>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</si>
  <si>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</si>
  <si>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</si>
  <si>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</si>
  <si>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</si>
  <si>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</si>
  <si>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</si>
  <si>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</si>
  <si>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</si>
  <si>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</si>
  <si>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</si>
  <si>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</si>
  <si>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</si>
  <si>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</si>
  <si>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</si>
  <si>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</si>
  <si>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</si>
  <si>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</si>
  <si>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</si>
  <si>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</si>
  <si>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</si>
  <si>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</si>
  <si>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</si>
  <si>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</si>
  <si>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</si>
  <si>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</si>
  <si>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</si>
  <si>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</si>
  <si>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</si>
  <si>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</si>
  <si>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</si>
  <si>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</si>
  <si>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</si>
  <si>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</si>
  <si>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</si>
  <si>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</si>
  <si>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</si>
  <si>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</si>
  <si>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</si>
  <si>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</si>
  <si>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</si>
  <si>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</si>
  <si>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</si>
  <si>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</si>
  <si>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</si>
  <si>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</si>
  <si>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</si>
  <si>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</si>
  <si>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</si>
  <si>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</si>
  <si>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</si>
  <si>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</si>
  <si>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</si>
  <si>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</si>
  <si>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</si>
  <si>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</si>
  <si>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</si>
  <si>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</si>
  <si>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</si>
  <si>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</si>
  <si>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</si>
  <si>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</si>
  <si>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</si>
  <si>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</si>
  <si>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</si>
  <si>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</si>
  <si>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</si>
  <si>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</si>
  <si>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</si>
  <si>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</si>
  <si>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</si>
  <si>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</si>
  <si>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</si>
  <si>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</si>
  <si>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</si>
  <si>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</si>
  <si>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</si>
  <si>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</si>
  <si>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</si>
  <si>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</si>
  <si>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</si>
  <si>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</si>
  <si>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</si>
  <si>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</si>
  <si>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</si>
  <si>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</si>
  <si>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</si>
  <si>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</si>
  <si>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</si>
  <si>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</si>
  <si>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</si>
  <si>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</si>
  <si>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</si>
  <si>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</si>
  <si>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</si>
  <si>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</si>
  <si>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</si>
  <si>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</si>
  <si>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</si>
  <si>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</si>
  <si>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</si>
  <si>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</si>
  <si>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</si>
  <si>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</si>
  <si>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</si>
  <si>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</si>
  <si>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</si>
  <si>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</si>
  <si>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</si>
  <si>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</si>
  <si>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</si>
  <si>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</si>
  <si>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</si>
  <si>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</si>
  <si>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</si>
  <si>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</si>
  <si>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</si>
  <si>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</si>
  <si>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</si>
  <si>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</si>
  <si>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</si>
  <si>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</si>
  <si>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</si>
  <si>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</si>
  <si>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</si>
  <si>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</si>
  <si>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</si>
  <si>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</si>
  <si>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</si>
  <si>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</si>
  <si>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</si>
  <si>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</si>
  <si>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</si>
  <si>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</si>
  <si>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</si>
  <si>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</si>
  <si>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</si>
  <si>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</si>
  <si>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</si>
  <si>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</si>
  <si>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</si>
  <si>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</si>
  <si>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</si>
  <si>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</si>
  <si>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</si>
  <si>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</si>
  <si>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</si>
  <si>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</si>
  <si>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</si>
  <si>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</si>
  <si>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</si>
  <si>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</si>
  <si>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</si>
  <si>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</si>
  <si>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</si>
  <si>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</si>
  <si>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</si>
  <si>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</si>
  <si>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</si>
  <si>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</si>
  <si>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</si>
  <si>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</si>
  <si>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</si>
  <si>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</si>
  <si>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</si>
  <si>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</si>
  <si>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</si>
  <si>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</si>
  <si>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</si>
  <si>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</si>
  <si>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</si>
  <si>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</si>
  <si>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</si>
  <si>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</si>
  <si>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</si>
  <si>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</si>
  <si>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</si>
  <si>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</si>
  <si>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</si>
  <si>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</si>
  <si>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</si>
  <si>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</si>
  <si>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</si>
  <si>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</si>
  <si>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</si>
  <si>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</si>
  <si>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</si>
  <si>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</si>
  <si>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</si>
  <si>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</si>
  <si>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</si>
  <si>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</si>
  <si>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</si>
  <si>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</si>
  <si>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</si>
  <si>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</si>
  <si>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</si>
  <si>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</si>
  <si>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</si>
  <si>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</si>
  <si>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</si>
  <si>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</si>
  <si>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</si>
  <si>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</si>
  <si>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</si>
  <si>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</si>
  <si>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</si>
  <si>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</si>
  <si>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</si>
  <si>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</si>
  <si>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</si>
  <si>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</si>
  <si>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</si>
  <si>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</si>
  <si>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</si>
  <si>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</si>
  <si>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</si>
  <si>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</si>
  <si>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</si>
  <si>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</si>
  <si>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</si>
  <si>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</si>
  <si>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12009</t>
  </si>
  <si>
    <t>DUFFEL</t>
  </si>
  <si>
    <t>referentietaak LNE (2017); Jaarverslag De Lijn</t>
  </si>
  <si>
    <t>waterkracht</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</si>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</sst>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137150.31997107665</c:v>
                </c:pt>
                <c:pt idx="1">
                  <c:v>80056.06374528927</c:v>
                </c:pt>
                <c:pt idx="2">
                  <c:v>1211.326</c:v>
                </c:pt>
                <c:pt idx="3">
                  <c:v>223958.62031256623</c:v>
                </c:pt>
                <c:pt idx="4">
                  <c:v>408390.67214477452</c:v>
                </c:pt>
                <c:pt idx="5">
                  <c:v>56714.821530776746</c:v>
                </c:pt>
                <c:pt idx="6">
                  <c:v>1247.1482950980351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137150.31997107665</c:v>
                </c:pt>
                <c:pt idx="1">
                  <c:v>80056.06374528927</c:v>
                </c:pt>
                <c:pt idx="2">
                  <c:v>1211.326</c:v>
                </c:pt>
                <c:pt idx="3">
                  <c:v>223958.62031256623</c:v>
                </c:pt>
                <c:pt idx="4">
                  <c:v>408390.67214477452</c:v>
                </c:pt>
                <c:pt idx="5">
                  <c:v>56714.821530776746</c:v>
                </c:pt>
                <c:pt idx="6">
                  <c:v>1247.1482950980351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27489.821002037454</c:v>
                </c:pt>
                <c:pt idx="1">
                  <c:v>16438.059820045335</c:v>
                </c:pt>
                <c:pt idx="2">
                  <c:v>264.20004483360327</c:v>
                </c:pt>
                <c:pt idx="3">
                  <c:v>51840.284699713564</c:v>
                </c:pt>
                <c:pt idx="4">
                  <c:v>84369.257817675476</c:v>
                </c:pt>
                <c:pt idx="5">
                  <c:v>14064.173950569319</c:v>
                </c:pt>
                <c:pt idx="6">
                  <c:v>314.26898523442458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27489.821002037454</c:v>
                </c:pt>
                <c:pt idx="1">
                  <c:v>16438.059820045335</c:v>
                </c:pt>
                <c:pt idx="2">
                  <c:v>264.20004483360327</c:v>
                </c:pt>
                <c:pt idx="3">
                  <c:v>51840.284699713564</c:v>
                </c:pt>
                <c:pt idx="4">
                  <c:v>84369.257817675476</c:v>
                </c:pt>
                <c:pt idx="5">
                  <c:v>14064.173950569319</c:v>
                </c:pt>
                <c:pt idx="6">
                  <c:v>314.26898523442458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12009</v>
      </c>
      <c r="B6" s="386"/>
      <c r="C6" s="387"/>
    </row>
    <row r="7" spans="1:7" s="384" customFormat="1" ht="15.75" customHeight="1">
      <c r="A7" s="388" t="str">
        <f>txtMunicipality</f>
        <v>DUFFEL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29436.818790648562</v>
      </c>
      <c r="D10" s="683">
        <f ca="1">tertiair!C16</f>
        <v>0</v>
      </c>
      <c r="E10" s="683">
        <f ca="1">tertiair!D16</f>
        <v>32416.432642106047</v>
      </c>
      <c r="F10" s="683">
        <f>tertiair!E16</f>
        <v>225.27611407905488</v>
      </c>
      <c r="G10" s="683">
        <f ca="1">tertiair!F16</f>
        <v>13792.302453493247</v>
      </c>
      <c r="H10" s="683">
        <f>tertiair!G16</f>
        <v>0</v>
      </c>
      <c r="I10" s="683">
        <f>tertiair!H16</f>
        <v>0</v>
      </c>
      <c r="J10" s="683">
        <f>tertiair!I16</f>
        <v>0</v>
      </c>
      <c r="K10" s="683">
        <f>tertiair!J16</f>
        <v>0.13737881186335396</v>
      </c>
      <c r="L10" s="683">
        <f>tertiair!K16</f>
        <v>0</v>
      </c>
      <c r="M10" s="683">
        <f ca="1">tertiair!L16</f>
        <v>0</v>
      </c>
      <c r="N10" s="683">
        <f>tertiair!M16</f>
        <v>0</v>
      </c>
      <c r="O10" s="683">
        <f ca="1">tertiair!N16</f>
        <v>5229.0104296993268</v>
      </c>
      <c r="P10" s="683">
        <f>tertiair!O16</f>
        <v>9.7945215316823084</v>
      </c>
      <c r="Q10" s="684">
        <f>tertiair!P16</f>
        <v>157.61741491948504</v>
      </c>
      <c r="R10" s="686">
        <f ca="1">SUM(C10:Q10)</f>
        <v>81267.389745289271</v>
      </c>
      <c r="S10" s="67"/>
    </row>
    <row r="11" spans="1:19" s="445" customFormat="1">
      <c r="A11" s="804" t="s">
        <v>220</v>
      </c>
      <c r="B11" s="809"/>
      <c r="C11" s="683">
        <f>huishoudens!B8</f>
        <v>27956.916313868263</v>
      </c>
      <c r="D11" s="683">
        <f>huishoudens!C8</f>
        <v>0</v>
      </c>
      <c r="E11" s="683">
        <f>huishoudens!D8</f>
        <v>75651.18033813122</v>
      </c>
      <c r="F11" s="683">
        <f>huishoudens!E8</f>
        <v>998.43014423621003</v>
      </c>
      <c r="G11" s="683">
        <f>huishoudens!F8</f>
        <v>21872.215064951106</v>
      </c>
      <c r="H11" s="683">
        <f>huishoudens!G8</f>
        <v>0</v>
      </c>
      <c r="I11" s="683">
        <f>huishoudens!H8</f>
        <v>0</v>
      </c>
      <c r="J11" s="683">
        <f>huishoudens!I8</f>
        <v>0</v>
      </c>
      <c r="K11" s="683">
        <f>huishoudens!J8</f>
        <v>124.65214590151922</v>
      </c>
      <c r="L11" s="683">
        <f>huishoudens!K8</f>
        <v>0</v>
      </c>
      <c r="M11" s="683">
        <f>huishoudens!L8</f>
        <v>0</v>
      </c>
      <c r="N11" s="683">
        <f>huishoudens!M8</f>
        <v>0</v>
      </c>
      <c r="O11" s="683">
        <f>huishoudens!N8</f>
        <v>9144.8261012313105</v>
      </c>
      <c r="P11" s="683">
        <f>huishoudens!O8</f>
        <v>390.83976921924528</v>
      </c>
      <c r="Q11" s="684">
        <f>huishoudens!P8</f>
        <v>1011.2600935377623</v>
      </c>
      <c r="R11" s="686">
        <f>SUM(C11:Q11)</f>
        <v>137150.31997107665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92203.916163364294</v>
      </c>
      <c r="D13" s="683">
        <f>industrie!C18</f>
        <v>10028.571428571429</v>
      </c>
      <c r="E13" s="683">
        <f>industrie!D18</f>
        <v>305321.40186418284</v>
      </c>
      <c r="F13" s="683">
        <f>industrie!E18</f>
        <v>83.25759359294527</v>
      </c>
      <c r="G13" s="683">
        <f>industrie!F18</f>
        <v>657.81707717820143</v>
      </c>
      <c r="H13" s="683">
        <f>industrie!G18</f>
        <v>0</v>
      </c>
      <c r="I13" s="683">
        <f>industrie!H18</f>
        <v>0</v>
      </c>
      <c r="J13" s="683">
        <f>industrie!I18</f>
        <v>0</v>
      </c>
      <c r="K13" s="683">
        <f>industrie!J18</f>
        <v>17.27136524892931</v>
      </c>
      <c r="L13" s="683">
        <f>industrie!K18</f>
        <v>0</v>
      </c>
      <c r="M13" s="683">
        <f>industrie!L18</f>
        <v>0</v>
      </c>
      <c r="N13" s="683">
        <f>industrie!M18</f>
        <v>0</v>
      </c>
      <c r="O13" s="683">
        <f>industrie!N18</f>
        <v>78.43665263584748</v>
      </c>
      <c r="P13" s="683">
        <f>industrie!O18</f>
        <v>0</v>
      </c>
      <c r="Q13" s="684">
        <f>industrie!P18</f>
        <v>0</v>
      </c>
      <c r="R13" s="686">
        <f>SUM(C13:Q13)</f>
        <v>408390.67214477452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149597.65126788113</v>
      </c>
      <c r="D16" s="719">
        <f t="shared" ref="D16:R16" ca="1" si="0">SUM(D9:D15)</f>
        <v>10028.571428571429</v>
      </c>
      <c r="E16" s="719">
        <f t="shared" ca="1" si="0"/>
        <v>413389.01484442013</v>
      </c>
      <c r="F16" s="719">
        <f t="shared" si="0"/>
        <v>1306.9638519082102</v>
      </c>
      <c r="G16" s="719">
        <f t="shared" ca="1" si="0"/>
        <v>36322.334595622553</v>
      </c>
      <c r="H16" s="719">
        <f t="shared" si="0"/>
        <v>0</v>
      </c>
      <c r="I16" s="719">
        <f t="shared" si="0"/>
        <v>0</v>
      </c>
      <c r="J16" s="719">
        <f t="shared" si="0"/>
        <v>0</v>
      </c>
      <c r="K16" s="719">
        <f t="shared" si="0"/>
        <v>142.06088996231188</v>
      </c>
      <c r="L16" s="719">
        <f t="shared" si="0"/>
        <v>0</v>
      </c>
      <c r="M16" s="719">
        <f t="shared" ca="1" si="0"/>
        <v>0</v>
      </c>
      <c r="N16" s="719">
        <f t="shared" si="0"/>
        <v>0</v>
      </c>
      <c r="O16" s="719">
        <f t="shared" ca="1" si="0"/>
        <v>14452.273183566485</v>
      </c>
      <c r="P16" s="719">
        <f t="shared" si="0"/>
        <v>400.63429075092762</v>
      </c>
      <c r="Q16" s="719">
        <f t="shared" si="0"/>
        <v>1168.8775084572474</v>
      </c>
      <c r="R16" s="719">
        <f t="shared" ca="1" si="0"/>
        <v>626808.38186114049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18.559430985647612</v>
      </c>
      <c r="D19" s="683">
        <f>transport!C54</f>
        <v>0</v>
      </c>
      <c r="E19" s="683">
        <f>transport!D54</f>
        <v>0</v>
      </c>
      <c r="F19" s="683">
        <f>transport!E54</f>
        <v>0</v>
      </c>
      <c r="G19" s="683">
        <f>transport!F54</f>
        <v>0</v>
      </c>
      <c r="H19" s="683">
        <f>transport!G54</f>
        <v>1161.8764887910847</v>
      </c>
      <c r="I19" s="683">
        <f>transport!H54</f>
        <v>0</v>
      </c>
      <c r="J19" s="683">
        <f>transport!I54</f>
        <v>0</v>
      </c>
      <c r="K19" s="683">
        <f>transport!J54</f>
        <v>0</v>
      </c>
      <c r="L19" s="683">
        <f>transport!K54</f>
        <v>0</v>
      </c>
      <c r="M19" s="683">
        <f>transport!L54</f>
        <v>0</v>
      </c>
      <c r="N19" s="683">
        <f>transport!M54</f>
        <v>66.712375321302645</v>
      </c>
      <c r="O19" s="683">
        <f>transport!N54</f>
        <v>0</v>
      </c>
      <c r="P19" s="683">
        <f>transport!O54</f>
        <v>0</v>
      </c>
      <c r="Q19" s="684">
        <f>transport!P54</f>
        <v>0</v>
      </c>
      <c r="R19" s="686">
        <f>SUM(C19:Q19)</f>
        <v>1247.1482950980351</v>
      </c>
      <c r="S19" s="67"/>
    </row>
    <row r="20" spans="1:19" s="445" customFormat="1">
      <c r="A20" s="804" t="s">
        <v>302</v>
      </c>
      <c r="B20" s="809"/>
      <c r="C20" s="683">
        <f>transport!B14</f>
        <v>130.86408732053968</v>
      </c>
      <c r="D20" s="683">
        <f>transport!C14</f>
        <v>0</v>
      </c>
      <c r="E20" s="683">
        <f>transport!D14</f>
        <v>227.24136529015112</v>
      </c>
      <c r="F20" s="683">
        <f>transport!E14</f>
        <v>89.48658961412815</v>
      </c>
      <c r="G20" s="683">
        <f>transport!F14</f>
        <v>0</v>
      </c>
      <c r="H20" s="683">
        <f>transport!G14</f>
        <v>41942.128019451258</v>
      </c>
      <c r="I20" s="683">
        <f>transport!H14</f>
        <v>11127.980067432756</v>
      </c>
      <c r="J20" s="683">
        <f>transport!I14</f>
        <v>0</v>
      </c>
      <c r="K20" s="683">
        <f>transport!J14</f>
        <v>0</v>
      </c>
      <c r="L20" s="683">
        <f>transport!K14</f>
        <v>0</v>
      </c>
      <c r="M20" s="683">
        <f>transport!L14</f>
        <v>0</v>
      </c>
      <c r="N20" s="683">
        <f>transport!M14</f>
        <v>3197.1214016679178</v>
      </c>
      <c r="O20" s="683">
        <f>transport!N14</f>
        <v>0</v>
      </c>
      <c r="P20" s="683">
        <f>transport!O14</f>
        <v>0</v>
      </c>
      <c r="Q20" s="684">
        <f>transport!P14</f>
        <v>0</v>
      </c>
      <c r="R20" s="686">
        <f>SUM(C20:Q20)</f>
        <v>56714.821530776746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149.4235183061873</v>
      </c>
      <c r="D22" s="807">
        <f t="shared" ref="D22:R22" si="1">SUM(D18:D21)</f>
        <v>0</v>
      </c>
      <c r="E22" s="807">
        <f t="shared" si="1"/>
        <v>227.24136529015112</v>
      </c>
      <c r="F22" s="807">
        <f t="shared" si="1"/>
        <v>89.48658961412815</v>
      </c>
      <c r="G22" s="807">
        <f t="shared" si="1"/>
        <v>0</v>
      </c>
      <c r="H22" s="807">
        <f t="shared" si="1"/>
        <v>43104.004508242346</v>
      </c>
      <c r="I22" s="807">
        <f t="shared" si="1"/>
        <v>11127.980067432756</v>
      </c>
      <c r="J22" s="807">
        <f t="shared" si="1"/>
        <v>0</v>
      </c>
      <c r="K22" s="807">
        <f t="shared" si="1"/>
        <v>0</v>
      </c>
      <c r="L22" s="807">
        <f t="shared" si="1"/>
        <v>0</v>
      </c>
      <c r="M22" s="807">
        <f t="shared" si="1"/>
        <v>0</v>
      </c>
      <c r="N22" s="807">
        <f t="shared" si="1"/>
        <v>3263.8337769892205</v>
      </c>
      <c r="O22" s="807">
        <f t="shared" si="1"/>
        <v>0</v>
      </c>
      <c r="P22" s="807">
        <f t="shared" si="1"/>
        <v>0</v>
      </c>
      <c r="Q22" s="807">
        <f t="shared" si="1"/>
        <v>0</v>
      </c>
      <c r="R22" s="807">
        <f t="shared" si="1"/>
        <v>57961.969825874781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8616.7424598026591</v>
      </c>
      <c r="D24" s="683">
        <f>+landbouw!C8</f>
        <v>122021.19642857142</v>
      </c>
      <c r="E24" s="683">
        <f>+landbouw!D8</f>
        <v>63606.760777752701</v>
      </c>
      <c r="F24" s="683">
        <f>+landbouw!E8</f>
        <v>246.79808624669101</v>
      </c>
      <c r="G24" s="683">
        <f>+landbouw!F8</f>
        <v>27276.15553898942</v>
      </c>
      <c r="H24" s="683">
        <f>+landbouw!G8</f>
        <v>0</v>
      </c>
      <c r="I24" s="683">
        <f>+landbouw!H8</f>
        <v>0</v>
      </c>
      <c r="J24" s="683">
        <f>+landbouw!I8</f>
        <v>0</v>
      </c>
      <c r="K24" s="683">
        <f>+landbouw!J8</f>
        <v>2190.9670212033575</v>
      </c>
      <c r="L24" s="683">
        <f>+landbouw!K8</f>
        <v>0</v>
      </c>
      <c r="M24" s="683">
        <f>+landbouw!L8</f>
        <v>0</v>
      </c>
      <c r="N24" s="683">
        <f>+landbouw!M8</f>
        <v>0</v>
      </c>
      <c r="O24" s="683">
        <f>+landbouw!N8</f>
        <v>0</v>
      </c>
      <c r="P24" s="683">
        <f>+landbouw!O8</f>
        <v>0</v>
      </c>
      <c r="Q24" s="684">
        <f>+landbouw!P8</f>
        <v>0</v>
      </c>
      <c r="R24" s="686">
        <f>SUM(C24:Q24)</f>
        <v>223958.62031256623</v>
      </c>
      <c r="S24" s="67"/>
    </row>
    <row r="25" spans="1:19" s="445" customFormat="1" ht="15" thickBot="1">
      <c r="A25" s="826" t="s">
        <v>696</v>
      </c>
      <c r="B25" s="939"/>
      <c r="C25" s="940">
        <f>IF(Onbekend_ele_kWh="---",0,Onbekend_ele_kWh)/1000+IF(REST_rest_ele_kWh="---",0,REST_rest_ele_kWh)/1000</f>
        <v>589.96539326292498</v>
      </c>
      <c r="D25" s="940"/>
      <c r="E25" s="940">
        <f>IF(onbekend_gas_kWh="---",0,onbekend_gas_kWh)/1000+IF(REST_rest_gas_kWh="---",0,REST_rest_gas_kWh)/1000</f>
        <v>6455.1718552156699</v>
      </c>
      <c r="F25" s="940"/>
      <c r="G25" s="940"/>
      <c r="H25" s="940"/>
      <c r="I25" s="940"/>
      <c r="J25" s="940"/>
      <c r="K25" s="940"/>
      <c r="L25" s="940"/>
      <c r="M25" s="940"/>
      <c r="N25" s="940"/>
      <c r="O25" s="940"/>
      <c r="P25" s="940"/>
      <c r="Q25" s="941"/>
      <c r="R25" s="686">
        <f>SUM(C25:Q25)</f>
        <v>7045.1372484785952</v>
      </c>
      <c r="S25" s="67"/>
    </row>
    <row r="26" spans="1:19" s="445" customFormat="1" ht="15.75" thickBot="1">
      <c r="A26" s="691" t="s">
        <v>697</v>
      </c>
      <c r="B26" s="812"/>
      <c r="C26" s="807">
        <f>SUM(C24:C25)</f>
        <v>9206.7078530655835</v>
      </c>
      <c r="D26" s="807">
        <f t="shared" ref="D26:R26" si="2">SUM(D24:D25)</f>
        <v>122021.19642857142</v>
      </c>
      <c r="E26" s="807">
        <f t="shared" si="2"/>
        <v>70061.932632968368</v>
      </c>
      <c r="F26" s="807">
        <f t="shared" si="2"/>
        <v>246.79808624669101</v>
      </c>
      <c r="G26" s="807">
        <f t="shared" si="2"/>
        <v>27276.15553898942</v>
      </c>
      <c r="H26" s="807">
        <f t="shared" si="2"/>
        <v>0</v>
      </c>
      <c r="I26" s="807">
        <f t="shared" si="2"/>
        <v>0</v>
      </c>
      <c r="J26" s="807">
        <f t="shared" si="2"/>
        <v>0</v>
      </c>
      <c r="K26" s="807">
        <f t="shared" si="2"/>
        <v>2190.9670212033575</v>
      </c>
      <c r="L26" s="807">
        <f t="shared" si="2"/>
        <v>0</v>
      </c>
      <c r="M26" s="807">
        <f t="shared" si="2"/>
        <v>0</v>
      </c>
      <c r="N26" s="807">
        <f t="shared" si="2"/>
        <v>0</v>
      </c>
      <c r="O26" s="807">
        <f t="shared" si="2"/>
        <v>0</v>
      </c>
      <c r="P26" s="807">
        <f t="shared" si="2"/>
        <v>0</v>
      </c>
      <c r="Q26" s="807">
        <f t="shared" si="2"/>
        <v>0</v>
      </c>
      <c r="R26" s="807">
        <f t="shared" si="2"/>
        <v>231003.75756104483</v>
      </c>
      <c r="S26" s="67"/>
    </row>
    <row r="27" spans="1:19" s="445" customFormat="1" ht="17.25" thickTop="1" thickBot="1">
      <c r="A27" s="692" t="s">
        <v>115</v>
      </c>
      <c r="B27" s="799"/>
      <c r="C27" s="693">
        <f ca="1">C22+C16+C26</f>
        <v>158953.7826392529</v>
      </c>
      <c r="D27" s="693">
        <f t="shared" ref="D27:R27" ca="1" si="3">D22+D16+D26</f>
        <v>132049.76785714284</v>
      </c>
      <c r="E27" s="693">
        <f t="shared" ca="1" si="3"/>
        <v>483678.18884267862</v>
      </c>
      <c r="F27" s="693">
        <f t="shared" si="3"/>
        <v>1643.2485277690294</v>
      </c>
      <c r="G27" s="693">
        <f t="shared" ca="1" si="3"/>
        <v>63598.490134611973</v>
      </c>
      <c r="H27" s="693">
        <f t="shared" si="3"/>
        <v>43104.004508242346</v>
      </c>
      <c r="I27" s="693">
        <f t="shared" si="3"/>
        <v>11127.980067432756</v>
      </c>
      <c r="J27" s="693">
        <f t="shared" si="3"/>
        <v>0</v>
      </c>
      <c r="K27" s="693">
        <f t="shared" si="3"/>
        <v>2333.0279111656691</v>
      </c>
      <c r="L27" s="693">
        <f t="shared" si="3"/>
        <v>0</v>
      </c>
      <c r="M27" s="693">
        <f t="shared" ca="1" si="3"/>
        <v>0</v>
      </c>
      <c r="N27" s="693">
        <f t="shared" si="3"/>
        <v>3263.8337769892205</v>
      </c>
      <c r="O27" s="693">
        <f t="shared" ca="1" si="3"/>
        <v>14452.273183566485</v>
      </c>
      <c r="P27" s="693">
        <f t="shared" si="3"/>
        <v>400.63429075092762</v>
      </c>
      <c r="Q27" s="693">
        <f t="shared" si="3"/>
        <v>1168.8775084572474</v>
      </c>
      <c r="R27" s="693">
        <f t="shared" ca="1" si="3"/>
        <v>915774.10924806003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6420.4094060954731</v>
      </c>
      <c r="D40" s="683">
        <f ca="1">tertiair!C20</f>
        <v>0</v>
      </c>
      <c r="E40" s="683">
        <f ca="1">tertiair!D20</f>
        <v>6548.1193937054222</v>
      </c>
      <c r="F40" s="683">
        <f>tertiair!E20</f>
        <v>51.137677895945458</v>
      </c>
      <c r="G40" s="683">
        <f ca="1">tertiair!F20</f>
        <v>3682.5447550826971</v>
      </c>
      <c r="H40" s="683">
        <f>tertiair!G20</f>
        <v>0</v>
      </c>
      <c r="I40" s="683">
        <f>tertiair!H20</f>
        <v>0</v>
      </c>
      <c r="J40" s="683">
        <f>tertiair!I20</f>
        <v>0</v>
      </c>
      <c r="K40" s="683">
        <f>tertiair!J20</f>
        <v>4.8632099399627302E-2</v>
      </c>
      <c r="L40" s="683">
        <f>tertiair!K20</f>
        <v>0</v>
      </c>
      <c r="M40" s="683">
        <f ca="1">tertiair!L20</f>
        <v>0</v>
      </c>
      <c r="N40" s="683">
        <f>tertiair!M20</f>
        <v>0</v>
      </c>
      <c r="O40" s="683">
        <f ca="1">tertiair!N20</f>
        <v>0</v>
      </c>
      <c r="P40" s="683">
        <f>tertiair!O20</f>
        <v>0</v>
      </c>
      <c r="Q40" s="766">
        <f>tertiair!P20</f>
        <v>0</v>
      </c>
      <c r="R40" s="845">
        <f t="shared" ca="1" si="4"/>
        <v>16702.259864878935</v>
      </c>
    </row>
    <row r="41" spans="1:18">
      <c r="A41" s="817" t="s">
        <v>220</v>
      </c>
      <c r="B41" s="824"/>
      <c r="C41" s="683">
        <f ca="1">huishoudens!B12</f>
        <v>6097.6306490022425</v>
      </c>
      <c r="D41" s="683">
        <f ca="1">huishoudens!C12</f>
        <v>0</v>
      </c>
      <c r="E41" s="683">
        <f>huishoudens!D12</f>
        <v>15281.538428302507</v>
      </c>
      <c r="F41" s="683">
        <f>huishoudens!E12</f>
        <v>226.64364274161969</v>
      </c>
      <c r="G41" s="683">
        <f>huishoudens!F12</f>
        <v>5839.8814223419458</v>
      </c>
      <c r="H41" s="683">
        <f>huishoudens!G12</f>
        <v>0</v>
      </c>
      <c r="I41" s="683">
        <f>huishoudens!H12</f>
        <v>0</v>
      </c>
      <c r="J41" s="683">
        <f>huishoudens!I12</f>
        <v>0</v>
      </c>
      <c r="K41" s="683">
        <f>huishoudens!J12</f>
        <v>44.126859649137799</v>
      </c>
      <c r="L41" s="683">
        <f>huishoudens!K12</f>
        <v>0</v>
      </c>
      <c r="M41" s="683">
        <f>huishoudens!L12</f>
        <v>0</v>
      </c>
      <c r="N41" s="683">
        <f>huishoudens!M12</f>
        <v>0</v>
      </c>
      <c r="O41" s="683">
        <f>huishoudens!N12</f>
        <v>0</v>
      </c>
      <c r="P41" s="683">
        <f>huishoudens!O12</f>
        <v>0</v>
      </c>
      <c r="Q41" s="766">
        <f>huishoudens!P12</f>
        <v>0</v>
      </c>
      <c r="R41" s="845">
        <f t="shared" ca="1" si="4"/>
        <v>27489.821002037454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20110.423440258564</v>
      </c>
      <c r="D43" s="683">
        <f ca="1">industrie!C22</f>
        <v>2383.2605042016817</v>
      </c>
      <c r="E43" s="683">
        <f>industrie!D22</f>
        <v>61674.923176564938</v>
      </c>
      <c r="F43" s="683">
        <f>industrie!E22</f>
        <v>18.899473745598577</v>
      </c>
      <c r="G43" s="683">
        <f>industrie!F22</f>
        <v>175.63715960657979</v>
      </c>
      <c r="H43" s="683">
        <f>industrie!G22</f>
        <v>0</v>
      </c>
      <c r="I43" s="683">
        <f>industrie!H22</f>
        <v>0</v>
      </c>
      <c r="J43" s="683">
        <f>industrie!I22</f>
        <v>0</v>
      </c>
      <c r="K43" s="683">
        <f>industrie!J22</f>
        <v>6.1140632981209757</v>
      </c>
      <c r="L43" s="683">
        <f>industrie!K22</f>
        <v>0</v>
      </c>
      <c r="M43" s="683">
        <f>industrie!L22</f>
        <v>0</v>
      </c>
      <c r="N43" s="683">
        <f>industrie!M22</f>
        <v>0</v>
      </c>
      <c r="O43" s="683">
        <f>industrie!N22</f>
        <v>0</v>
      </c>
      <c r="P43" s="683">
        <f>industrie!O22</f>
        <v>0</v>
      </c>
      <c r="Q43" s="766">
        <f>industrie!P22</f>
        <v>0</v>
      </c>
      <c r="R43" s="844">
        <f t="shared" ca="1" si="4"/>
        <v>84369.257817675476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32628.463495356278</v>
      </c>
      <c r="D46" s="719">
        <f t="shared" ref="D46:Q46" ca="1" si="5">SUM(D39:D45)</f>
        <v>2383.2605042016817</v>
      </c>
      <c r="E46" s="719">
        <f t="shared" ca="1" si="5"/>
        <v>83504.58099857287</v>
      </c>
      <c r="F46" s="719">
        <f t="shared" si="5"/>
        <v>296.68079438316374</v>
      </c>
      <c r="G46" s="719">
        <f t="shared" ca="1" si="5"/>
        <v>9698.0633370312225</v>
      </c>
      <c r="H46" s="719">
        <f t="shared" si="5"/>
        <v>0</v>
      </c>
      <c r="I46" s="719">
        <f t="shared" si="5"/>
        <v>0</v>
      </c>
      <c r="J46" s="719">
        <f t="shared" si="5"/>
        <v>0</v>
      </c>
      <c r="K46" s="719">
        <f t="shared" si="5"/>
        <v>50.2895550466584</v>
      </c>
      <c r="L46" s="719">
        <f t="shared" si="5"/>
        <v>0</v>
      </c>
      <c r="M46" s="719">
        <f t="shared" ca="1" si="5"/>
        <v>0</v>
      </c>
      <c r="N46" s="719">
        <f t="shared" si="5"/>
        <v>0</v>
      </c>
      <c r="O46" s="719">
        <f t="shared" ca="1" si="5"/>
        <v>0</v>
      </c>
      <c r="P46" s="719">
        <f t="shared" si="5"/>
        <v>0</v>
      </c>
      <c r="Q46" s="719">
        <f t="shared" si="5"/>
        <v>0</v>
      </c>
      <c r="R46" s="719">
        <f ca="1">SUM(R39:R45)</f>
        <v>128561.33868459187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4.0479627272049514</v>
      </c>
      <c r="D49" s="683">
        <f ca="1">transport!C58</f>
        <v>0</v>
      </c>
      <c r="E49" s="683">
        <f>transport!D58</f>
        <v>0</v>
      </c>
      <c r="F49" s="683">
        <f>transport!E58</f>
        <v>0</v>
      </c>
      <c r="G49" s="683">
        <f>transport!F58</f>
        <v>0</v>
      </c>
      <c r="H49" s="683">
        <f>transport!G58</f>
        <v>310.22102250721963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314.26898523442458</v>
      </c>
    </row>
    <row r="50" spans="1:18">
      <c r="A50" s="820" t="s">
        <v>302</v>
      </c>
      <c r="B50" s="830"/>
      <c r="C50" s="689">
        <f ca="1">transport!B18</f>
        <v>28.542520954057917</v>
      </c>
      <c r="D50" s="689">
        <f>transport!C18</f>
        <v>0</v>
      </c>
      <c r="E50" s="689">
        <f>transport!D18</f>
        <v>45.902755788610527</v>
      </c>
      <c r="F50" s="689">
        <f>transport!E18</f>
        <v>20.313455842407091</v>
      </c>
      <c r="G50" s="689">
        <f>transport!F18</f>
        <v>0</v>
      </c>
      <c r="H50" s="689">
        <f>transport!G18</f>
        <v>11198.548181193486</v>
      </c>
      <c r="I50" s="689">
        <f>transport!H18</f>
        <v>2770.8670367907562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14064.173950569319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32.590483681262867</v>
      </c>
      <c r="D52" s="719">
        <f t="shared" ref="D52:Q52" ca="1" si="6">SUM(D48:D51)</f>
        <v>0</v>
      </c>
      <c r="E52" s="719">
        <f t="shared" si="6"/>
        <v>45.902755788610527</v>
      </c>
      <c r="F52" s="719">
        <f t="shared" si="6"/>
        <v>20.313455842407091</v>
      </c>
      <c r="G52" s="719">
        <f t="shared" si="6"/>
        <v>0</v>
      </c>
      <c r="H52" s="719">
        <f t="shared" si="6"/>
        <v>11508.769203700705</v>
      </c>
      <c r="I52" s="719">
        <f t="shared" si="6"/>
        <v>2770.8670367907562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14378.442935803743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1879.3815572351916</v>
      </c>
      <c r="D54" s="689">
        <f ca="1">+landbouw!C12</f>
        <v>28997.978445378158</v>
      </c>
      <c r="E54" s="689">
        <f>+landbouw!D12</f>
        <v>12848.565677106046</v>
      </c>
      <c r="F54" s="689">
        <f>+landbouw!E12</f>
        <v>56.02316557799886</v>
      </c>
      <c r="G54" s="689">
        <f>+landbouw!F12</f>
        <v>7282.7335289101757</v>
      </c>
      <c r="H54" s="689">
        <f>+landbouw!G12</f>
        <v>0</v>
      </c>
      <c r="I54" s="689">
        <f>+landbouw!H12</f>
        <v>0</v>
      </c>
      <c r="J54" s="689">
        <f>+landbouw!I12</f>
        <v>0</v>
      </c>
      <c r="K54" s="689">
        <f>+landbouw!J12</f>
        <v>775.60232550598846</v>
      </c>
      <c r="L54" s="689">
        <f>+landbouw!K12</f>
        <v>0</v>
      </c>
      <c r="M54" s="689">
        <f>+landbouw!L12</f>
        <v>0</v>
      </c>
      <c r="N54" s="689">
        <f>+landbouw!M12</f>
        <v>0</v>
      </c>
      <c r="O54" s="689">
        <f>+landbouw!N12</f>
        <v>0</v>
      </c>
      <c r="P54" s="689">
        <f>+landbouw!O12</f>
        <v>0</v>
      </c>
      <c r="Q54" s="690">
        <f>+landbouw!P12</f>
        <v>0</v>
      </c>
      <c r="R54" s="718">
        <f ca="1">SUM(C54:Q54)</f>
        <v>51840.284699713564</v>
      </c>
    </row>
    <row r="55" spans="1:18" ht="15" thickBot="1">
      <c r="A55" s="820" t="s">
        <v>696</v>
      </c>
      <c r="B55" s="830"/>
      <c r="C55" s="689">
        <f ca="1">C25*'EF ele_warmte'!B12</f>
        <v>128.6762468157533</v>
      </c>
      <c r="D55" s="689"/>
      <c r="E55" s="689">
        <f>E25*EF_CO2_aardgas</f>
        <v>1303.9447147535654</v>
      </c>
      <c r="F55" s="689"/>
      <c r="G55" s="689"/>
      <c r="H55" s="689"/>
      <c r="I55" s="689"/>
      <c r="J55" s="689"/>
      <c r="K55" s="689"/>
      <c r="L55" s="689"/>
      <c r="M55" s="689"/>
      <c r="N55" s="689"/>
      <c r="O55" s="689"/>
      <c r="P55" s="689"/>
      <c r="Q55" s="690"/>
      <c r="R55" s="718">
        <f ca="1">SUM(C55:Q55)</f>
        <v>1432.6209615693188</v>
      </c>
    </row>
    <row r="56" spans="1:18" ht="15.75" thickBot="1">
      <c r="A56" s="818" t="s">
        <v>697</v>
      </c>
      <c r="B56" s="831"/>
      <c r="C56" s="719">
        <f ca="1">SUM(C54:C55)</f>
        <v>2008.0578040509449</v>
      </c>
      <c r="D56" s="719">
        <f t="shared" ref="D56:Q56" ca="1" si="7">SUM(D54:D55)</f>
        <v>28997.978445378158</v>
      </c>
      <c r="E56" s="719">
        <f t="shared" si="7"/>
        <v>14152.510391859611</v>
      </c>
      <c r="F56" s="719">
        <f t="shared" si="7"/>
        <v>56.02316557799886</v>
      </c>
      <c r="G56" s="719">
        <f t="shared" si="7"/>
        <v>7282.7335289101757</v>
      </c>
      <c r="H56" s="719">
        <f t="shared" si="7"/>
        <v>0</v>
      </c>
      <c r="I56" s="719">
        <f t="shared" si="7"/>
        <v>0</v>
      </c>
      <c r="J56" s="719">
        <f t="shared" si="7"/>
        <v>0</v>
      </c>
      <c r="K56" s="719">
        <f t="shared" si="7"/>
        <v>775.60232550598846</v>
      </c>
      <c r="L56" s="719">
        <f t="shared" si="7"/>
        <v>0</v>
      </c>
      <c r="M56" s="719">
        <f t="shared" si="7"/>
        <v>0</v>
      </c>
      <c r="N56" s="719">
        <f t="shared" si="7"/>
        <v>0</v>
      </c>
      <c r="O56" s="719">
        <f t="shared" si="7"/>
        <v>0</v>
      </c>
      <c r="P56" s="719">
        <f t="shared" si="7"/>
        <v>0</v>
      </c>
      <c r="Q56" s="720">
        <f t="shared" si="7"/>
        <v>0</v>
      </c>
      <c r="R56" s="721">
        <f ca="1">SUM(R54:R55)</f>
        <v>53272.905661282886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34669.111783088483</v>
      </c>
      <c r="D61" s="727">
        <f t="shared" ref="D61:Q61" ca="1" si="8">D46+D52+D56</f>
        <v>31381.238949579838</v>
      </c>
      <c r="E61" s="727">
        <f t="shared" ca="1" si="8"/>
        <v>97702.994146221099</v>
      </c>
      <c r="F61" s="727">
        <f t="shared" si="8"/>
        <v>373.01741580356969</v>
      </c>
      <c r="G61" s="727">
        <f t="shared" ca="1" si="8"/>
        <v>16980.796865941396</v>
      </c>
      <c r="H61" s="727">
        <f t="shared" si="8"/>
        <v>11508.769203700705</v>
      </c>
      <c r="I61" s="727">
        <f t="shared" si="8"/>
        <v>2770.8670367907562</v>
      </c>
      <c r="J61" s="727">
        <f t="shared" si="8"/>
        <v>0</v>
      </c>
      <c r="K61" s="727">
        <f t="shared" si="8"/>
        <v>825.89188055264685</v>
      </c>
      <c r="L61" s="727">
        <f t="shared" si="8"/>
        <v>0</v>
      </c>
      <c r="M61" s="727">
        <f t="shared" ca="1" si="8"/>
        <v>0</v>
      </c>
      <c r="N61" s="727">
        <f t="shared" si="8"/>
        <v>0</v>
      </c>
      <c r="O61" s="727">
        <f t="shared" ca="1" si="8"/>
        <v>0</v>
      </c>
      <c r="P61" s="727">
        <f t="shared" si="8"/>
        <v>0</v>
      </c>
      <c r="Q61" s="727">
        <f t="shared" si="8"/>
        <v>0</v>
      </c>
      <c r="R61" s="727">
        <f ca="1">R46+R52+R56</f>
        <v>196212.68728167849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0.21810812682432579</v>
      </c>
      <c r="D63" s="773">
        <f t="shared" ca="1" si="9"/>
        <v>0.23764705882352949</v>
      </c>
      <c r="E63" s="965">
        <f t="shared" ca="1" si="9"/>
        <v>0.20200000000000004</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9155.2373072049068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93928.5</v>
      </c>
      <c r="D76" s="948">
        <f>'lokale energieproductie'!C8</f>
        <v>110504.11764705883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22321.831764705883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9155.2373072049068</v>
      </c>
      <c r="C78" s="745">
        <f>SUM(C72:C77)</f>
        <v>93928.5</v>
      </c>
      <c r="D78" s="746">
        <f t="shared" ref="D78:H78" si="10">SUM(D76:D77)</f>
        <v>110504.11764705883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22321.831764705883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132049.76785714287</v>
      </c>
      <c r="D87" s="769">
        <f>'lokale energieproductie'!C17</f>
        <v>155352.66806722691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31381.238949579838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132049.76785714287</v>
      </c>
      <c r="D90" s="745">
        <f t="shared" ref="D90:H90" si="12">SUM(D87:D89)</f>
        <v>155352.66806722691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31381.238949579838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27956.916313868263</v>
      </c>
      <c r="C4" s="449">
        <f>huishoudens!C8</f>
        <v>0</v>
      </c>
      <c r="D4" s="449">
        <f>huishoudens!D8</f>
        <v>75651.18033813122</v>
      </c>
      <c r="E4" s="449">
        <f>huishoudens!E8</f>
        <v>998.43014423621003</v>
      </c>
      <c r="F4" s="449">
        <f>huishoudens!F8</f>
        <v>21872.215064951106</v>
      </c>
      <c r="G4" s="449">
        <f>huishoudens!G8</f>
        <v>0</v>
      </c>
      <c r="H4" s="449">
        <f>huishoudens!H8</f>
        <v>0</v>
      </c>
      <c r="I4" s="449">
        <f>huishoudens!I8</f>
        <v>0</v>
      </c>
      <c r="J4" s="449">
        <f>huishoudens!J8</f>
        <v>124.65214590151922</v>
      </c>
      <c r="K4" s="449">
        <f>huishoudens!K8</f>
        <v>0</v>
      </c>
      <c r="L4" s="449">
        <f>huishoudens!L8</f>
        <v>0</v>
      </c>
      <c r="M4" s="449">
        <f>huishoudens!M8</f>
        <v>0</v>
      </c>
      <c r="N4" s="449">
        <f>huishoudens!N8</f>
        <v>9144.8261012313105</v>
      </c>
      <c r="O4" s="449">
        <f>huishoudens!O8</f>
        <v>390.83976921924528</v>
      </c>
      <c r="P4" s="450">
        <f>huishoudens!P8</f>
        <v>1011.2600935377623</v>
      </c>
      <c r="Q4" s="451">
        <f>SUM(B4:P4)</f>
        <v>137150.31997107665</v>
      </c>
    </row>
    <row r="5" spans="1:17">
      <c r="A5" s="448" t="s">
        <v>155</v>
      </c>
      <c r="B5" s="449">
        <f ca="1">tertiair!B16</f>
        <v>28225.492790648561</v>
      </c>
      <c r="C5" s="449">
        <f ca="1">tertiair!C16</f>
        <v>0</v>
      </c>
      <c r="D5" s="449">
        <f ca="1">tertiair!D16</f>
        <v>32416.432642106047</v>
      </c>
      <c r="E5" s="449">
        <f>tertiair!E16</f>
        <v>225.27611407905488</v>
      </c>
      <c r="F5" s="449">
        <f ca="1">tertiair!F16</f>
        <v>13792.302453493247</v>
      </c>
      <c r="G5" s="449">
        <f>tertiair!G16</f>
        <v>0</v>
      </c>
      <c r="H5" s="449">
        <f>tertiair!H16</f>
        <v>0</v>
      </c>
      <c r="I5" s="449">
        <f>tertiair!I16</f>
        <v>0</v>
      </c>
      <c r="J5" s="449">
        <f>tertiair!J16</f>
        <v>0.13737881186335396</v>
      </c>
      <c r="K5" s="449">
        <f>tertiair!K16</f>
        <v>0</v>
      </c>
      <c r="L5" s="449">
        <f ca="1">tertiair!L16</f>
        <v>0</v>
      </c>
      <c r="M5" s="449">
        <f>tertiair!M16</f>
        <v>0</v>
      </c>
      <c r="N5" s="449">
        <f ca="1">tertiair!N16</f>
        <v>5229.0104296993268</v>
      </c>
      <c r="O5" s="449">
        <f>tertiair!O16</f>
        <v>9.7945215316823084</v>
      </c>
      <c r="P5" s="450">
        <f>tertiair!P16</f>
        <v>157.61741491948504</v>
      </c>
      <c r="Q5" s="448">
        <f t="shared" ref="Q5:Q14" ca="1" si="0">SUM(B5:P5)</f>
        <v>80056.06374528927</v>
      </c>
    </row>
    <row r="6" spans="1:17">
      <c r="A6" s="448" t="s">
        <v>193</v>
      </c>
      <c r="B6" s="449">
        <f>'openbare verlichting'!B8</f>
        <v>1211.326</v>
      </c>
      <c r="C6" s="449"/>
      <c r="D6" s="449"/>
      <c r="E6" s="449"/>
      <c r="F6" s="449"/>
      <c r="G6" s="449"/>
      <c r="H6" s="449"/>
      <c r="I6" s="449"/>
      <c r="J6" s="449"/>
      <c r="K6" s="449"/>
      <c r="L6" s="449"/>
      <c r="M6" s="449"/>
      <c r="N6" s="449"/>
      <c r="O6" s="449"/>
      <c r="P6" s="450"/>
      <c r="Q6" s="448">
        <f t="shared" si="0"/>
        <v>1211.326</v>
      </c>
    </row>
    <row r="7" spans="1:17">
      <c r="A7" s="448" t="s">
        <v>111</v>
      </c>
      <c r="B7" s="449">
        <f>landbouw!B8</f>
        <v>8616.7424598026591</v>
      </c>
      <c r="C7" s="449">
        <f>landbouw!C8</f>
        <v>122021.19642857142</v>
      </c>
      <c r="D7" s="449">
        <f>landbouw!D8</f>
        <v>63606.760777752701</v>
      </c>
      <c r="E7" s="449">
        <f>landbouw!E8</f>
        <v>246.79808624669101</v>
      </c>
      <c r="F7" s="449">
        <f>landbouw!F8</f>
        <v>27276.15553898942</v>
      </c>
      <c r="G7" s="449">
        <f>landbouw!G8</f>
        <v>0</v>
      </c>
      <c r="H7" s="449">
        <f>landbouw!H8</f>
        <v>0</v>
      </c>
      <c r="I7" s="449">
        <f>landbouw!I8</f>
        <v>0</v>
      </c>
      <c r="J7" s="449">
        <f>landbouw!J8</f>
        <v>2190.9670212033575</v>
      </c>
      <c r="K7" s="449">
        <f>landbouw!K8</f>
        <v>0</v>
      </c>
      <c r="L7" s="449">
        <f>landbouw!L8</f>
        <v>0</v>
      </c>
      <c r="M7" s="449">
        <f>landbouw!M8</f>
        <v>0</v>
      </c>
      <c r="N7" s="449">
        <f>landbouw!N8</f>
        <v>0</v>
      </c>
      <c r="O7" s="449">
        <f>landbouw!O8</f>
        <v>0</v>
      </c>
      <c r="P7" s="450">
        <f>landbouw!P8</f>
        <v>0</v>
      </c>
      <c r="Q7" s="448">
        <f t="shared" si="0"/>
        <v>223958.62031256623</v>
      </c>
    </row>
    <row r="8" spans="1:17">
      <c r="A8" s="448" t="s">
        <v>617</v>
      </c>
      <c r="B8" s="449">
        <f>industrie!B18</f>
        <v>92203.916163364294</v>
      </c>
      <c r="C8" s="449">
        <f>industrie!C18</f>
        <v>10028.571428571429</v>
      </c>
      <c r="D8" s="449">
        <f>industrie!D18</f>
        <v>305321.40186418284</v>
      </c>
      <c r="E8" s="449">
        <f>industrie!E18</f>
        <v>83.25759359294527</v>
      </c>
      <c r="F8" s="449">
        <f>industrie!F18</f>
        <v>657.81707717820143</v>
      </c>
      <c r="G8" s="449">
        <f>industrie!G18</f>
        <v>0</v>
      </c>
      <c r="H8" s="449">
        <f>industrie!H18</f>
        <v>0</v>
      </c>
      <c r="I8" s="449">
        <f>industrie!I18</f>
        <v>0</v>
      </c>
      <c r="J8" s="449">
        <f>industrie!J18</f>
        <v>17.27136524892931</v>
      </c>
      <c r="K8" s="449">
        <f>industrie!K18</f>
        <v>0</v>
      </c>
      <c r="L8" s="449">
        <f>industrie!L18</f>
        <v>0</v>
      </c>
      <c r="M8" s="449">
        <f>industrie!M18</f>
        <v>0</v>
      </c>
      <c r="N8" s="449">
        <f>industrie!N18</f>
        <v>78.43665263584748</v>
      </c>
      <c r="O8" s="449">
        <f>industrie!O18</f>
        <v>0</v>
      </c>
      <c r="P8" s="450">
        <f>industrie!P18</f>
        <v>0</v>
      </c>
      <c r="Q8" s="448">
        <f t="shared" si="0"/>
        <v>408390.67214477452</v>
      </c>
    </row>
    <row r="9" spans="1:17" s="454" customFormat="1">
      <c r="A9" s="452" t="s">
        <v>543</v>
      </c>
      <c r="B9" s="453">
        <f>transport!B14</f>
        <v>130.86408732053968</v>
      </c>
      <c r="C9" s="453">
        <f>transport!C14</f>
        <v>0</v>
      </c>
      <c r="D9" s="453">
        <f>transport!D14</f>
        <v>227.24136529015112</v>
      </c>
      <c r="E9" s="453">
        <f>transport!E14</f>
        <v>89.48658961412815</v>
      </c>
      <c r="F9" s="453">
        <f>transport!F14</f>
        <v>0</v>
      </c>
      <c r="G9" s="453">
        <f>transport!G14</f>
        <v>41942.128019451258</v>
      </c>
      <c r="H9" s="453">
        <f>transport!H14</f>
        <v>11127.980067432756</v>
      </c>
      <c r="I9" s="453">
        <f>transport!I14</f>
        <v>0</v>
      </c>
      <c r="J9" s="453">
        <f>transport!J14</f>
        <v>0</v>
      </c>
      <c r="K9" s="453">
        <f>transport!K14</f>
        <v>0</v>
      </c>
      <c r="L9" s="453">
        <f>transport!L14</f>
        <v>0</v>
      </c>
      <c r="M9" s="453">
        <f>transport!M14</f>
        <v>3197.1214016679178</v>
      </c>
      <c r="N9" s="453">
        <f>transport!N14</f>
        <v>0</v>
      </c>
      <c r="O9" s="453">
        <f>transport!O14</f>
        <v>0</v>
      </c>
      <c r="P9" s="453">
        <f>transport!P14</f>
        <v>0</v>
      </c>
      <c r="Q9" s="452">
        <f>SUM(B9:P9)</f>
        <v>56714.821530776746</v>
      </c>
    </row>
    <row r="10" spans="1:17">
      <c r="A10" s="448" t="s">
        <v>533</v>
      </c>
      <c r="B10" s="449">
        <f>transport!B54</f>
        <v>18.559430985647612</v>
      </c>
      <c r="C10" s="449">
        <f>transport!C54</f>
        <v>0</v>
      </c>
      <c r="D10" s="449">
        <f>transport!D54</f>
        <v>0</v>
      </c>
      <c r="E10" s="449">
        <f>transport!E54</f>
        <v>0</v>
      </c>
      <c r="F10" s="449">
        <f>transport!F54</f>
        <v>0</v>
      </c>
      <c r="G10" s="449">
        <f>transport!G54</f>
        <v>1161.8764887910847</v>
      </c>
      <c r="H10" s="449">
        <f>transport!H54</f>
        <v>0</v>
      </c>
      <c r="I10" s="449">
        <f>transport!I54</f>
        <v>0</v>
      </c>
      <c r="J10" s="449">
        <f>transport!J54</f>
        <v>0</v>
      </c>
      <c r="K10" s="449">
        <f>transport!K54</f>
        <v>0</v>
      </c>
      <c r="L10" s="449">
        <f>transport!L54</f>
        <v>0</v>
      </c>
      <c r="M10" s="449">
        <f>transport!M54</f>
        <v>66.712375321302645</v>
      </c>
      <c r="N10" s="449">
        <f>transport!N54</f>
        <v>0</v>
      </c>
      <c r="O10" s="449">
        <f>transport!O54</f>
        <v>0</v>
      </c>
      <c r="P10" s="450">
        <f>transport!P54</f>
        <v>0</v>
      </c>
      <c r="Q10" s="448">
        <f t="shared" si="0"/>
        <v>1247.1482950980351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589.96539326292498</v>
      </c>
      <c r="C14" s="456"/>
      <c r="D14" s="456">
        <f>'SEAP template'!E25</f>
        <v>6455.1718552156699</v>
      </c>
      <c r="E14" s="456"/>
      <c r="F14" s="456"/>
      <c r="G14" s="456"/>
      <c r="H14" s="456"/>
      <c r="I14" s="456"/>
      <c r="J14" s="456"/>
      <c r="K14" s="456"/>
      <c r="L14" s="456"/>
      <c r="M14" s="456"/>
      <c r="N14" s="456"/>
      <c r="O14" s="456"/>
      <c r="P14" s="457"/>
      <c r="Q14" s="448">
        <f t="shared" si="0"/>
        <v>7045.1372484785952</v>
      </c>
    </row>
    <row r="15" spans="1:17" s="460" customFormat="1">
      <c r="A15" s="458" t="s">
        <v>537</v>
      </c>
      <c r="B15" s="459">
        <f ca="1">SUM(B4:B14)</f>
        <v>158953.7826392529</v>
      </c>
      <c r="C15" s="459">
        <f t="shared" ref="C15:Q15" ca="1" si="1">SUM(C4:C14)</f>
        <v>132049.76785714284</v>
      </c>
      <c r="D15" s="459">
        <f t="shared" ca="1" si="1"/>
        <v>483678.18884267862</v>
      </c>
      <c r="E15" s="459">
        <f t="shared" si="1"/>
        <v>1643.2485277690294</v>
      </c>
      <c r="F15" s="459">
        <f t="shared" ca="1" si="1"/>
        <v>63598.490134611973</v>
      </c>
      <c r="G15" s="459">
        <f t="shared" si="1"/>
        <v>43104.004508242346</v>
      </c>
      <c r="H15" s="459">
        <f t="shared" si="1"/>
        <v>11127.980067432756</v>
      </c>
      <c r="I15" s="459">
        <f t="shared" si="1"/>
        <v>0</v>
      </c>
      <c r="J15" s="459">
        <f t="shared" si="1"/>
        <v>2333.0279111656691</v>
      </c>
      <c r="K15" s="459">
        <f t="shared" si="1"/>
        <v>0</v>
      </c>
      <c r="L15" s="459">
        <f t="shared" ca="1" si="1"/>
        <v>0</v>
      </c>
      <c r="M15" s="459">
        <f t="shared" si="1"/>
        <v>3263.8337769892205</v>
      </c>
      <c r="N15" s="459">
        <f t="shared" ca="1" si="1"/>
        <v>14452.273183566485</v>
      </c>
      <c r="O15" s="459">
        <f t="shared" si="1"/>
        <v>400.63429075092762</v>
      </c>
      <c r="P15" s="459">
        <f t="shared" si="1"/>
        <v>1168.8775084572474</v>
      </c>
      <c r="Q15" s="459">
        <f t="shared" ca="1" si="1"/>
        <v>915774.10924806003</v>
      </c>
    </row>
    <row r="17" spans="1:17">
      <c r="A17" s="461" t="s">
        <v>538</v>
      </c>
      <c r="B17" s="778">
        <f ca="1">huishoudens!B10</f>
        <v>0.21810812682432582</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6097.6306490022425</v>
      </c>
      <c r="C22" s="449">
        <f t="shared" ref="C22:C32" ca="1" si="3">C4*$C$17</f>
        <v>0</v>
      </c>
      <c r="D22" s="449">
        <f t="shared" ref="D22:D32" si="4">D4*$D$17</f>
        <v>15281.538428302507</v>
      </c>
      <c r="E22" s="449">
        <f t="shared" ref="E22:E32" si="5">E4*$E$17</f>
        <v>226.64364274161969</v>
      </c>
      <c r="F22" s="449">
        <f t="shared" ref="F22:F32" si="6">F4*$F$17</f>
        <v>5839.8814223419458</v>
      </c>
      <c r="G22" s="449">
        <f t="shared" ref="G22:G32" si="7">G4*$G$17</f>
        <v>0</v>
      </c>
      <c r="H22" s="449">
        <f t="shared" ref="H22:H32" si="8">H4*$H$17</f>
        <v>0</v>
      </c>
      <c r="I22" s="449">
        <f t="shared" ref="I22:I32" si="9">I4*$I$17</f>
        <v>0</v>
      </c>
      <c r="J22" s="449">
        <f t="shared" ref="J22:J32" si="10">J4*$J$17</f>
        <v>44.126859649137799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27489.821002037454</v>
      </c>
    </row>
    <row r="23" spans="1:17">
      <c r="A23" s="448" t="s">
        <v>155</v>
      </c>
      <c r="B23" s="449">
        <f t="shared" ca="1" si="2"/>
        <v>6156.2093612618701</v>
      </c>
      <c r="C23" s="449">
        <f t="shared" ca="1" si="3"/>
        <v>0</v>
      </c>
      <c r="D23" s="449">
        <f t="shared" ca="1" si="4"/>
        <v>6548.1193937054222</v>
      </c>
      <c r="E23" s="449">
        <f t="shared" si="5"/>
        <v>51.137677895945458</v>
      </c>
      <c r="F23" s="449">
        <f t="shared" ca="1" si="6"/>
        <v>3682.5447550826971</v>
      </c>
      <c r="G23" s="449">
        <f t="shared" si="7"/>
        <v>0</v>
      </c>
      <c r="H23" s="449">
        <f t="shared" si="8"/>
        <v>0</v>
      </c>
      <c r="I23" s="449">
        <f t="shared" si="9"/>
        <v>0</v>
      </c>
      <c r="J23" s="449">
        <f t="shared" si="10"/>
        <v>4.8632099399627302E-2</v>
      </c>
      <c r="K23" s="449">
        <f t="shared" si="11"/>
        <v>0</v>
      </c>
      <c r="L23" s="449">
        <f t="shared" ca="1" si="12"/>
        <v>0</v>
      </c>
      <c r="M23" s="449">
        <f t="shared" si="13"/>
        <v>0</v>
      </c>
      <c r="N23" s="449">
        <f t="shared" ca="1" si="14"/>
        <v>0</v>
      </c>
      <c r="O23" s="449">
        <f t="shared" si="15"/>
        <v>0</v>
      </c>
      <c r="P23" s="450">
        <f t="shared" si="16"/>
        <v>0</v>
      </c>
      <c r="Q23" s="448">
        <f t="shared" ref="Q23:Q31" ca="1" si="17">SUM(B23:P23)</f>
        <v>16438.059820045335</v>
      </c>
    </row>
    <row r="24" spans="1:17">
      <c r="A24" s="448" t="s">
        <v>193</v>
      </c>
      <c r="B24" s="449">
        <f t="shared" ca="1" si="2"/>
        <v>264.20004483360327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264.20004483360327</v>
      </c>
    </row>
    <row r="25" spans="1:17">
      <c r="A25" s="448" t="s">
        <v>111</v>
      </c>
      <c r="B25" s="449">
        <f t="shared" ca="1" si="2"/>
        <v>1879.3815572351916</v>
      </c>
      <c r="C25" s="449">
        <f t="shared" ca="1" si="3"/>
        <v>28997.978445378158</v>
      </c>
      <c r="D25" s="449">
        <f t="shared" si="4"/>
        <v>12848.565677106046</v>
      </c>
      <c r="E25" s="449">
        <f t="shared" si="5"/>
        <v>56.02316557799886</v>
      </c>
      <c r="F25" s="449">
        <f t="shared" si="6"/>
        <v>7282.7335289101757</v>
      </c>
      <c r="G25" s="449">
        <f t="shared" si="7"/>
        <v>0</v>
      </c>
      <c r="H25" s="449">
        <f t="shared" si="8"/>
        <v>0</v>
      </c>
      <c r="I25" s="449">
        <f t="shared" si="9"/>
        <v>0</v>
      </c>
      <c r="J25" s="449">
        <f t="shared" si="10"/>
        <v>775.60232550598846</v>
      </c>
      <c r="K25" s="449">
        <f t="shared" si="11"/>
        <v>0</v>
      </c>
      <c r="L25" s="449">
        <f t="shared" si="12"/>
        <v>0</v>
      </c>
      <c r="M25" s="449">
        <f t="shared" si="13"/>
        <v>0</v>
      </c>
      <c r="N25" s="449">
        <f t="shared" si="14"/>
        <v>0</v>
      </c>
      <c r="O25" s="449">
        <f t="shared" si="15"/>
        <v>0</v>
      </c>
      <c r="P25" s="450">
        <f t="shared" si="16"/>
        <v>0</v>
      </c>
      <c r="Q25" s="448">
        <f t="shared" ca="1" si="17"/>
        <v>51840.284699713564</v>
      </c>
    </row>
    <row r="26" spans="1:17">
      <c r="A26" s="448" t="s">
        <v>617</v>
      </c>
      <c r="B26" s="449">
        <f t="shared" ca="1" si="2"/>
        <v>20110.423440258564</v>
      </c>
      <c r="C26" s="449">
        <f t="shared" ca="1" si="3"/>
        <v>2383.2605042016817</v>
      </c>
      <c r="D26" s="449">
        <f t="shared" si="4"/>
        <v>61674.923176564938</v>
      </c>
      <c r="E26" s="449">
        <f t="shared" si="5"/>
        <v>18.899473745598577</v>
      </c>
      <c r="F26" s="449">
        <f t="shared" si="6"/>
        <v>175.63715960657979</v>
      </c>
      <c r="G26" s="449">
        <f t="shared" si="7"/>
        <v>0</v>
      </c>
      <c r="H26" s="449">
        <f t="shared" si="8"/>
        <v>0</v>
      </c>
      <c r="I26" s="449">
        <f t="shared" si="9"/>
        <v>0</v>
      </c>
      <c r="J26" s="449">
        <f t="shared" si="10"/>
        <v>6.1140632981209757</v>
      </c>
      <c r="K26" s="449">
        <f t="shared" si="11"/>
        <v>0</v>
      </c>
      <c r="L26" s="449">
        <f t="shared" si="12"/>
        <v>0</v>
      </c>
      <c r="M26" s="449">
        <f t="shared" si="13"/>
        <v>0</v>
      </c>
      <c r="N26" s="449">
        <f t="shared" si="14"/>
        <v>0</v>
      </c>
      <c r="O26" s="449">
        <f t="shared" si="15"/>
        <v>0</v>
      </c>
      <c r="P26" s="450">
        <f t="shared" si="16"/>
        <v>0</v>
      </c>
      <c r="Q26" s="448">
        <f t="shared" ca="1" si="17"/>
        <v>84369.257817675476</v>
      </c>
    </row>
    <row r="27" spans="1:17" s="454" customFormat="1">
      <c r="A27" s="452" t="s">
        <v>543</v>
      </c>
      <c r="B27" s="772">
        <f t="shared" ca="1" si="2"/>
        <v>28.542520954057917</v>
      </c>
      <c r="C27" s="453">
        <f t="shared" ca="1" si="3"/>
        <v>0</v>
      </c>
      <c r="D27" s="453">
        <f t="shared" si="4"/>
        <v>45.902755788610527</v>
      </c>
      <c r="E27" s="453">
        <f t="shared" si="5"/>
        <v>20.313455842407091</v>
      </c>
      <c r="F27" s="453">
        <f t="shared" si="6"/>
        <v>0</v>
      </c>
      <c r="G27" s="453">
        <f t="shared" si="7"/>
        <v>11198.548181193486</v>
      </c>
      <c r="H27" s="453">
        <f t="shared" si="8"/>
        <v>2770.8670367907562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14064.173950569319</v>
      </c>
    </row>
    <row r="28" spans="1:17" ht="16.5" customHeight="1">
      <c r="A28" s="448" t="s">
        <v>533</v>
      </c>
      <c r="B28" s="449">
        <f t="shared" ca="1" si="2"/>
        <v>4.0479627272049514</v>
      </c>
      <c r="C28" s="449">
        <f t="shared" ca="1" si="3"/>
        <v>0</v>
      </c>
      <c r="D28" s="449">
        <f t="shared" si="4"/>
        <v>0</v>
      </c>
      <c r="E28" s="449">
        <f t="shared" si="5"/>
        <v>0</v>
      </c>
      <c r="F28" s="449">
        <f t="shared" si="6"/>
        <v>0</v>
      </c>
      <c r="G28" s="449">
        <f t="shared" si="7"/>
        <v>310.22102250721963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314.26898523442458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128.6762468157533</v>
      </c>
      <c r="C32" s="449">
        <f t="shared" ca="1" si="3"/>
        <v>0</v>
      </c>
      <c r="D32" s="449">
        <f t="shared" si="4"/>
        <v>1303.9447147535654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1432.6209615693188</v>
      </c>
    </row>
    <row r="33" spans="1:17" s="460" customFormat="1">
      <c r="A33" s="458" t="s">
        <v>537</v>
      </c>
      <c r="B33" s="459">
        <f ca="1">SUM(B22:B32)</f>
        <v>34669.11178308849</v>
      </c>
      <c r="C33" s="459">
        <f t="shared" ref="C33:Q33" ca="1" si="19">SUM(C22:C32)</f>
        <v>31381.238949579838</v>
      </c>
      <c r="D33" s="459">
        <f t="shared" ca="1" si="19"/>
        <v>97702.994146221085</v>
      </c>
      <c r="E33" s="459">
        <f t="shared" si="19"/>
        <v>373.01741580356969</v>
      </c>
      <c r="F33" s="459">
        <f t="shared" ca="1" si="19"/>
        <v>16980.796865941396</v>
      </c>
      <c r="G33" s="459">
        <f t="shared" si="19"/>
        <v>11508.769203700705</v>
      </c>
      <c r="H33" s="459">
        <f t="shared" si="19"/>
        <v>2770.8670367907562</v>
      </c>
      <c r="I33" s="459">
        <f t="shared" si="19"/>
        <v>0</v>
      </c>
      <c r="J33" s="459">
        <f t="shared" si="19"/>
        <v>825.89188055264685</v>
      </c>
      <c r="K33" s="459">
        <f t="shared" si="19"/>
        <v>0</v>
      </c>
      <c r="L33" s="459">
        <f t="shared" ca="1" si="19"/>
        <v>0</v>
      </c>
      <c r="M33" s="459">
        <f t="shared" si="19"/>
        <v>0</v>
      </c>
      <c r="N33" s="459">
        <f t="shared" ca="1" si="19"/>
        <v>0</v>
      </c>
      <c r="O33" s="459">
        <f t="shared" si="19"/>
        <v>0</v>
      </c>
      <c r="P33" s="459">
        <f t="shared" si="19"/>
        <v>0</v>
      </c>
      <c r="Q33" s="459">
        <f t="shared" ca="1" si="19"/>
        <v>196212.68728167852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9155.2373072049068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93928.5</v>
      </c>
      <c r="D8" s="1016">
        <f>'SEAP template'!D76</f>
        <v>110504.11764705883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22321.831764705883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9155.2373072049068</v>
      </c>
      <c r="C10" s="1018">
        <f>SUM(C4:C9)</f>
        <v>93928.5</v>
      </c>
      <c r="D10" s="1018">
        <f t="shared" ref="D10:H10" si="0">SUM(D8:D9)</f>
        <v>110504.11764705883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22321.831764705883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0.21810812682432582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132049.76785714287</v>
      </c>
      <c r="D17" s="1017">
        <f>'SEAP template'!D87</f>
        <v>155352.66806722691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31381.238949579838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132049.76785714287</v>
      </c>
      <c r="D20" s="1018">
        <f t="shared" ref="D20:H20" si="2">SUM(D17:D19)</f>
        <v>155352.66806722691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31381.238949579838</v>
      </c>
    </row>
    <row r="21" spans="1:16">
      <c r="B21" s="883"/>
    </row>
    <row r="22" spans="1:16">
      <c r="A22" s="461" t="s">
        <v>755</v>
      </c>
      <c r="B22" s="778" t="s">
        <v>753</v>
      </c>
      <c r="C22" s="778">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0.21810812682432582</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0.21810812682432582</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0.21810812682432582</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716.08</v>
      </c>
      <c r="C14" s="326"/>
      <c r="D14" s="326"/>
      <c r="E14" s="326"/>
      <c r="F14" s="326"/>
    </row>
    <row r="15" spans="1:6">
      <c r="A15" s="1312" t="s">
        <v>183</v>
      </c>
      <c r="B15" s="1313">
        <v>7</v>
      </c>
      <c r="C15" s="326"/>
      <c r="D15" s="326"/>
      <c r="E15" s="326"/>
      <c r="F15" s="326"/>
    </row>
    <row r="16" spans="1:6">
      <c r="A16" s="1312" t="s">
        <v>6</v>
      </c>
      <c r="B16" s="1313">
        <v>172</v>
      </c>
      <c r="C16" s="326"/>
      <c r="D16" s="326"/>
      <c r="E16" s="326"/>
      <c r="F16" s="326"/>
    </row>
    <row r="17" spans="1:6">
      <c r="A17" s="1312" t="s">
        <v>7</v>
      </c>
      <c r="B17" s="1313">
        <v>75</v>
      </c>
      <c r="C17" s="326"/>
      <c r="D17" s="326"/>
      <c r="E17" s="326"/>
      <c r="F17" s="326"/>
    </row>
    <row r="18" spans="1:6">
      <c r="A18" s="1312" t="s">
        <v>8</v>
      </c>
      <c r="B18" s="1313">
        <v>148</v>
      </c>
      <c r="C18" s="326"/>
      <c r="D18" s="326"/>
      <c r="E18" s="326"/>
      <c r="F18" s="326"/>
    </row>
    <row r="19" spans="1:6">
      <c r="A19" s="1312" t="s">
        <v>9</v>
      </c>
      <c r="B19" s="1313">
        <v>135</v>
      </c>
      <c r="C19" s="326"/>
      <c r="D19" s="326"/>
      <c r="E19" s="326"/>
      <c r="F19" s="326"/>
    </row>
    <row r="20" spans="1:6">
      <c r="A20" s="1312" t="s">
        <v>10</v>
      </c>
      <c r="B20" s="1313">
        <v>153</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137</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101</v>
      </c>
      <c r="C29" s="332"/>
      <c r="D29" s="332"/>
      <c r="E29" s="332"/>
      <c r="F29" s="332"/>
    </row>
    <row r="30" spans="1:6">
      <c r="A30" s="1307" t="s">
        <v>685</v>
      </c>
      <c r="B30" s="1316">
        <v>55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1172351.7937366399</v>
      </c>
    </row>
    <row r="37" spans="1:6">
      <c r="A37" s="1312" t="s">
        <v>24</v>
      </c>
      <c r="B37" s="1312" t="s">
        <v>27</v>
      </c>
      <c r="C37" s="1313">
        <v>0</v>
      </c>
      <c r="D37" s="1313">
        <v>0</v>
      </c>
      <c r="E37" s="1313">
        <v>0</v>
      </c>
      <c r="F37" s="1313">
        <v>0</v>
      </c>
    </row>
    <row r="38" spans="1:6">
      <c r="A38" s="1312" t="s">
        <v>24</v>
      </c>
      <c r="B38" s="1312" t="s">
        <v>28</v>
      </c>
      <c r="C38" s="1313">
        <v>1</v>
      </c>
      <c r="D38" s="1313">
        <v>49236906.607799999</v>
      </c>
      <c r="E38" s="1313">
        <v>0</v>
      </c>
      <c r="F38" s="1313">
        <v>0</v>
      </c>
    </row>
    <row r="39" spans="1:6">
      <c r="A39" s="1312" t="s">
        <v>29</v>
      </c>
      <c r="B39" s="1312" t="s">
        <v>30</v>
      </c>
      <c r="C39" s="1313">
        <v>5958</v>
      </c>
      <c r="D39" s="1313">
        <v>83777608.347875103</v>
      </c>
      <c r="E39" s="1313">
        <v>7409</v>
      </c>
      <c r="F39" s="1313">
        <v>23679411.3570625</v>
      </c>
    </row>
    <row r="40" spans="1:6">
      <c r="A40" s="1312" t="s">
        <v>29</v>
      </c>
      <c r="B40" s="1312" t="s">
        <v>28</v>
      </c>
      <c r="C40" s="1313">
        <v>0</v>
      </c>
      <c r="D40" s="1313">
        <v>0</v>
      </c>
      <c r="E40" s="1313">
        <v>0</v>
      </c>
      <c r="F40" s="1313">
        <v>0</v>
      </c>
    </row>
    <row r="41" spans="1:6">
      <c r="A41" s="1312" t="s">
        <v>31</v>
      </c>
      <c r="B41" s="1312" t="s">
        <v>32</v>
      </c>
      <c r="C41" s="1313">
        <v>55</v>
      </c>
      <c r="D41" s="1313">
        <v>1234515.43133291</v>
      </c>
      <c r="E41" s="1313">
        <v>108</v>
      </c>
      <c r="F41" s="1313">
        <v>866708.90054225596</v>
      </c>
    </row>
    <row r="42" spans="1:6">
      <c r="A42" s="1312" t="s">
        <v>31</v>
      </c>
      <c r="B42" s="1312" t="s">
        <v>33</v>
      </c>
      <c r="C42" s="1313">
        <v>0</v>
      </c>
      <c r="D42" s="1313">
        <v>0</v>
      </c>
      <c r="E42" s="1313">
        <v>3</v>
      </c>
      <c r="F42" s="1313">
        <v>348606.45888261002</v>
      </c>
    </row>
    <row r="43" spans="1:6">
      <c r="A43" s="1312" t="s">
        <v>31</v>
      </c>
      <c r="B43" s="1312" t="s">
        <v>34</v>
      </c>
      <c r="C43" s="1313">
        <v>0</v>
      </c>
      <c r="D43" s="1313">
        <v>0</v>
      </c>
      <c r="E43" s="1313">
        <v>0</v>
      </c>
      <c r="F43" s="1313">
        <v>0</v>
      </c>
    </row>
    <row r="44" spans="1:6">
      <c r="A44" s="1312" t="s">
        <v>31</v>
      </c>
      <c r="B44" s="1312" t="s">
        <v>35</v>
      </c>
      <c r="C44" s="1313">
        <v>15</v>
      </c>
      <c r="D44" s="1313">
        <v>1603936.84289205</v>
      </c>
      <c r="E44" s="1313">
        <v>19</v>
      </c>
      <c r="F44" s="1313">
        <v>1148835.4441470399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8</v>
      </c>
      <c r="D47" s="1313">
        <v>170214162.29374301</v>
      </c>
      <c r="E47" s="1313">
        <v>10</v>
      </c>
      <c r="F47" s="1313">
        <v>82353843.244181305</v>
      </c>
    </row>
    <row r="48" spans="1:6">
      <c r="A48" s="1312" t="s">
        <v>31</v>
      </c>
      <c r="B48" s="1312" t="s">
        <v>28</v>
      </c>
      <c r="C48" s="1313">
        <v>5</v>
      </c>
      <c r="D48" s="1313">
        <v>187177091.40135345</v>
      </c>
      <c r="E48" s="1313">
        <v>3</v>
      </c>
      <c r="F48" s="1313">
        <v>7407.7527357705003</v>
      </c>
    </row>
    <row r="49" spans="1:6">
      <c r="A49" s="1312" t="s">
        <v>31</v>
      </c>
      <c r="B49" s="1312" t="s">
        <v>39</v>
      </c>
      <c r="C49" s="1313">
        <v>0</v>
      </c>
      <c r="D49" s="1313">
        <v>0</v>
      </c>
      <c r="E49" s="1313">
        <v>0</v>
      </c>
      <c r="F49" s="1313">
        <v>0</v>
      </c>
    </row>
    <row r="50" spans="1:6">
      <c r="A50" s="1312" t="s">
        <v>31</v>
      </c>
      <c r="B50" s="1312" t="s">
        <v>40</v>
      </c>
      <c r="C50" s="1313">
        <v>5</v>
      </c>
      <c r="D50" s="1313">
        <v>100908.340009318</v>
      </c>
      <c r="E50" s="1313">
        <v>7</v>
      </c>
      <c r="F50" s="1313">
        <v>458514.36287530803</v>
      </c>
    </row>
    <row r="51" spans="1:6">
      <c r="A51" s="1312" t="s">
        <v>41</v>
      </c>
      <c r="B51" s="1312" t="s">
        <v>42</v>
      </c>
      <c r="C51" s="1313">
        <v>38</v>
      </c>
      <c r="D51" s="1313">
        <v>342642750.42624098</v>
      </c>
      <c r="E51" s="1313">
        <v>91</v>
      </c>
      <c r="F51" s="1313">
        <v>8616742.4598026592</v>
      </c>
    </row>
    <row r="52" spans="1:6">
      <c r="A52" s="1312" t="s">
        <v>41</v>
      </c>
      <c r="B52" s="1312" t="s">
        <v>28</v>
      </c>
      <c r="C52" s="1313">
        <v>0</v>
      </c>
      <c r="D52" s="1313">
        <v>0</v>
      </c>
      <c r="E52" s="1313">
        <v>0</v>
      </c>
      <c r="F52" s="1313">
        <v>0</v>
      </c>
    </row>
    <row r="53" spans="1:6">
      <c r="A53" s="1312" t="s">
        <v>43</v>
      </c>
      <c r="B53" s="1312" t="s">
        <v>44</v>
      </c>
      <c r="C53" s="1313">
        <v>108</v>
      </c>
      <c r="D53" s="1313">
        <v>6455171.8552156696</v>
      </c>
      <c r="E53" s="1313">
        <v>210</v>
      </c>
      <c r="F53" s="1313">
        <v>589965.39326292498</v>
      </c>
    </row>
    <row r="54" spans="1:6">
      <c r="A54" s="1312" t="s">
        <v>45</v>
      </c>
      <c r="B54" s="1312" t="s">
        <v>46</v>
      </c>
      <c r="C54" s="1313">
        <v>0</v>
      </c>
      <c r="D54" s="1313">
        <v>0</v>
      </c>
      <c r="E54" s="1313">
        <v>1</v>
      </c>
      <c r="F54" s="1313">
        <v>1211326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61</v>
      </c>
      <c r="D57" s="1313">
        <v>1860469.1741905401</v>
      </c>
      <c r="E57" s="1313">
        <v>171</v>
      </c>
      <c r="F57" s="1313">
        <v>13582803.4430815</v>
      </c>
    </row>
    <row r="58" spans="1:6">
      <c r="A58" s="1312" t="s">
        <v>48</v>
      </c>
      <c r="B58" s="1312" t="s">
        <v>50</v>
      </c>
      <c r="C58" s="1313">
        <v>54</v>
      </c>
      <c r="D58" s="1313">
        <v>12391222.419755699</v>
      </c>
      <c r="E58" s="1313">
        <v>62</v>
      </c>
      <c r="F58" s="1313">
        <v>3540268.1217379998</v>
      </c>
    </row>
    <row r="59" spans="1:6">
      <c r="A59" s="1312" t="s">
        <v>48</v>
      </c>
      <c r="B59" s="1312" t="s">
        <v>51</v>
      </c>
      <c r="C59" s="1313">
        <v>98</v>
      </c>
      <c r="D59" s="1313">
        <v>6854102.6022394001</v>
      </c>
      <c r="E59" s="1313">
        <v>159</v>
      </c>
      <c r="F59" s="1313">
        <v>6052886.3055989901</v>
      </c>
    </row>
    <row r="60" spans="1:6">
      <c r="A60" s="1312" t="s">
        <v>48</v>
      </c>
      <c r="B60" s="1312" t="s">
        <v>52</v>
      </c>
      <c r="C60" s="1313">
        <v>37</v>
      </c>
      <c r="D60" s="1313">
        <v>4182273.7938394402</v>
      </c>
      <c r="E60" s="1313">
        <v>45</v>
      </c>
      <c r="F60" s="1313">
        <v>1264650.7902824499</v>
      </c>
    </row>
    <row r="61" spans="1:6">
      <c r="A61" s="1312" t="s">
        <v>48</v>
      </c>
      <c r="B61" s="1312" t="s">
        <v>53</v>
      </c>
      <c r="C61" s="1313">
        <v>162</v>
      </c>
      <c r="D61" s="1313">
        <v>9762586.5012254398</v>
      </c>
      <c r="E61" s="1313">
        <v>279</v>
      </c>
      <c r="F61" s="1313">
        <v>3346402.5996919302</v>
      </c>
    </row>
    <row r="62" spans="1:6">
      <c r="A62" s="1312" t="s">
        <v>48</v>
      </c>
      <c r="B62" s="1312" t="s">
        <v>54</v>
      </c>
      <c r="C62" s="1313">
        <v>8</v>
      </c>
      <c r="D62" s="1313">
        <v>847942.01163546799</v>
      </c>
      <c r="E62" s="1313">
        <v>9</v>
      </c>
      <c r="F62" s="1313">
        <v>438481.53025568899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0</v>
      </c>
      <c r="E65" s="1313">
        <v>1</v>
      </c>
      <c r="F65" s="1313">
        <v>113.5306697317</v>
      </c>
    </row>
    <row r="66" spans="1:6">
      <c r="A66" s="1312" t="s">
        <v>55</v>
      </c>
      <c r="B66" s="1312" t="s">
        <v>57</v>
      </c>
      <c r="C66" s="1313">
        <v>0</v>
      </c>
      <c r="D66" s="1313">
        <v>0</v>
      </c>
      <c r="E66" s="1313">
        <v>4</v>
      </c>
      <c r="F66" s="1313">
        <v>24664.7263366927</v>
      </c>
    </row>
    <row r="67" spans="1:6">
      <c r="A67" s="1314" t="s">
        <v>55</v>
      </c>
      <c r="B67" s="1314" t="s">
        <v>58</v>
      </c>
      <c r="C67" s="1313">
        <v>0</v>
      </c>
      <c r="D67" s="1313">
        <v>0</v>
      </c>
      <c r="E67" s="1313">
        <v>0</v>
      </c>
      <c r="F67" s="1313">
        <v>0</v>
      </c>
    </row>
    <row r="68" spans="1:6">
      <c r="A68" s="1307" t="s">
        <v>55</v>
      </c>
      <c r="B68" s="1307" t="s">
        <v>59</v>
      </c>
      <c r="C68" s="1316">
        <v>3</v>
      </c>
      <c r="D68" s="1316">
        <v>55442.373578879502</v>
      </c>
      <c r="E68" s="1316">
        <v>11</v>
      </c>
      <c r="F68" s="1316">
        <v>70517.502325764595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58912247</v>
      </c>
      <c r="E73" s="447"/>
      <c r="F73" s="326"/>
    </row>
    <row r="74" spans="1:6">
      <c r="A74" s="1312" t="s">
        <v>63</v>
      </c>
      <c r="B74" s="1312" t="s">
        <v>638</v>
      </c>
      <c r="C74" s="1326" t="s">
        <v>640</v>
      </c>
      <c r="D74" s="1327">
        <v>5396844.0941773998</v>
      </c>
      <c r="E74" s="447"/>
      <c r="F74" s="326"/>
    </row>
    <row r="75" spans="1:6">
      <c r="A75" s="1312" t="s">
        <v>64</v>
      </c>
      <c r="B75" s="1312" t="s">
        <v>637</v>
      </c>
      <c r="C75" s="1326" t="s">
        <v>641</v>
      </c>
      <c r="D75" s="1327">
        <v>6471700</v>
      </c>
      <c r="E75" s="447"/>
      <c r="F75" s="326"/>
    </row>
    <row r="76" spans="1:6">
      <c r="A76" s="1312" t="s">
        <v>64</v>
      </c>
      <c r="B76" s="1312" t="s">
        <v>638</v>
      </c>
      <c r="C76" s="1326" t="s">
        <v>642</v>
      </c>
      <c r="D76" s="1327">
        <v>271040.09417739999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346173.81164520001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4277.504956805763</v>
      </c>
      <c r="C91" s="326"/>
      <c r="D91" s="326"/>
      <c r="E91" s="326"/>
      <c r="F91" s="326"/>
    </row>
    <row r="92" spans="1:6">
      <c r="A92" s="1307" t="s">
        <v>68</v>
      </c>
      <c r="B92" s="1308">
        <v>4877.7323503991438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3973</v>
      </c>
      <c r="C97" s="326"/>
      <c r="D97" s="326"/>
      <c r="E97" s="326"/>
      <c r="F97" s="326"/>
    </row>
    <row r="98" spans="1:6">
      <c r="A98" s="1312" t="s">
        <v>71</v>
      </c>
      <c r="B98" s="1313">
        <v>11</v>
      </c>
      <c r="C98" s="326"/>
      <c r="D98" s="326"/>
      <c r="E98" s="326"/>
      <c r="F98" s="326"/>
    </row>
    <row r="99" spans="1:6">
      <c r="A99" s="1312" t="s">
        <v>72</v>
      </c>
      <c r="B99" s="1313">
        <v>28</v>
      </c>
      <c r="C99" s="326"/>
      <c r="D99" s="326"/>
      <c r="E99" s="326"/>
      <c r="F99" s="326"/>
    </row>
    <row r="100" spans="1:6">
      <c r="A100" s="1312" t="s">
        <v>73</v>
      </c>
      <c r="B100" s="1313">
        <v>541</v>
      </c>
      <c r="C100" s="326"/>
      <c r="D100" s="326"/>
      <c r="E100" s="326"/>
      <c r="F100" s="326"/>
    </row>
    <row r="101" spans="1:6">
      <c r="A101" s="1312" t="s">
        <v>74</v>
      </c>
      <c r="B101" s="1313">
        <v>56</v>
      </c>
      <c r="C101" s="326"/>
      <c r="D101" s="326"/>
      <c r="E101" s="326"/>
      <c r="F101" s="326"/>
    </row>
    <row r="102" spans="1:6">
      <c r="A102" s="1312" t="s">
        <v>75</v>
      </c>
      <c r="B102" s="1313">
        <v>72</v>
      </c>
      <c r="C102" s="326"/>
      <c r="D102" s="326"/>
      <c r="E102" s="326"/>
      <c r="F102" s="326"/>
    </row>
    <row r="103" spans="1:6">
      <c r="A103" s="1312" t="s">
        <v>76</v>
      </c>
      <c r="B103" s="1313">
        <v>142</v>
      </c>
      <c r="C103" s="326"/>
      <c r="D103" s="326"/>
      <c r="E103" s="326"/>
      <c r="F103" s="326"/>
    </row>
    <row r="104" spans="1:6">
      <c r="A104" s="1312" t="s">
        <v>77</v>
      </c>
      <c r="B104" s="1313">
        <v>1380</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71</v>
      </c>
      <c r="C123" s="1313">
        <v>81</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116</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158953.7826392529</v>
      </c>
      <c r="C3" s="43" t="s">
        <v>169</v>
      </c>
      <c r="D3" s="43"/>
      <c r="E3" s="154"/>
      <c r="F3" s="43"/>
      <c r="G3" s="43"/>
      <c r="H3" s="43"/>
      <c r="I3" s="43"/>
      <c r="J3" s="43"/>
      <c r="K3" s="96"/>
    </row>
    <row r="4" spans="1:11">
      <c r="A4" s="354" t="s">
        <v>170</v>
      </c>
      <c r="B4" s="49">
        <f>IF(ISERROR('SEAP template'!B78+'SEAP template'!C78),0,'SEAP template'!B78+'SEAP template'!C78)</f>
        <v>103083.73730720491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22321.831764705883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0.21810812682432582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31381.238949579838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132049.76785714284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1211.326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1211.326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0.21810812682432582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264.20004483360327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23679.411357062501</v>
      </c>
      <c r="C5" s="17">
        <f>IF(ISERROR('Eigen informatie GS &amp; warmtenet'!B59),0,'Eigen informatie GS &amp; warmtenet'!B59)</f>
        <v>0</v>
      </c>
      <c r="D5" s="30">
        <f>(SUM(HH_hh_gas_kWh,HH_rest_gas_kWh)/1000)*0.903</f>
        <v>75651.18033813122</v>
      </c>
      <c r="E5" s="17">
        <f>B32*B41</f>
        <v>998.43014423621003</v>
      </c>
      <c r="F5" s="17">
        <f>B36*B45</f>
        <v>21872.215064951106</v>
      </c>
      <c r="G5" s="18"/>
      <c r="H5" s="17"/>
      <c r="I5" s="17"/>
      <c r="J5" s="17">
        <f>B35*B44+C35*C44</f>
        <v>124.65214590151922</v>
      </c>
      <c r="K5" s="17"/>
      <c r="L5" s="17"/>
      <c r="M5" s="17"/>
      <c r="N5" s="17">
        <f>B34*B43+C34*C43</f>
        <v>9144.8261012313105</v>
      </c>
      <c r="O5" s="17">
        <f>B52*B53*B54</f>
        <v>390.83976921924528</v>
      </c>
      <c r="P5" s="17">
        <f>B60*B61*B62/1000-B60*B61*B62/1000/B63</f>
        <v>1011.2600935377623</v>
      </c>
    </row>
    <row r="6" spans="1:16">
      <c r="A6" s="16" t="s">
        <v>603</v>
      </c>
      <c r="B6" s="780">
        <f>kWh_PV_kleiner_dan_10kW</f>
        <v>4277.504956805763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27956.916313868263</v>
      </c>
      <c r="C8" s="21">
        <f>C5</f>
        <v>0</v>
      </c>
      <c r="D8" s="21">
        <f>D5</f>
        <v>75651.18033813122</v>
      </c>
      <c r="E8" s="21">
        <f>E5</f>
        <v>998.43014423621003</v>
      </c>
      <c r="F8" s="21">
        <f>F5</f>
        <v>21872.215064951106</v>
      </c>
      <c r="G8" s="21"/>
      <c r="H8" s="21"/>
      <c r="I8" s="21"/>
      <c r="J8" s="21">
        <f>J5</f>
        <v>124.65214590151922</v>
      </c>
      <c r="K8" s="21"/>
      <c r="L8" s="21">
        <f>L5</f>
        <v>0</v>
      </c>
      <c r="M8" s="21">
        <f>M5</f>
        <v>0</v>
      </c>
      <c r="N8" s="21">
        <f>N5</f>
        <v>9144.8261012313105</v>
      </c>
      <c r="O8" s="21">
        <f>O5</f>
        <v>390.83976921924528</v>
      </c>
      <c r="P8" s="21">
        <f>P5</f>
        <v>1011.2600935377623</v>
      </c>
    </row>
    <row r="9" spans="1:16">
      <c r="B9" s="19"/>
      <c r="C9" s="19"/>
      <c r="D9" s="254"/>
      <c r="E9" s="19"/>
      <c r="F9" s="19"/>
      <c r="G9" s="19"/>
      <c r="H9" s="19"/>
      <c r="I9" s="19"/>
      <c r="J9" s="19"/>
      <c r="K9" s="19"/>
      <c r="L9" s="19"/>
      <c r="M9" s="19"/>
      <c r="N9" s="19"/>
      <c r="O9" s="19"/>
      <c r="P9" s="19"/>
    </row>
    <row r="10" spans="1:16">
      <c r="A10" s="24" t="s">
        <v>213</v>
      </c>
      <c r="B10" s="25">
        <f ca="1">'EF ele_warmte'!B12</f>
        <v>0.21810812682432582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6097.6306490022425</v>
      </c>
      <c r="C12" s="23">
        <f ca="1">C10*C8</f>
        <v>0</v>
      </c>
      <c r="D12" s="23">
        <f>D8*D10</f>
        <v>15281.538428302507</v>
      </c>
      <c r="E12" s="23">
        <f>E10*E8</f>
        <v>226.64364274161969</v>
      </c>
      <c r="F12" s="23">
        <f>F10*F8</f>
        <v>5839.8814223419458</v>
      </c>
      <c r="G12" s="23"/>
      <c r="H12" s="23"/>
      <c r="I12" s="23"/>
      <c r="J12" s="23">
        <f>J10*J8</f>
        <v>44.126859649137799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7329</v>
      </c>
      <c r="C26" s="36"/>
      <c r="D26" s="225"/>
    </row>
    <row r="27" spans="1:5" s="15" customFormat="1">
      <c r="A27" s="227" t="s">
        <v>866</v>
      </c>
      <c r="B27" s="37">
        <f>SUM(HH_hh_gas_aantal,HH_rest_gas_aantal)</f>
        <v>5958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5660.1</v>
      </c>
      <c r="C31" s="34" t="s">
        <v>110</v>
      </c>
      <c r="D31" s="171"/>
    </row>
    <row r="32" spans="1:5">
      <c r="A32" s="168" t="s">
        <v>72</v>
      </c>
      <c r="B32" s="33">
        <f>IF((B21*($B$26-($B$27-0.05*$B$27)-$B$60))&lt;0,0,(B21*($B$26-($B$27-0.05*$B$27)-$B$60)))</f>
        <v>24.970100025689881</v>
      </c>
      <c r="C32" s="34" t="s">
        <v>110</v>
      </c>
      <c r="D32" s="171"/>
    </row>
    <row r="33" spans="1:6">
      <c r="A33" s="168" t="s">
        <v>73</v>
      </c>
      <c r="B33" s="33">
        <f>IF((B22*($B$26-($B$27-0.05*$B$27)-$B$60))&lt;0,0,B22*($B$26-($B$27-0.05*$B$27)-$B$60))</f>
        <v>405.46497059130314</v>
      </c>
      <c r="C33" s="34" t="s">
        <v>110</v>
      </c>
      <c r="D33" s="171"/>
    </row>
    <row r="34" spans="1:6">
      <c r="A34" s="168" t="s">
        <v>74</v>
      </c>
      <c r="B34" s="33">
        <f>IF((B24*($B$26-($B$27-0.05*$B$27)-$B$60))&lt;0,0,B24*($B$26-($B$27-0.05*$B$27)-$B$60))</f>
        <v>77.733060982763888</v>
      </c>
      <c r="C34" s="33">
        <f>B26*C24</f>
        <v>1501.7556328421622</v>
      </c>
      <c r="D34" s="230"/>
    </row>
    <row r="35" spans="1:6">
      <c r="A35" s="168" t="s">
        <v>76</v>
      </c>
      <c r="B35" s="33">
        <f>IF((B19*($B$26-($B$27-0.05*$B$27)-$B$60))&lt;0,0,B19*($B$26-($B$27-0.05*$B$27)-$B$60))</f>
        <v>10.854442950819502</v>
      </c>
      <c r="C35" s="33">
        <f>B35/2</f>
        <v>5.427221475409751</v>
      </c>
      <c r="D35" s="230"/>
    </row>
    <row r="36" spans="1:6">
      <c r="A36" s="168" t="s">
        <v>77</v>
      </c>
      <c r="B36" s="33">
        <f>IF((B18*($B$26-($B$27-0.05*$B$27)-$B$60))&lt;0,0,B18*($B$26-($B$27-0.05*$B$27)-$B$60))</f>
        <v>1053.8774254494228</v>
      </c>
      <c r="C36" s="34" t="s">
        <v>110</v>
      </c>
      <c r="D36" s="171"/>
    </row>
    <row r="37" spans="1:6">
      <c r="A37" s="168" t="s">
        <v>78</v>
      </c>
      <c r="B37" s="33">
        <f>B60</f>
        <v>96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28225.492790648561</v>
      </c>
      <c r="C5" s="17">
        <f>IF(ISERROR('Eigen informatie GS &amp; warmtenet'!B60),0,'Eigen informatie GS &amp; warmtenet'!B60)</f>
        <v>0</v>
      </c>
      <c r="D5" s="30">
        <f>SUM(D6:D12)</f>
        <v>32416.432642106047</v>
      </c>
      <c r="E5" s="17">
        <f>SUM(E6:E12)</f>
        <v>225.27611407905488</v>
      </c>
      <c r="F5" s="17">
        <f>SUM(F6:F12)</f>
        <v>13792.302453493247</v>
      </c>
      <c r="G5" s="18"/>
      <c r="H5" s="17"/>
      <c r="I5" s="17"/>
      <c r="J5" s="17">
        <f>SUM(J6:J12)</f>
        <v>0.13737881186335396</v>
      </c>
      <c r="K5" s="17"/>
      <c r="L5" s="17"/>
      <c r="M5" s="17"/>
      <c r="N5" s="17">
        <f>SUM(N6:N12)</f>
        <v>5229.0104296993268</v>
      </c>
      <c r="O5" s="17">
        <f>B38*B39*B40</f>
        <v>9.7945215316823084</v>
      </c>
      <c r="P5" s="17">
        <f>B46*B47*B48/1000-B46*B47*B48/1000/B49</f>
        <v>157.61741491948504</v>
      </c>
      <c r="R5" s="32"/>
    </row>
    <row r="6" spans="1:18">
      <c r="A6" s="32" t="s">
        <v>53</v>
      </c>
      <c r="B6" s="37">
        <f>B26</f>
        <v>3346.4025996919304</v>
      </c>
      <c r="C6" s="33"/>
      <c r="D6" s="37">
        <f>IF(ISERROR(TER_kantoor_gas_kWh/1000),0,TER_kantoor_gas_kWh/1000)*0.903</f>
        <v>8815.6156106065719</v>
      </c>
      <c r="E6" s="33">
        <f>$C$26*'E Balans VL '!I12/100/3.6*1000000</f>
        <v>0.79734910536845349</v>
      </c>
      <c r="F6" s="33">
        <f>$C$26*('E Balans VL '!L12+'E Balans VL '!N12)/100/3.6*1000000</f>
        <v>290.66784764155597</v>
      </c>
      <c r="G6" s="34"/>
      <c r="H6" s="33"/>
      <c r="I6" s="33"/>
      <c r="J6" s="33">
        <f>$C$26*('E Balans VL '!D12+'E Balans VL '!E12)/100/3.6*1000000</f>
        <v>0</v>
      </c>
      <c r="K6" s="33"/>
      <c r="L6" s="33"/>
      <c r="M6" s="33"/>
      <c r="N6" s="33">
        <f>$C$26*'E Balans VL '!Y12/100/3.6*1000000</f>
        <v>4.472935236878067</v>
      </c>
      <c r="O6" s="33"/>
      <c r="P6" s="33"/>
      <c r="R6" s="32"/>
    </row>
    <row r="7" spans="1:18">
      <c r="A7" s="32" t="s">
        <v>52</v>
      </c>
      <c r="B7" s="37">
        <f t="shared" ref="B7:B12" si="0">B27</f>
        <v>1264.6507902824499</v>
      </c>
      <c r="C7" s="33"/>
      <c r="D7" s="37">
        <f>IF(ISERROR(TER_horeca_gas_kWh/1000),0,TER_horeca_gas_kWh/1000)*0.903</f>
        <v>3776.5932358370146</v>
      </c>
      <c r="E7" s="33">
        <f>$C$27*'E Balans VL '!I9/100/3.6*1000000</f>
        <v>0</v>
      </c>
      <c r="F7" s="33">
        <f>$C$27*('E Balans VL '!L9+'E Balans VL '!N9)/100/3.6*1000000</f>
        <v>103.04615249803639</v>
      </c>
      <c r="G7" s="34"/>
      <c r="H7" s="33"/>
      <c r="I7" s="33"/>
      <c r="J7" s="33">
        <f>$C$27*('E Balans VL '!D9+'E Balans VL '!E9)/100/3.6*1000000</f>
        <v>0</v>
      </c>
      <c r="K7" s="33"/>
      <c r="L7" s="33"/>
      <c r="M7" s="33"/>
      <c r="N7" s="33">
        <f>$C$27*'E Balans VL '!Y9/100/3.6*1000000</f>
        <v>0.35028472446087089</v>
      </c>
      <c r="O7" s="33"/>
      <c r="P7" s="33"/>
      <c r="R7" s="32"/>
    </row>
    <row r="8" spans="1:18">
      <c r="A8" s="6" t="s">
        <v>51</v>
      </c>
      <c r="B8" s="37">
        <f t="shared" si="0"/>
        <v>6052.8863055989905</v>
      </c>
      <c r="C8" s="33"/>
      <c r="D8" s="37">
        <f>IF(ISERROR(TER_handel_gas_kWh/1000),0,TER_handel_gas_kWh/1000)*0.903</f>
        <v>6189.2546498221782</v>
      </c>
      <c r="E8" s="33">
        <f>$C$28*'E Balans VL '!I13/100/3.6*1000000</f>
        <v>48.384440336220237</v>
      </c>
      <c r="F8" s="33">
        <f>$C$28*('E Balans VL '!L13+'E Balans VL '!N13)/100/3.6*1000000</f>
        <v>601.3166275246474</v>
      </c>
      <c r="G8" s="34"/>
      <c r="H8" s="33"/>
      <c r="I8" s="33"/>
      <c r="J8" s="33">
        <f>$C$28*('E Balans VL '!D13+'E Balans VL '!E13)/100/3.6*1000000</f>
        <v>0</v>
      </c>
      <c r="K8" s="33"/>
      <c r="L8" s="33"/>
      <c r="M8" s="33"/>
      <c r="N8" s="33">
        <f>$C$28*'E Balans VL '!Y13/100/3.6*1000000</f>
        <v>2.2611133269164125</v>
      </c>
      <c r="O8" s="33"/>
      <c r="P8" s="33"/>
      <c r="R8" s="32"/>
    </row>
    <row r="9" spans="1:18">
      <c r="A9" s="32" t="s">
        <v>50</v>
      </c>
      <c r="B9" s="37">
        <f t="shared" si="0"/>
        <v>3540.268121738</v>
      </c>
      <c r="C9" s="33"/>
      <c r="D9" s="37">
        <f>IF(ISERROR(TER_gezond_gas_kWh/1000),0,TER_gezond_gas_kWh/1000)*0.903</f>
        <v>11189.273845039397</v>
      </c>
      <c r="E9" s="33">
        <f>$C$29*'E Balans VL '!I10/100/3.6*1000000</f>
        <v>0</v>
      </c>
      <c r="F9" s="33">
        <f>$C$29*('E Balans VL '!L10+'E Balans VL '!N10)/100/3.6*1000000</f>
        <v>322.75313043180313</v>
      </c>
      <c r="G9" s="34"/>
      <c r="H9" s="33"/>
      <c r="I9" s="33"/>
      <c r="J9" s="33">
        <f>$C$29*('E Balans VL '!D10+'E Balans VL '!E10)/100/3.6*1000000</f>
        <v>0</v>
      </c>
      <c r="K9" s="33"/>
      <c r="L9" s="33"/>
      <c r="M9" s="33"/>
      <c r="N9" s="33">
        <f>$C$29*'E Balans VL '!Y10/100/3.6*1000000</f>
        <v>25.876187323069946</v>
      </c>
      <c r="O9" s="33"/>
      <c r="P9" s="33"/>
      <c r="R9" s="32"/>
    </row>
    <row r="10" spans="1:18">
      <c r="A10" s="32" t="s">
        <v>49</v>
      </c>
      <c r="B10" s="37">
        <f t="shared" si="0"/>
        <v>13582.803443081501</v>
      </c>
      <c r="C10" s="33"/>
      <c r="D10" s="37">
        <f>IF(ISERROR(TER_ander_gas_kWh/1000),0,TER_ander_gas_kWh/1000)*0.903</f>
        <v>1680.0036642940577</v>
      </c>
      <c r="E10" s="33">
        <f>$C$30*'E Balans VL '!I14/100/3.6*1000000</f>
        <v>176.0943246374662</v>
      </c>
      <c r="F10" s="33">
        <f>$C$30*('E Balans VL '!L14+'E Balans VL '!N14)/100/3.6*1000000</f>
        <v>12457.337819118922</v>
      </c>
      <c r="G10" s="34"/>
      <c r="H10" s="33"/>
      <c r="I10" s="33"/>
      <c r="J10" s="33">
        <f>$C$30*('E Balans VL '!D14+'E Balans VL '!E14)/100/3.6*1000000</f>
        <v>0.13737881186335396</v>
      </c>
      <c r="K10" s="33"/>
      <c r="L10" s="33"/>
      <c r="M10" s="33"/>
      <c r="N10" s="33">
        <f>$C$30*'E Balans VL '!Y14/100/3.6*1000000</f>
        <v>5194.6690224123549</v>
      </c>
      <c r="O10" s="33"/>
      <c r="P10" s="33"/>
      <c r="R10" s="32"/>
    </row>
    <row r="11" spans="1:18">
      <c r="A11" s="32" t="s">
        <v>54</v>
      </c>
      <c r="B11" s="37">
        <f t="shared" si="0"/>
        <v>438.48153025568899</v>
      </c>
      <c r="C11" s="33"/>
      <c r="D11" s="37">
        <f>IF(ISERROR(TER_onderwijs_gas_kWh/1000),0,TER_onderwijs_gas_kWh/1000)*0.903</f>
        <v>765.69163650682765</v>
      </c>
      <c r="E11" s="33">
        <f>$C$31*'E Balans VL '!I11/100/3.6*1000000</f>
        <v>0</v>
      </c>
      <c r="F11" s="33">
        <f>$C$31*('E Balans VL '!L11+'E Balans VL '!N11)/100/3.6*1000000</f>
        <v>17.180876278282796</v>
      </c>
      <c r="G11" s="34"/>
      <c r="H11" s="33"/>
      <c r="I11" s="33"/>
      <c r="J11" s="33">
        <f>$C$31*('E Balans VL '!D11+'E Balans VL '!E11)/100/3.6*1000000</f>
        <v>0</v>
      </c>
      <c r="K11" s="33"/>
      <c r="L11" s="33"/>
      <c r="M11" s="33"/>
      <c r="N11" s="33">
        <f>$C$31*'E Balans VL '!Y11/100/3.6*1000000</f>
        <v>1.3808866756461671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energieproductie'!N48+'lokale energieproductie'!N41</f>
        <v>0</v>
      </c>
      <c r="C13" s="243">
        <f ca="1">'lokale energieproductie'!O48+'lokale energieproductie'!O41</f>
        <v>0</v>
      </c>
      <c r="D13" s="304">
        <f ca="1">('lokale energieproductie'!P41+'lokale energieproductie'!P48)*(-1)</f>
        <v>0</v>
      </c>
      <c r="E13" s="244"/>
      <c r="F13" s="304">
        <f ca="1">('lokale energieproductie'!S41+'lokale energieproductie'!S48)*(-1)</f>
        <v>0</v>
      </c>
      <c r="G13" s="245"/>
      <c r="H13" s="244"/>
      <c r="I13" s="244"/>
      <c r="J13" s="244"/>
      <c r="K13" s="244"/>
      <c r="L13" s="304">
        <f ca="1">('lokale energieproductie'!U41+'lokale energieproductie'!T41+'lokale energieproductie'!U48+'lokale energieproductie'!T48)*(-1)</f>
        <v>0</v>
      </c>
      <c r="M13" s="244"/>
      <c r="N13" s="304">
        <f ca="1">('lokale energieproductie'!Q41+'lokale energieproductie'!R41+'lokale energieproductie'!V41+'lokale energieproductie'!Q48+'lokale energieproductie'!R48+'lokale energieproductie'!V48)*(-1)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28225.492790648561</v>
      </c>
      <c r="C16" s="21">
        <f t="shared" ca="1" si="1"/>
        <v>0</v>
      </c>
      <c r="D16" s="21">
        <f t="shared" ca="1" si="1"/>
        <v>32416.432642106047</v>
      </c>
      <c r="E16" s="21">
        <f t="shared" si="1"/>
        <v>225.27611407905488</v>
      </c>
      <c r="F16" s="21">
        <f t="shared" ca="1" si="1"/>
        <v>13792.302453493247</v>
      </c>
      <c r="G16" s="21">
        <f t="shared" si="1"/>
        <v>0</v>
      </c>
      <c r="H16" s="21">
        <f t="shared" si="1"/>
        <v>0</v>
      </c>
      <c r="I16" s="21">
        <f t="shared" si="1"/>
        <v>0</v>
      </c>
      <c r="J16" s="21">
        <f t="shared" si="1"/>
        <v>0.13737881186335396</v>
      </c>
      <c r="K16" s="21">
        <f t="shared" si="1"/>
        <v>0</v>
      </c>
      <c r="L16" s="21">
        <f t="shared" ca="1" si="1"/>
        <v>0</v>
      </c>
      <c r="M16" s="21">
        <f t="shared" si="1"/>
        <v>0</v>
      </c>
      <c r="N16" s="21">
        <f t="shared" ca="1" si="1"/>
        <v>5229.0104296993268</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0.21810812682432582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6156.2093612618701</v>
      </c>
      <c r="C20" s="23">
        <f t="shared" ref="C20:P20" ca="1" si="2">C16*C18</f>
        <v>0</v>
      </c>
      <c r="D20" s="23">
        <f t="shared" ca="1" si="2"/>
        <v>6548.1193937054222</v>
      </c>
      <c r="E20" s="23">
        <f t="shared" si="2"/>
        <v>51.137677895945458</v>
      </c>
      <c r="F20" s="23">
        <f t="shared" ca="1" si="2"/>
        <v>3682.5447550826971</v>
      </c>
      <c r="G20" s="23">
        <f t="shared" si="2"/>
        <v>0</v>
      </c>
      <c r="H20" s="23">
        <f t="shared" si="2"/>
        <v>0</v>
      </c>
      <c r="I20" s="23">
        <f t="shared" si="2"/>
        <v>0</v>
      </c>
      <c r="J20" s="23">
        <f t="shared" si="2"/>
        <v>4.8632099399627302E-2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3346.4025996919304</v>
      </c>
      <c r="C26" s="39">
        <f>IF(ISERROR(B26*3.6/1000000/'E Balans VL '!Z12*100),0,B26*3.6/1000000/'E Balans VL '!Z12*100)</f>
        <v>9.6007975671588974E-2</v>
      </c>
      <c r="D26" s="233" t="s">
        <v>841</v>
      </c>
      <c r="F26" s="6"/>
    </row>
    <row r="27" spans="1:18" ht="30">
      <c r="A27" s="228" t="s">
        <v>52</v>
      </c>
      <c r="B27" s="33">
        <f>IF(ISERROR(TER_horeca_ele_kWh/1000),0,TER_horeca_ele_kWh/1000)</f>
        <v>1264.6507902824499</v>
      </c>
      <c r="C27" s="39">
        <f>IF(ISERROR(B27*3.6/1000000/'E Balans VL '!Z9*100),0,B27*3.6/1000000/'E Balans VL '!Z9*100)</f>
        <v>9.2648764627443064E-2</v>
      </c>
      <c r="D27" s="233" t="s">
        <v>841</v>
      </c>
      <c r="F27" s="6"/>
    </row>
    <row r="28" spans="1:18" ht="30">
      <c r="A28" s="168" t="s">
        <v>51</v>
      </c>
      <c r="B28" s="33">
        <f>IF(ISERROR(TER_handel_ele_kWh/1000),0,TER_handel_ele_kWh/1000)</f>
        <v>6052.8863055989905</v>
      </c>
      <c r="C28" s="39">
        <f>IF(ISERROR(B28*3.6/1000000/'E Balans VL '!Z13*100),0,B28*3.6/1000000/'E Balans VL '!Z13*100)</f>
        <v>0.18703929215805415</v>
      </c>
      <c r="D28" s="233" t="s">
        <v>841</v>
      </c>
      <c r="F28" s="6"/>
    </row>
    <row r="29" spans="1:18" ht="30">
      <c r="A29" s="228" t="s">
        <v>50</v>
      </c>
      <c r="B29" s="33">
        <f>IF(ISERROR(TER_gezond_ele_kWh/1000),0,TER_gezond_ele_kWh/1000)</f>
        <v>3540.268121738</v>
      </c>
      <c r="C29" s="39">
        <f>IF(ISERROR(B29*3.6/1000000/'E Balans VL '!Z10*100),0,B29*3.6/1000000/'E Balans VL '!Z10*100)</f>
        <v>0.34696804487968802</v>
      </c>
      <c r="D29" s="233" t="s">
        <v>841</v>
      </c>
      <c r="F29" s="6"/>
    </row>
    <row r="30" spans="1:18" ht="30">
      <c r="A30" s="228" t="s">
        <v>49</v>
      </c>
      <c r="B30" s="33">
        <f>IF(ISERROR(TER_ander_ele_kWh/1000),0,TER_ander_ele_kWh/1000)</f>
        <v>13582.803443081501</v>
      </c>
      <c r="C30" s="39">
        <f>IF(ISERROR(B30*3.6/1000000/'E Balans VL '!Z14*100),0,B30*3.6/1000000/'E Balans VL '!Z14*100)</f>
        <v>0.56264359807516973</v>
      </c>
      <c r="D30" s="233" t="s">
        <v>841</v>
      </c>
      <c r="F30" s="6"/>
    </row>
    <row r="31" spans="1:18" ht="30">
      <c r="A31" s="228" t="s">
        <v>54</v>
      </c>
      <c r="B31" s="33">
        <f>IF(ISERROR(TER_onderwijs_ele_kWh/1000),0,TER_onderwijs_ele_kWh/1000)</f>
        <v>438.48153025568899</v>
      </c>
      <c r="C31" s="39">
        <f>IF(ISERROR(B31*3.6/1000000/'E Balans VL '!Z11*100),0,B31*3.6/1000000/'E Balans VL '!Z11*100)</f>
        <v>0.13473204326019439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85183.916163364294</v>
      </c>
      <c r="C5" s="17">
        <f>IF(ISERROR('Eigen informatie GS &amp; warmtenet'!B61),0,'Eigen informatie GS &amp; warmtenet'!B61)</f>
        <v>0</v>
      </c>
      <c r="D5" s="30">
        <f>SUM(D6:D15)</f>
        <v>325378.54472132568</v>
      </c>
      <c r="E5" s="17">
        <f>SUM(E6:E15)</f>
        <v>83.25759359294527</v>
      </c>
      <c r="F5" s="17">
        <f>SUM(F6:F15)</f>
        <v>657.81707717820143</v>
      </c>
      <c r="G5" s="18"/>
      <c r="H5" s="17"/>
      <c r="I5" s="17"/>
      <c r="J5" s="17">
        <f>SUM(J6:J15)</f>
        <v>17.27136524892931</v>
      </c>
      <c r="K5" s="17"/>
      <c r="L5" s="17"/>
      <c r="M5" s="17"/>
      <c r="N5" s="17">
        <f>SUM(N6:N15)</f>
        <v>78.43665263584748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1148.8354441470399</v>
      </c>
      <c r="C8" s="33"/>
      <c r="D8" s="37">
        <f>IF( ISERROR(IND_metaal_Gas_kWH/1000),0,IND_metaal_Gas_kWH/1000)*0.903</f>
        <v>1448.3549691315211</v>
      </c>
      <c r="E8" s="33">
        <f>C30*'E Balans VL '!I18/100/3.6*1000000</f>
        <v>6.2624811755171521</v>
      </c>
      <c r="F8" s="33">
        <f>C30*'E Balans VL '!L18/100/3.6*1000000+C30*'E Balans VL '!N18/100/3.6*1000000</f>
        <v>73.985090354224198</v>
      </c>
      <c r="G8" s="34"/>
      <c r="H8" s="33"/>
      <c r="I8" s="33"/>
      <c r="J8" s="40">
        <f>C30*'E Balans VL '!D18/100/3.6*1000000+C30*'E Balans VL '!E18/100/3.6*1000000</f>
        <v>0.94103636187497064</v>
      </c>
      <c r="K8" s="33"/>
      <c r="L8" s="33"/>
      <c r="M8" s="33"/>
      <c r="N8" s="33">
        <f>C30*'E Balans VL '!Y18/100/3.6*1000000</f>
        <v>24.819830623899591</v>
      </c>
      <c r="O8" s="33"/>
      <c r="P8" s="33"/>
      <c r="R8" s="32"/>
    </row>
    <row r="9" spans="1:18">
      <c r="A9" s="6" t="s">
        <v>32</v>
      </c>
      <c r="B9" s="37">
        <f t="shared" si="0"/>
        <v>866.70890054225595</v>
      </c>
      <c r="C9" s="33"/>
      <c r="D9" s="37">
        <f>IF( ISERROR(IND_andere_gas_kWh/1000),0,IND_andere_gas_kWh/1000)*0.903</f>
        <v>1114.7674344936177</v>
      </c>
      <c r="E9" s="33">
        <f>C31*'E Balans VL '!I19/100/3.6*1000000</f>
        <v>2.7978839319577418</v>
      </c>
      <c r="F9" s="33">
        <f>C31*'E Balans VL '!L19/100/3.6*1000000+C31*'E Balans VL '!N19/100/3.6*1000000</f>
        <v>560.42077880872421</v>
      </c>
      <c r="G9" s="34"/>
      <c r="H9" s="33"/>
      <c r="I9" s="33"/>
      <c r="J9" s="40">
        <f>C31*'E Balans VL '!D19/100/3.6*1000000+C31*'E Balans VL '!E19/100/3.6*1000000</f>
        <v>0</v>
      </c>
      <c r="K9" s="33"/>
      <c r="L9" s="33"/>
      <c r="M9" s="33"/>
      <c r="N9" s="33">
        <f>C31*'E Balans VL '!Y19/100/3.6*1000000</f>
        <v>35.02270553433285</v>
      </c>
      <c r="O9" s="33"/>
      <c r="P9" s="33"/>
      <c r="R9" s="32"/>
    </row>
    <row r="10" spans="1:18">
      <c r="A10" s="6" t="s">
        <v>40</v>
      </c>
      <c r="B10" s="37">
        <f t="shared" si="0"/>
        <v>458.51436287530805</v>
      </c>
      <c r="C10" s="33"/>
      <c r="D10" s="37">
        <f>IF( ISERROR(IND_voed_gas_kWh/1000),0,IND_voed_gas_kWh/1000)*0.903</f>
        <v>91.120231028414153</v>
      </c>
      <c r="E10" s="33">
        <f>C32*'E Balans VL '!I20/100/3.6*1000000</f>
        <v>0.9611584743335666</v>
      </c>
      <c r="F10" s="33">
        <f>C32*'E Balans VL '!L20/100/3.6*1000000+C32*'E Balans VL '!N20/100/3.6*1000000</f>
        <v>8.9334443581234932</v>
      </c>
      <c r="G10" s="34"/>
      <c r="H10" s="33"/>
      <c r="I10" s="33"/>
      <c r="J10" s="40">
        <f>C32*'E Balans VL '!D20/100/3.6*1000000+C32*'E Balans VL '!E20/100/3.6*1000000</f>
        <v>0</v>
      </c>
      <c r="K10" s="33"/>
      <c r="L10" s="33"/>
      <c r="M10" s="33"/>
      <c r="N10" s="33">
        <f>C32*'E Balans VL '!Y20/100/3.6*1000000</f>
        <v>18.238430167063139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82353.843244181306</v>
      </c>
      <c r="C13" s="33"/>
      <c r="D13" s="37">
        <f>IF( ISERROR(IND_papier_gas_kWh/1000),0,IND_papier_gas_kWh/1000)*0.903</f>
        <v>153703.38855124995</v>
      </c>
      <c r="E13" s="33">
        <f>C35*'E Balans VL '!I23/100/3.6*1000000</f>
        <v>0</v>
      </c>
      <c r="F13" s="33">
        <f>C35*'E Balans VL '!L23/100/3.6*1000000+C35*'E Balans VL '!N23/100/3.6*1000000</f>
        <v>11.031556936650441</v>
      </c>
      <c r="G13" s="34"/>
      <c r="H13" s="33"/>
      <c r="I13" s="33"/>
      <c r="J13" s="40">
        <f>C35*'E Balans VL '!D23/100/3.6*1000000+C35*'E Balans VL '!E23/100/3.6*1000000</f>
        <v>16.290108361661122</v>
      </c>
      <c r="K13" s="33"/>
      <c r="L13" s="33"/>
      <c r="M13" s="33"/>
      <c r="N13" s="33">
        <f>C35*'E Balans VL '!Y23/100/3.6*1000000</f>
        <v>0</v>
      </c>
      <c r="O13" s="33"/>
      <c r="P13" s="33"/>
      <c r="R13" s="32"/>
    </row>
    <row r="14" spans="1:18">
      <c r="A14" s="6" t="s">
        <v>33</v>
      </c>
      <c r="B14" s="37">
        <f t="shared" si="0"/>
        <v>348.60645888261001</v>
      </c>
      <c r="C14" s="33"/>
      <c r="D14" s="37">
        <f>IF( ISERROR(IND_chemie_gas_kWh/1000),0,IND_chemie_gas_kWh/1000)*0.903</f>
        <v>0</v>
      </c>
      <c r="E14" s="33">
        <f>C36*'E Balans VL '!I24/100/3.6*1000000</f>
        <v>72.799957172653222</v>
      </c>
      <c r="F14" s="33">
        <f>C36*'E Balans VL '!L24/100/3.6*1000000+C36*'E Balans VL '!N24/100/3.6*1000000</f>
        <v>2.3161278902798257</v>
      </c>
      <c r="G14" s="34"/>
      <c r="H14" s="33"/>
      <c r="I14" s="33"/>
      <c r="J14" s="40">
        <f>C36*'E Balans VL '!D24/100/3.6*1000000+C36*'E Balans VL '!E24/100/3.6*1000000</f>
        <v>0</v>
      </c>
      <c r="K14" s="33"/>
      <c r="L14" s="33"/>
      <c r="M14" s="33"/>
      <c r="N14" s="33">
        <f>C36*'E Balans VL '!Y24/100/3.6*1000000</f>
        <v>0.12164737178984586</v>
      </c>
      <c r="O14" s="33"/>
      <c r="P14" s="33"/>
      <c r="R14" s="32"/>
    </row>
    <row r="15" spans="1:18">
      <c r="A15" s="6" t="s">
        <v>265</v>
      </c>
      <c r="B15" s="37">
        <f t="shared" si="0"/>
        <v>7.4077527357705</v>
      </c>
      <c r="C15" s="33"/>
      <c r="D15" s="37">
        <f>IF( ISERROR(IND_rest_gas_kWh/1000),0,IND_rest_gas_kWh/1000)*0.903</f>
        <v>169020.91353542218</v>
      </c>
      <c r="E15" s="33">
        <f>C37*'E Balans VL '!I15/100/3.6*1000000</f>
        <v>0.4361128384835789</v>
      </c>
      <c r="F15" s="33">
        <f>C37*'E Balans VL '!L15/100/3.6*1000000+C37*'E Balans VL '!N15/100/3.6*1000000</f>
        <v>1.130078830199291</v>
      </c>
      <c r="G15" s="34"/>
      <c r="H15" s="33"/>
      <c r="I15" s="33"/>
      <c r="J15" s="40">
        <f>C37*'E Balans VL '!D15/100/3.6*1000000+C37*'E Balans VL '!E15/100/3.6*1000000</f>
        <v>4.0220525393216869E-2</v>
      </c>
      <c r="K15" s="33"/>
      <c r="L15" s="33"/>
      <c r="M15" s="33"/>
      <c r="N15" s="33">
        <f>C37*'E Balans VL '!Y15/100/3.6*1000000</f>
        <v>0.23403893876205034</v>
      </c>
      <c r="O15" s="33"/>
      <c r="P15" s="33"/>
      <c r="R15" s="32"/>
    </row>
    <row r="16" spans="1:18">
      <c r="A16" s="16" t="s">
        <v>473</v>
      </c>
      <c r="B16" s="243">
        <f>'lokale energieproductie'!N47+'lokale energieproductie'!N40</f>
        <v>7020</v>
      </c>
      <c r="C16" s="243">
        <f>'lokale energieproductie'!O47+'lokale energieproductie'!O40</f>
        <v>10028.571428571429</v>
      </c>
      <c r="D16" s="304">
        <f>('lokale energieproductie'!P40+'lokale energieproductie'!P47)*(-1)</f>
        <v>-20057.142857142859</v>
      </c>
      <c r="E16" s="244"/>
      <c r="F16" s="304">
        <f>('lokale energieproductie'!S40+'lokale energieproductie'!S47)*(-1)</f>
        <v>0</v>
      </c>
      <c r="G16" s="245"/>
      <c r="H16" s="244"/>
      <c r="I16" s="244"/>
      <c r="J16" s="244"/>
      <c r="K16" s="244"/>
      <c r="L16" s="304">
        <f>('lokale energieproductie'!T40+'lokale energieproductie'!U40+'lokale energieproductie'!T47+'lokale energieproductie'!U47)*(-1)</f>
        <v>0</v>
      </c>
      <c r="M16" s="244"/>
      <c r="N16" s="304">
        <f>('lokale energieproductie'!Q40+'lokale energieproductie'!R40+'lokale energieproductie'!V40+'lokale energieproductie'!Q47+'lokale energieproductie'!R47+'lokale energieproductie'!V47)*(-1)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92203.916163364294</v>
      </c>
      <c r="C18" s="21">
        <f>C5+C16</f>
        <v>10028.571428571429</v>
      </c>
      <c r="D18" s="21">
        <f>MAX((D5+D16),0)</f>
        <v>305321.40186418284</v>
      </c>
      <c r="E18" s="21">
        <f>MAX((E5+E16),0)</f>
        <v>83.25759359294527</v>
      </c>
      <c r="F18" s="21">
        <f>MAX((F5+F16),0)</f>
        <v>657.81707717820143</v>
      </c>
      <c r="G18" s="21"/>
      <c r="H18" s="21"/>
      <c r="I18" s="21"/>
      <c r="J18" s="21">
        <f>MAX((J5+J16),0)</f>
        <v>17.27136524892931</v>
      </c>
      <c r="K18" s="21"/>
      <c r="L18" s="21">
        <f>MAX((L5+L16),0)</f>
        <v>0</v>
      </c>
      <c r="M18" s="21"/>
      <c r="N18" s="21">
        <f>MAX((N5+N16),0)</f>
        <v>78.43665263584748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0.21810812682432582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20110.423440258564</v>
      </c>
      <c r="C22" s="23">
        <f ca="1">C18*C20</f>
        <v>2383.2605042016817</v>
      </c>
      <c r="D22" s="23">
        <f>D18*D20</f>
        <v>61674.923176564938</v>
      </c>
      <c r="E22" s="23">
        <f>E18*E20</f>
        <v>18.899473745598577</v>
      </c>
      <c r="F22" s="23">
        <f>F18*F20</f>
        <v>175.63715960657979</v>
      </c>
      <c r="G22" s="23"/>
      <c r="H22" s="23"/>
      <c r="I22" s="23"/>
      <c r="J22" s="23">
        <f>J18*J20</f>
        <v>6.1140632981209757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1148.8354441470399</v>
      </c>
      <c r="C30" s="39">
        <f>IF(ISERROR(B30*3.6/1000000/'E Balans VL '!Z18*100),0,B30*3.6/1000000/'E Balans VL '!Z18*100)</f>
        <v>6.9179720293034624E-2</v>
      </c>
      <c r="D30" s="233" t="s">
        <v>841</v>
      </c>
    </row>
    <row r="31" spans="1:18" ht="30">
      <c r="A31" s="6" t="s">
        <v>32</v>
      </c>
      <c r="B31" s="37">
        <f>IF( ISERROR(IND_ander_ele_kWh/1000),0,IND_ander_ele_kWh/1000)</f>
        <v>866.70890054225595</v>
      </c>
      <c r="C31" s="39">
        <f>IF(ISERROR(B31*3.6/1000000/'E Balans VL '!Z19*100),0,B31*3.6/1000000/'E Balans VL '!Z19*100)</f>
        <v>3.5311514902005271E-2</v>
      </c>
      <c r="D31" s="233" t="s">
        <v>841</v>
      </c>
    </row>
    <row r="32" spans="1:18" ht="30">
      <c r="A32" s="168" t="s">
        <v>40</v>
      </c>
      <c r="B32" s="37">
        <f>IF( ISERROR(IND_voed_ele_kWh/1000),0,IND_voed_ele_kWh/1000)</f>
        <v>458.51436287530805</v>
      </c>
      <c r="C32" s="39">
        <f>IF(ISERROR(B32*3.6/1000000/'E Balans VL '!Z20*100),0,B32*3.6/1000000/'E Balans VL '!Z20*100)</f>
        <v>1.3257495430399802E-2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82353.843244181306</v>
      </c>
      <c r="C35" s="39">
        <f>IF(ISERROR(B35*3.6/1000000/'E Balans VL '!Z22*100),0,B35*3.6/1000000/'E Balans VL '!Z22*100)</f>
        <v>35.164325812877507</v>
      </c>
      <c r="D35" s="233" t="s">
        <v>841</v>
      </c>
    </row>
    <row r="36" spans="1:5" ht="30">
      <c r="A36" s="168" t="s">
        <v>33</v>
      </c>
      <c r="B36" s="37">
        <f>IF( ISERROR(IND_chemie_ele_kWh/1000),0,IND_chemie_ele_kWh/1000)</f>
        <v>348.60645888261001</v>
      </c>
      <c r="C36" s="39">
        <f>IF(ISERROR(B36*3.6/1000000/'E Balans VL '!Z24*100),0,B36*3.6/1000000/'E Balans VL '!Z24*100)</f>
        <v>1.0578032329551875E-2</v>
      </c>
      <c r="D36" s="233" t="s">
        <v>841</v>
      </c>
    </row>
    <row r="37" spans="1:5" ht="30">
      <c r="A37" s="168" t="s">
        <v>265</v>
      </c>
      <c r="B37" s="37">
        <f>IF( ISERROR(IND_rest_ele_kWh/1000),0,IND_rest_ele_kWh/1000)</f>
        <v>7.4077527357705</v>
      </c>
      <c r="C37" s="39">
        <f>IF(ISERROR(B37*3.6/1000000/'E Balans VL '!Z15*100),0,B37*3.6/1000000/'E Balans VL '!Z15*100)</f>
        <v>6.0823260752392128E-5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8616.7424598026591</v>
      </c>
      <c r="C5" s="17">
        <f>'Eigen informatie GS &amp; warmtenet'!B62</f>
        <v>0</v>
      </c>
      <c r="D5" s="30">
        <f>IF(ISERROR(SUM(LB_lb_gas_kWh,LB_rest_gas_kWh)/1000),0,SUM(LB_lb_gas_kWh,LB_rest_gas_kWh)/1000)*0.903</f>
        <v>309406.40363489557</v>
      </c>
      <c r="E5" s="17">
        <f>B17*'E Balans VL '!I25/3.6*1000000/100</f>
        <v>246.79808624669101</v>
      </c>
      <c r="F5" s="17">
        <f>B17*('E Balans VL '!L25/3.6*1000000+'E Balans VL '!N25/3.6*1000000)/100</f>
        <v>27276.15553898942</v>
      </c>
      <c r="G5" s="18"/>
      <c r="H5" s="17"/>
      <c r="I5" s="17"/>
      <c r="J5" s="17">
        <f>('E Balans VL '!D25+'E Balans VL '!E25)/3.6*1000000*landbouw!B17/100</f>
        <v>2190.9670212033575</v>
      </c>
      <c r="K5" s="17"/>
      <c r="L5" s="17">
        <f>L6*(-1)</f>
        <v>0</v>
      </c>
      <c r="M5" s="17"/>
      <c r="N5" s="17">
        <f>N6*(-1)</f>
        <v>0</v>
      </c>
      <c r="O5" s="17"/>
      <c r="P5" s="17"/>
      <c r="R5" s="32"/>
    </row>
    <row r="6" spans="1:18">
      <c r="A6" s="16" t="s">
        <v>473</v>
      </c>
      <c r="B6" s="17" t="s">
        <v>210</v>
      </c>
      <c r="C6" s="17">
        <f>'lokale energieproductie'!O49+'lokale energieproductie'!O42</f>
        <v>122021.19642857142</v>
      </c>
      <c r="D6" s="304">
        <f>('lokale energieproductie'!P42+'lokale energieproductie'!P49)*(-1)</f>
        <v>-245799.64285714287</v>
      </c>
      <c r="E6" s="244"/>
      <c r="F6" s="304">
        <f>('lokale energieproductie'!S42+'lokale energieproductie'!S49)*(-1)</f>
        <v>0</v>
      </c>
      <c r="G6" s="245"/>
      <c r="H6" s="244"/>
      <c r="I6" s="244"/>
      <c r="J6" s="244"/>
      <c r="K6" s="244"/>
      <c r="L6" s="304">
        <f>('lokale energieproductie'!T42+'lokale energieproductie'!U42+'lokale energieproductie'!T49+'lokale energieproductie'!U49)*(-1)</f>
        <v>0</v>
      </c>
      <c r="M6" s="244"/>
      <c r="N6" s="304">
        <f>('lokale energieproductie'!V42+'lokale energieproductie'!R42+'lokale energieproductie'!Q42+'lokale energieproductie'!Q49+'lokale energieproductie'!R49+'lokale energieproductie'!V49)*(-1)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8616.7424598026591</v>
      </c>
      <c r="C8" s="21">
        <f>C5+C6</f>
        <v>122021.19642857142</v>
      </c>
      <c r="D8" s="21">
        <f>MAX((D5+D6),0)</f>
        <v>63606.760777752701</v>
      </c>
      <c r="E8" s="21">
        <f>MAX((E5+E6),0)</f>
        <v>246.79808624669101</v>
      </c>
      <c r="F8" s="21">
        <f>MAX((F5+F6),0)</f>
        <v>27276.15553898942</v>
      </c>
      <c r="G8" s="21"/>
      <c r="H8" s="21"/>
      <c r="I8" s="21"/>
      <c r="J8" s="21">
        <f>MAX((J5+J6),0)</f>
        <v>2190.9670212033575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0.21810812682432582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1879.3815572351916</v>
      </c>
      <c r="C12" s="23">
        <f ca="1">C8*C10</f>
        <v>28997.978445378158</v>
      </c>
      <c r="D12" s="23">
        <f>D8*D10</f>
        <v>12848.565677106046</v>
      </c>
      <c r="E12" s="23">
        <f>E8*E10</f>
        <v>56.02316557799886</v>
      </c>
      <c r="F12" s="23">
        <f>F8*F10</f>
        <v>7282.7335289101757</v>
      </c>
      <c r="G12" s="23"/>
      <c r="H12" s="23"/>
      <c r="I12" s="23"/>
      <c r="J12" s="23">
        <f>J8*J10</f>
        <v>775.60232550598846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1.1932233555737075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49.36504849698126</v>
      </c>
      <c r="C26" s="243">
        <f>B26*'GWP N2O_CH4'!B5</f>
        <v>1036.6660184366065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7.5292860242275683</v>
      </c>
      <c r="C27" s="243">
        <f>B27*'GWP N2O_CH4'!B5</f>
        <v>158.11500650877895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0.63456420303797689</v>
      </c>
      <c r="C28" s="243">
        <f>B28*'GWP N2O_CH4'!B4</f>
        <v>196.71490294177283</v>
      </c>
      <c r="D28" s="50"/>
    </row>
    <row r="29" spans="1:4">
      <c r="A29" s="41" t="s">
        <v>272</v>
      </c>
      <c r="B29" s="243">
        <f>B34*'ha_N2O bodem landbouw'!B4</f>
        <v>4.6700607046871951</v>
      </c>
      <c r="C29" s="243">
        <f>B29*'GWP N2O_CH4'!B4</f>
        <v>1447.7188184530305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1.0609542107316596E-3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4.7111071435394287E-4</v>
      </c>
      <c r="C5" s="434" t="s">
        <v>210</v>
      </c>
      <c r="D5" s="419">
        <f>SUM(D6:D11)</f>
        <v>8.1806891504454407E-4</v>
      </c>
      <c r="E5" s="419">
        <f>SUM(E6:E11)</f>
        <v>3.2215172261086135E-4</v>
      </c>
      <c r="F5" s="432" t="s">
        <v>210</v>
      </c>
      <c r="G5" s="419">
        <f>SUM(G6:G11)</f>
        <v>0.15099166087002452</v>
      </c>
      <c r="H5" s="419">
        <f>SUM(H6:H11)</f>
        <v>4.0060728242757922E-2</v>
      </c>
      <c r="I5" s="434" t="s">
        <v>210</v>
      </c>
      <c r="J5" s="434" t="s">
        <v>210</v>
      </c>
      <c r="K5" s="434" t="s">
        <v>210</v>
      </c>
      <c r="L5" s="434" t="s">
        <v>210</v>
      </c>
      <c r="M5" s="419">
        <f>SUM(M6:M11)</f>
        <v>1.1509637046004504E-2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4.1310477722707856E-4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6.887639222449525E-4</v>
      </c>
      <c r="E6" s="886">
        <f>vkm_GW_PW*SUMIFS(TableVerdeelsleutelVkm[LPG],TableVerdeelsleutelVkm[Voertuigtype],"Lichte voertuigen")*SUMIFS(TableECFTransport[EnergieConsumptieFactor (PJ per km)],TableECFTransport[Index],CONCATENATE($A6,"_LPG_LPG"))</f>
        <v>2.7306688163967319E-4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8.2063457493003519E-2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3.3778188253289022E-2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7.1065433392377853E-3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1.3130428978749029E-6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5.2049848096791619E-2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3.8405253934453499E-7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2.9886142539192521E-3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5.6626950639645599E-5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1.293049927995916E-4</v>
      </c>
      <c r="E8" s="422">
        <f>vkm_NGW_PW*SUMIFS(TableVerdeelsleutelVkm[LPG],TableVerdeelsleutelVkm[Voertuigtype],"Lichte voertuigen")*SUMIFS(TableECFTransport[EnergieConsumptieFactor (PJ per km)],TableECFTransport[Index],CONCATENATE($A8,"_LPG_LPG"))</f>
        <v>4.9084840971188188E-5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1.3512079023982142E-2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6.2821326559765259E-3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1.2211936734736863E-3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6.594358934380615E-8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3.3662762562472453E-3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2.3280953027172635E-8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1.9328577937378027E-4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130.86408732053968</v>
      </c>
      <c r="C14" s="21"/>
      <c r="D14" s="21">
        <f t="shared" ref="D14:M14" si="0">((D5)*10^9/3600)+D12</f>
        <v>227.24136529015112</v>
      </c>
      <c r="E14" s="21">
        <f t="shared" si="0"/>
        <v>89.48658961412815</v>
      </c>
      <c r="F14" s="21"/>
      <c r="G14" s="21">
        <f t="shared" si="0"/>
        <v>41942.128019451258</v>
      </c>
      <c r="H14" s="21">
        <f t="shared" si="0"/>
        <v>11127.980067432756</v>
      </c>
      <c r="I14" s="21"/>
      <c r="J14" s="21"/>
      <c r="K14" s="21"/>
      <c r="L14" s="21"/>
      <c r="M14" s="21">
        <f t="shared" si="0"/>
        <v>3197.1214016679178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0.21810812682432582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28.542520954057917</v>
      </c>
      <c r="C18" s="23"/>
      <c r="D18" s="23">
        <f t="shared" ref="D18:M18" si="1">D14*D16</f>
        <v>45.902755788610527</v>
      </c>
      <c r="E18" s="23">
        <f t="shared" si="1"/>
        <v>20.313455842407091</v>
      </c>
      <c r="F18" s="23"/>
      <c r="G18" s="23">
        <f t="shared" si="1"/>
        <v>11198.548181193486</v>
      </c>
      <c r="H18" s="23">
        <f t="shared" si="1"/>
        <v>2770.8670367907562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6.6813951548331407E-5</v>
      </c>
      <c r="C50" s="315">
        <f t="shared" ref="C50:P50" si="2">SUM(C51:C52)</f>
        <v>0</v>
      </c>
      <c r="D50" s="315">
        <f t="shared" si="2"/>
        <v>0</v>
      </c>
      <c r="E50" s="315">
        <f t="shared" si="2"/>
        <v>0</v>
      </c>
      <c r="F50" s="315">
        <f t="shared" si="2"/>
        <v>0</v>
      </c>
      <c r="G50" s="315">
        <f t="shared" si="2"/>
        <v>4.182755359647905E-3</v>
      </c>
      <c r="H50" s="315">
        <f t="shared" si="2"/>
        <v>0</v>
      </c>
      <c r="I50" s="315">
        <f t="shared" si="2"/>
        <v>0</v>
      </c>
      <c r="J50" s="315">
        <f t="shared" si="2"/>
        <v>0</v>
      </c>
      <c r="K50" s="315">
        <f t="shared" si="2"/>
        <v>0</v>
      </c>
      <c r="L50" s="315">
        <f t="shared" si="2"/>
        <v>0</v>
      </c>
      <c r="M50" s="315">
        <f t="shared" si="2"/>
        <v>2.401645511566895E-4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6.6813951548331407E-5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4.182755359647905E-3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2.401645511566895E-4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18.559430985647612</v>
      </c>
      <c r="C54" s="21">
        <f t="shared" ref="C54:P54" si="3">(C50)*10^9/3600</f>
        <v>0</v>
      </c>
      <c r="D54" s="21">
        <f t="shared" si="3"/>
        <v>0</v>
      </c>
      <c r="E54" s="21">
        <f t="shared" si="3"/>
        <v>0</v>
      </c>
      <c r="F54" s="21">
        <f t="shared" si="3"/>
        <v>0</v>
      </c>
      <c r="G54" s="21">
        <f t="shared" si="3"/>
        <v>1161.8764887910847</v>
      </c>
      <c r="H54" s="21">
        <f t="shared" si="3"/>
        <v>0</v>
      </c>
      <c r="I54" s="21">
        <f t="shared" si="3"/>
        <v>0</v>
      </c>
      <c r="J54" s="21">
        <f t="shared" si="3"/>
        <v>0</v>
      </c>
      <c r="K54" s="21">
        <f t="shared" si="3"/>
        <v>0</v>
      </c>
      <c r="L54" s="21">
        <f t="shared" si="3"/>
        <v>0</v>
      </c>
      <c r="M54" s="21">
        <f t="shared" si="3"/>
        <v>66.712375321302645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0.21810812682432582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4.0479627272049514</v>
      </c>
      <c r="C58" s="23">
        <f t="shared" ref="C58:P58" ca="1" si="4">C54*C56</f>
        <v>0</v>
      </c>
      <c r="D58" s="23">
        <f t="shared" si="4"/>
        <v>0</v>
      </c>
      <c r="E58" s="23">
        <f t="shared" si="4"/>
        <v>0</v>
      </c>
      <c r="F58" s="23">
        <f t="shared" si="4"/>
        <v>0</v>
      </c>
      <c r="G58" s="23">
        <f t="shared" si="4"/>
        <v>310.22102250721963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zoomScale="65" zoomScaleNormal="65" workbookViewId="0">
      <selection activeCell="M38" sqref="M3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9155.2373072049068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N39</f>
        <v>93928.5</v>
      </c>
      <c r="C8" s="545">
        <f>B58</f>
        <v>110504.11764705883</v>
      </c>
      <c r="D8" s="546"/>
      <c r="E8" s="546">
        <f>E58</f>
        <v>0</v>
      </c>
      <c r="F8" s="547"/>
      <c r="G8" s="548"/>
      <c r="H8" s="546">
        <f>I58</f>
        <v>0</v>
      </c>
      <c r="I8" s="546">
        <f>G58+F58</f>
        <v>0</v>
      </c>
      <c r="J8" s="546">
        <f>H58+D58+C58</f>
        <v>0</v>
      </c>
      <c r="K8" s="546"/>
      <c r="L8" s="546"/>
      <c r="M8" s="546"/>
      <c r="N8" s="549"/>
      <c r="O8" s="550">
        <f>C8*$C$12+D8*$D$12+E8*$E$12+F8*$F$12+G8*$G$12+H8*$H$12+I8*$I$12+J8*$J$12</f>
        <v>22321.831764705883</v>
      </c>
      <c r="P8" s="1285"/>
      <c r="Q8" s="1286"/>
      <c r="S8" s="540"/>
      <c r="T8" s="1282"/>
      <c r="U8" s="1282"/>
    </row>
    <row r="9" spans="1:21" s="531" customFormat="1" ht="17.45" customHeight="1" thickBot="1">
      <c r="A9" s="551" t="s">
        <v>243</v>
      </c>
      <c r="B9" s="552">
        <f>N46+'Eigen informatie GS &amp; warmtenet'!B12</f>
        <v>0</v>
      </c>
      <c r="C9" s="553">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103083.73730720491</v>
      </c>
      <c r="C10" s="560">
        <f t="shared" ref="C10:L10" si="0">SUM(C8:C9)</f>
        <v>110504.11764705883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22321.831764705883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O39</f>
        <v>132049.76785714287</v>
      </c>
      <c r="C17" s="576">
        <f>B59</f>
        <v>155352.66806722691</v>
      </c>
      <c r="D17" s="577"/>
      <c r="E17" s="577">
        <f>E59</f>
        <v>0</v>
      </c>
      <c r="F17" s="578"/>
      <c r="G17" s="579"/>
      <c r="H17" s="576">
        <f>I59</f>
        <v>0</v>
      </c>
      <c r="I17" s="577">
        <f>G59+F59</f>
        <v>0</v>
      </c>
      <c r="J17" s="577">
        <f>H59+D59+C59</f>
        <v>0</v>
      </c>
      <c r="K17" s="577"/>
      <c r="L17" s="577"/>
      <c r="M17" s="577"/>
      <c r="N17" s="962"/>
      <c r="O17" s="580">
        <f>C17*$C$22+E17*$E$22+H17*$H$22+I17*$I$22+J17*$J$22+D17*$D$22+F17*$F$22+G17*$G$22+K17*$K$22+L17*$L$22</f>
        <v>31381.238949579838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132049.76785714287</v>
      </c>
      <c r="C20" s="559">
        <f>SUM(C17:C19)</f>
        <v>155352.66806722691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31381.238949579838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12009</v>
      </c>
      <c r="C28" s="787">
        <v>2570</v>
      </c>
      <c r="D28" s="637" t="s">
        <v>874</v>
      </c>
      <c r="E28" s="636" t="s">
        <v>875</v>
      </c>
      <c r="F28" s="636" t="s">
        <v>876</v>
      </c>
      <c r="G28" s="636" t="s">
        <v>877</v>
      </c>
      <c r="H28" s="636" t="s">
        <v>878</v>
      </c>
      <c r="I28" s="636" t="s">
        <v>875</v>
      </c>
      <c r="J28" s="786">
        <v>39142</v>
      </c>
      <c r="K28" s="786">
        <v>39150</v>
      </c>
      <c r="L28" s="636" t="s">
        <v>879</v>
      </c>
      <c r="M28" s="636">
        <v>2000</v>
      </c>
      <c r="N28" s="636">
        <v>9000</v>
      </c>
      <c r="O28" s="636">
        <v>12857.142857142857</v>
      </c>
      <c r="P28" s="636">
        <v>25714.285714285717</v>
      </c>
      <c r="Q28" s="636">
        <v>0</v>
      </c>
      <c r="R28" s="636">
        <v>0</v>
      </c>
      <c r="S28" s="636">
        <v>0</v>
      </c>
      <c r="T28" s="636">
        <v>0</v>
      </c>
      <c r="U28" s="636">
        <v>0</v>
      </c>
      <c r="V28" s="636">
        <v>0</v>
      </c>
      <c r="W28" s="636">
        <v>0</v>
      </c>
      <c r="X28" s="636">
        <v>10</v>
      </c>
      <c r="Y28" s="636" t="s">
        <v>111</v>
      </c>
      <c r="Z28" s="638" t="s">
        <v>111</v>
      </c>
    </row>
    <row r="29" spans="1:26" s="590" customFormat="1" ht="25.5">
      <c r="A29" s="589"/>
      <c r="B29" s="787">
        <v>12009</v>
      </c>
      <c r="C29" s="787">
        <v>2570</v>
      </c>
      <c r="D29" s="637" t="s">
        <v>880</v>
      </c>
      <c r="E29" s="636" t="s">
        <v>881</v>
      </c>
      <c r="F29" s="636" t="s">
        <v>882</v>
      </c>
      <c r="G29" s="636" t="s">
        <v>877</v>
      </c>
      <c r="H29" s="636" t="s">
        <v>878</v>
      </c>
      <c r="I29" s="636" t="s">
        <v>881</v>
      </c>
      <c r="J29" s="786">
        <v>39241</v>
      </c>
      <c r="K29" s="786">
        <v>39253</v>
      </c>
      <c r="L29" s="636" t="s">
        <v>879</v>
      </c>
      <c r="M29" s="636">
        <v>1147</v>
      </c>
      <c r="N29" s="636">
        <v>5161.5</v>
      </c>
      <c r="O29" s="636">
        <v>7373.5714285714284</v>
      </c>
      <c r="P29" s="636">
        <v>14747.142857142859</v>
      </c>
      <c r="Q29" s="636">
        <v>0</v>
      </c>
      <c r="R29" s="636">
        <v>0</v>
      </c>
      <c r="S29" s="636">
        <v>0</v>
      </c>
      <c r="T29" s="636">
        <v>0</v>
      </c>
      <c r="U29" s="636">
        <v>0</v>
      </c>
      <c r="V29" s="636">
        <v>0</v>
      </c>
      <c r="W29" s="636">
        <v>0</v>
      </c>
      <c r="X29" s="636">
        <v>10</v>
      </c>
      <c r="Y29" s="636" t="s">
        <v>111</v>
      </c>
      <c r="Z29" s="638" t="s">
        <v>111</v>
      </c>
    </row>
    <row r="30" spans="1:26" s="590" customFormat="1" ht="25.5">
      <c r="A30" s="589"/>
      <c r="B30" s="787">
        <v>12009</v>
      </c>
      <c r="C30" s="787">
        <v>2570</v>
      </c>
      <c r="D30" s="637" t="s">
        <v>883</v>
      </c>
      <c r="E30" s="636" t="s">
        <v>884</v>
      </c>
      <c r="F30" s="636" t="s">
        <v>885</v>
      </c>
      <c r="G30" s="636" t="s">
        <v>877</v>
      </c>
      <c r="H30" s="636" t="s">
        <v>878</v>
      </c>
      <c r="I30" s="636" t="s">
        <v>884</v>
      </c>
      <c r="J30" s="786">
        <v>41995</v>
      </c>
      <c r="K30" s="786">
        <v>39261</v>
      </c>
      <c r="L30" s="636" t="s">
        <v>879</v>
      </c>
      <c r="M30" s="636">
        <v>1969</v>
      </c>
      <c r="N30" s="636">
        <v>8860.5</v>
      </c>
      <c r="O30" s="636">
        <v>12657.857142857143</v>
      </c>
      <c r="P30" s="636">
        <v>25315.714285714286</v>
      </c>
      <c r="Q30" s="636">
        <v>0</v>
      </c>
      <c r="R30" s="636">
        <v>0</v>
      </c>
      <c r="S30" s="636">
        <v>0</v>
      </c>
      <c r="T30" s="636">
        <v>0</v>
      </c>
      <c r="U30" s="636">
        <v>0</v>
      </c>
      <c r="V30" s="636">
        <v>0</v>
      </c>
      <c r="W30" s="636">
        <v>0</v>
      </c>
      <c r="X30" s="636">
        <v>10</v>
      </c>
      <c r="Y30" s="636" t="s">
        <v>111</v>
      </c>
      <c r="Z30" s="638" t="s">
        <v>111</v>
      </c>
    </row>
    <row r="31" spans="1:26" s="590" customFormat="1" ht="25.5">
      <c r="A31" s="589"/>
      <c r="B31" s="787">
        <v>12009</v>
      </c>
      <c r="C31" s="787">
        <v>2570</v>
      </c>
      <c r="D31" s="637" t="s">
        <v>886</v>
      </c>
      <c r="E31" s="636" t="s">
        <v>887</v>
      </c>
      <c r="F31" s="636" t="s">
        <v>888</v>
      </c>
      <c r="G31" s="636" t="s">
        <v>877</v>
      </c>
      <c r="H31" s="636" t="s">
        <v>878</v>
      </c>
      <c r="I31" s="636" t="s">
        <v>889</v>
      </c>
      <c r="J31" s="786">
        <v>41260</v>
      </c>
      <c r="K31" s="786">
        <v>39492</v>
      </c>
      <c r="L31" s="636" t="s">
        <v>879</v>
      </c>
      <c r="M31" s="636">
        <v>3538</v>
      </c>
      <c r="N31" s="636">
        <v>15921</v>
      </c>
      <c r="O31" s="636">
        <v>22744.285714285714</v>
      </c>
      <c r="P31" s="636">
        <v>45488.571428571435</v>
      </c>
      <c r="Q31" s="636">
        <v>0</v>
      </c>
      <c r="R31" s="636">
        <v>0</v>
      </c>
      <c r="S31" s="636">
        <v>0</v>
      </c>
      <c r="T31" s="636">
        <v>0</v>
      </c>
      <c r="U31" s="636">
        <v>0</v>
      </c>
      <c r="V31" s="636">
        <v>0</v>
      </c>
      <c r="W31" s="636">
        <v>0</v>
      </c>
      <c r="X31" s="636">
        <v>10</v>
      </c>
      <c r="Y31" s="636" t="s">
        <v>111</v>
      </c>
      <c r="Z31" s="638" t="s">
        <v>111</v>
      </c>
    </row>
    <row r="32" spans="1:26" s="590" customFormat="1" ht="25.5">
      <c r="A32" s="589"/>
      <c r="B32" s="787">
        <v>12009</v>
      </c>
      <c r="C32" s="787">
        <v>2570</v>
      </c>
      <c r="D32" s="637" t="s">
        <v>890</v>
      </c>
      <c r="E32" s="636" t="s">
        <v>891</v>
      </c>
      <c r="F32" s="636" t="s">
        <v>892</v>
      </c>
      <c r="G32" s="636" t="s">
        <v>877</v>
      </c>
      <c r="H32" s="636" t="s">
        <v>878</v>
      </c>
      <c r="I32" s="636" t="s">
        <v>891</v>
      </c>
      <c r="J32" s="786">
        <v>39573</v>
      </c>
      <c r="K32" s="786">
        <v>39573</v>
      </c>
      <c r="L32" s="636" t="s">
        <v>879</v>
      </c>
      <c r="M32" s="636">
        <v>2789</v>
      </c>
      <c r="N32" s="636">
        <v>12550.5</v>
      </c>
      <c r="O32" s="636">
        <v>17929.285714285714</v>
      </c>
      <c r="P32" s="636">
        <v>35858.571428571428</v>
      </c>
      <c r="Q32" s="636">
        <v>0</v>
      </c>
      <c r="R32" s="636">
        <v>0</v>
      </c>
      <c r="S32" s="636">
        <v>0</v>
      </c>
      <c r="T32" s="636">
        <v>0</v>
      </c>
      <c r="U32" s="636">
        <v>0</v>
      </c>
      <c r="V32" s="636">
        <v>0</v>
      </c>
      <c r="W32" s="636">
        <v>0</v>
      </c>
      <c r="X32" s="636">
        <v>10</v>
      </c>
      <c r="Y32" s="636" t="s">
        <v>111</v>
      </c>
      <c r="Z32" s="638" t="s">
        <v>111</v>
      </c>
    </row>
    <row r="33" spans="1:26" s="590" customFormat="1" ht="25.5">
      <c r="A33" s="589"/>
      <c r="B33" s="787">
        <v>12009</v>
      </c>
      <c r="C33" s="787">
        <v>2570</v>
      </c>
      <c r="D33" s="637" t="s">
        <v>893</v>
      </c>
      <c r="E33" s="636" t="s">
        <v>894</v>
      </c>
      <c r="F33" s="636" t="s">
        <v>895</v>
      </c>
      <c r="G33" s="636" t="s">
        <v>877</v>
      </c>
      <c r="H33" s="636" t="s">
        <v>878</v>
      </c>
      <c r="I33" s="636" t="s">
        <v>894</v>
      </c>
      <c r="J33" s="786">
        <v>39594</v>
      </c>
      <c r="K33" s="786">
        <v>39594</v>
      </c>
      <c r="L33" s="636" t="s">
        <v>879</v>
      </c>
      <c r="M33" s="636">
        <v>2000</v>
      </c>
      <c r="N33" s="636">
        <v>9000</v>
      </c>
      <c r="O33" s="636">
        <v>12857.142857142857</v>
      </c>
      <c r="P33" s="636">
        <v>25714.285714285717</v>
      </c>
      <c r="Q33" s="636">
        <v>0</v>
      </c>
      <c r="R33" s="636">
        <v>0</v>
      </c>
      <c r="S33" s="636">
        <v>0</v>
      </c>
      <c r="T33" s="636">
        <v>0</v>
      </c>
      <c r="U33" s="636">
        <v>0</v>
      </c>
      <c r="V33" s="636">
        <v>0</v>
      </c>
      <c r="W33" s="636">
        <v>0</v>
      </c>
      <c r="X33" s="636">
        <v>10</v>
      </c>
      <c r="Y33" s="636" t="s">
        <v>111</v>
      </c>
      <c r="Z33" s="638" t="s">
        <v>111</v>
      </c>
    </row>
    <row r="34" spans="1:26" s="590" customFormat="1" ht="25.5">
      <c r="A34" s="589"/>
      <c r="B34" s="787">
        <v>12009</v>
      </c>
      <c r="C34" s="787">
        <v>2570</v>
      </c>
      <c r="D34" s="637" t="s">
        <v>896</v>
      </c>
      <c r="E34" s="636" t="s">
        <v>897</v>
      </c>
      <c r="F34" s="636" t="s">
        <v>898</v>
      </c>
      <c r="G34" s="636" t="s">
        <v>877</v>
      </c>
      <c r="H34" s="636" t="s">
        <v>878</v>
      </c>
      <c r="I34" s="636" t="s">
        <v>899</v>
      </c>
      <c r="J34" s="786">
        <v>39843</v>
      </c>
      <c r="K34" s="786">
        <v>39848</v>
      </c>
      <c r="L34" s="636" t="s">
        <v>879</v>
      </c>
      <c r="M34" s="636">
        <v>2014</v>
      </c>
      <c r="N34" s="636">
        <v>9062.9999999999982</v>
      </c>
      <c r="O34" s="636">
        <v>12947.142857142855</v>
      </c>
      <c r="P34" s="636">
        <v>25894.28571428571</v>
      </c>
      <c r="Q34" s="636">
        <v>0</v>
      </c>
      <c r="R34" s="636">
        <v>0</v>
      </c>
      <c r="S34" s="636">
        <v>0</v>
      </c>
      <c r="T34" s="636">
        <v>0</v>
      </c>
      <c r="U34" s="636">
        <v>0</v>
      </c>
      <c r="V34" s="636">
        <v>0</v>
      </c>
      <c r="W34" s="636">
        <v>0</v>
      </c>
      <c r="X34" s="636">
        <v>10</v>
      </c>
      <c r="Y34" s="636" t="s">
        <v>111</v>
      </c>
      <c r="Z34" s="638" t="s">
        <v>111</v>
      </c>
    </row>
    <row r="35" spans="1:26" s="590" customFormat="1" ht="25.5">
      <c r="A35" s="589"/>
      <c r="B35" s="787">
        <v>12009</v>
      </c>
      <c r="C35" s="787">
        <v>2570</v>
      </c>
      <c r="D35" s="637" t="s">
        <v>900</v>
      </c>
      <c r="E35" s="636" t="s">
        <v>901</v>
      </c>
      <c r="F35" s="636" t="s">
        <v>902</v>
      </c>
      <c r="G35" s="636" t="s">
        <v>877</v>
      </c>
      <c r="H35" s="636" t="s">
        <v>878</v>
      </c>
      <c r="I35" s="636" t="s">
        <v>903</v>
      </c>
      <c r="J35" s="786">
        <v>40443</v>
      </c>
      <c r="K35" s="786">
        <v>40443</v>
      </c>
      <c r="L35" s="636" t="s">
        <v>879</v>
      </c>
      <c r="M35" s="636">
        <v>1008</v>
      </c>
      <c r="N35" s="636">
        <v>4536</v>
      </c>
      <c r="O35" s="636">
        <v>6480</v>
      </c>
      <c r="P35" s="636">
        <v>12960</v>
      </c>
      <c r="Q35" s="636">
        <v>0</v>
      </c>
      <c r="R35" s="636">
        <v>0</v>
      </c>
      <c r="S35" s="636">
        <v>0</v>
      </c>
      <c r="T35" s="636">
        <v>0</v>
      </c>
      <c r="U35" s="636">
        <v>0</v>
      </c>
      <c r="V35" s="636">
        <v>0</v>
      </c>
      <c r="W35" s="636">
        <v>0</v>
      </c>
      <c r="X35" s="636">
        <v>10</v>
      </c>
      <c r="Y35" s="636" t="s">
        <v>111</v>
      </c>
      <c r="Z35" s="638" t="s">
        <v>111</v>
      </c>
    </row>
    <row r="36" spans="1:26" s="590" customFormat="1" ht="25.5">
      <c r="A36" s="589"/>
      <c r="B36" s="787">
        <v>12009</v>
      </c>
      <c r="C36" s="787">
        <v>2570</v>
      </c>
      <c r="D36" s="637" t="s">
        <v>904</v>
      </c>
      <c r="E36" s="636" t="s">
        <v>905</v>
      </c>
      <c r="F36" s="636" t="s">
        <v>906</v>
      </c>
      <c r="G36" s="636" t="s">
        <v>877</v>
      </c>
      <c r="H36" s="636" t="s">
        <v>878</v>
      </c>
      <c r="I36" s="636" t="s">
        <v>905</v>
      </c>
      <c r="J36" s="786">
        <v>40763</v>
      </c>
      <c r="K36" s="786">
        <v>40763</v>
      </c>
      <c r="L36" s="636" t="s">
        <v>879</v>
      </c>
      <c r="M36" s="636">
        <v>1560</v>
      </c>
      <c r="N36" s="636">
        <v>7020</v>
      </c>
      <c r="O36" s="636">
        <v>10028.571428571429</v>
      </c>
      <c r="P36" s="636">
        <v>20057.142857142859</v>
      </c>
      <c r="Q36" s="636">
        <v>0</v>
      </c>
      <c r="R36" s="636">
        <v>0</v>
      </c>
      <c r="S36" s="636">
        <v>0</v>
      </c>
      <c r="T36" s="636">
        <v>0</v>
      </c>
      <c r="U36" s="636">
        <v>0</v>
      </c>
      <c r="V36" s="636">
        <v>0</v>
      </c>
      <c r="W36" s="636">
        <v>0</v>
      </c>
      <c r="X36" s="636">
        <v>16000</v>
      </c>
      <c r="Y36" s="636" t="s">
        <v>32</v>
      </c>
      <c r="Z36" s="638" t="s">
        <v>379</v>
      </c>
    </row>
    <row r="37" spans="1:26" s="590" customFormat="1" ht="38.25">
      <c r="A37" s="589"/>
      <c r="B37" s="787">
        <v>12009</v>
      </c>
      <c r="C37" s="787">
        <v>2570</v>
      </c>
      <c r="D37" s="637" t="s">
        <v>907</v>
      </c>
      <c r="E37" s="636" t="s">
        <v>908</v>
      </c>
      <c r="F37" s="636" t="s">
        <v>909</v>
      </c>
      <c r="G37" s="636" t="s">
        <v>877</v>
      </c>
      <c r="H37" s="636" t="s">
        <v>910</v>
      </c>
      <c r="I37" s="636" t="s">
        <v>908</v>
      </c>
      <c r="J37" s="786">
        <v>41313</v>
      </c>
      <c r="K37" s="786">
        <v>41316</v>
      </c>
      <c r="L37" s="636" t="s">
        <v>879</v>
      </c>
      <c r="M37" s="636">
        <v>1562</v>
      </c>
      <c r="N37" s="636">
        <v>7029</v>
      </c>
      <c r="O37" s="636">
        <v>7907.625</v>
      </c>
      <c r="P37" s="636">
        <v>17572.5</v>
      </c>
      <c r="Q37" s="636">
        <v>0</v>
      </c>
      <c r="R37" s="636">
        <v>0</v>
      </c>
      <c r="S37" s="636">
        <v>0</v>
      </c>
      <c r="T37" s="636">
        <v>0</v>
      </c>
      <c r="U37" s="636">
        <v>0</v>
      </c>
      <c r="V37" s="636">
        <v>0</v>
      </c>
      <c r="W37" s="636">
        <v>0</v>
      </c>
      <c r="X37" s="636">
        <v>10</v>
      </c>
      <c r="Y37" s="636" t="s">
        <v>111</v>
      </c>
      <c r="Z37" s="638" t="s">
        <v>111</v>
      </c>
    </row>
    <row r="38" spans="1:26" s="590" customFormat="1" ht="25.5">
      <c r="A38" s="589"/>
      <c r="B38" s="787">
        <v>12009</v>
      </c>
      <c r="C38" s="787">
        <v>2570</v>
      </c>
      <c r="D38" s="637" t="s">
        <v>911</v>
      </c>
      <c r="E38" s="636"/>
      <c r="F38" s="636" t="s">
        <v>912</v>
      </c>
      <c r="G38" s="636" t="s">
        <v>913</v>
      </c>
      <c r="H38" s="636" t="s">
        <v>878</v>
      </c>
      <c r="I38" s="636" t="s">
        <v>914</v>
      </c>
      <c r="J38" s="786">
        <v>42502</v>
      </c>
      <c r="K38" s="786">
        <v>42502</v>
      </c>
      <c r="L38" s="636" t="s">
        <v>915</v>
      </c>
      <c r="M38" s="636">
        <v>1286</v>
      </c>
      <c r="N38" s="636">
        <v>5787</v>
      </c>
      <c r="O38" s="636">
        <v>8267.1428571428569</v>
      </c>
      <c r="P38" s="636">
        <v>16534.285714285714</v>
      </c>
      <c r="Q38" s="636">
        <v>0</v>
      </c>
      <c r="R38" s="636">
        <v>0</v>
      </c>
      <c r="S38" s="636">
        <v>0</v>
      </c>
      <c r="T38" s="636">
        <v>0</v>
      </c>
      <c r="U38" s="636">
        <v>0</v>
      </c>
      <c r="V38" s="636">
        <v>0</v>
      </c>
      <c r="W38" s="636">
        <v>0</v>
      </c>
      <c r="X38" s="636">
        <v>10</v>
      </c>
      <c r="Y38" s="636" t="s">
        <v>111</v>
      </c>
      <c r="Z38" s="638" t="s">
        <v>111</v>
      </c>
    </row>
    <row r="39" spans="1:26" s="570" customFormat="1">
      <c r="A39" s="592" t="s">
        <v>275</v>
      </c>
      <c r="B39" s="593"/>
      <c r="C39" s="593"/>
      <c r="D39" s="593"/>
      <c r="E39" s="593"/>
      <c r="F39" s="593"/>
      <c r="G39" s="593"/>
      <c r="H39" s="593"/>
      <c r="I39" s="593"/>
      <c r="J39" s="593"/>
      <c r="K39" s="593"/>
      <c r="L39" s="594"/>
      <c r="M39" s="594">
        <f>SUM(M28:M38)</f>
        <v>20873</v>
      </c>
      <c r="N39" s="594">
        <f>SUM(N28:N38)</f>
        <v>93928.5</v>
      </c>
      <c r="O39" s="594">
        <f>SUM(O28:O38)</f>
        <v>132049.76785714287</v>
      </c>
      <c r="P39" s="594">
        <f>SUM(P28:P38)</f>
        <v>265856.78571428574</v>
      </c>
      <c r="Q39" s="594">
        <f>SUM(Q28:Q38)</f>
        <v>0</v>
      </c>
      <c r="R39" s="594">
        <f>SUM(R28:R38)</f>
        <v>0</v>
      </c>
      <c r="S39" s="594">
        <f>SUM(S28:S38)</f>
        <v>0</v>
      </c>
      <c r="T39" s="594">
        <f>SUM(T28:T38)</f>
        <v>0</v>
      </c>
      <c r="U39" s="594">
        <f>SUM(U28:U38)</f>
        <v>0</v>
      </c>
      <c r="V39" s="594">
        <f>SUM(V28:V38)</f>
        <v>0</v>
      </c>
      <c r="W39" s="594">
        <f>SUM(W28:W38)</f>
        <v>0</v>
      </c>
      <c r="X39" s="595"/>
      <c r="Y39" s="595"/>
      <c r="Z39" s="596"/>
    </row>
    <row r="40" spans="1:26" s="570" customFormat="1">
      <c r="A40" s="592" t="s">
        <v>282</v>
      </c>
      <c r="B40" s="593"/>
      <c r="C40" s="593"/>
      <c r="D40" s="593"/>
      <c r="E40" s="593"/>
      <c r="F40" s="593"/>
      <c r="G40" s="593"/>
      <c r="H40" s="593"/>
      <c r="I40" s="593"/>
      <c r="J40" s="593"/>
      <c r="K40" s="593"/>
      <c r="L40" s="594"/>
      <c r="M40" s="594">
        <f>SUMIF($Z$28:$Z$38,"industrie",M28:M38)</f>
        <v>1560</v>
      </c>
      <c r="N40" s="594">
        <f>SUMIF($Z$28:$Z$38,"industrie",N28:N38)</f>
        <v>7020</v>
      </c>
      <c r="O40" s="594">
        <f>SUMIF($Z$28:$Z$38,"industrie",O28:O38)</f>
        <v>10028.571428571429</v>
      </c>
      <c r="P40" s="594">
        <f>SUMIF($Z$28:$Z$38,"industrie",P28:P38)</f>
        <v>20057.142857142859</v>
      </c>
      <c r="Q40" s="594">
        <f>SUMIF($Z$28:$Z$38,"industrie",Q28:Q38)</f>
        <v>0</v>
      </c>
      <c r="R40" s="594">
        <f>SUMIF($Z$28:$Z$38,"industrie",R28:R38)</f>
        <v>0</v>
      </c>
      <c r="S40" s="594">
        <f>SUMIF($Z$28:$Z$38,"industrie",S28:S38)</f>
        <v>0</v>
      </c>
      <c r="T40" s="594">
        <f>SUMIF($Z$28:$Z$38,"industrie",T28:T38)</f>
        <v>0</v>
      </c>
      <c r="U40" s="594">
        <f>SUMIF($Z$28:$Z$38,"industrie",U28:U38)</f>
        <v>0</v>
      </c>
      <c r="V40" s="594">
        <f>SUMIF($Z$28:$Z$38,"industrie",V28:V38)</f>
        <v>0</v>
      </c>
      <c r="W40" s="594">
        <f>SUMIF($Z$28:$Z$38,"industrie",W28:W38)</f>
        <v>0</v>
      </c>
      <c r="X40" s="595"/>
      <c r="Y40" s="595"/>
      <c r="Z40" s="596"/>
    </row>
    <row r="41" spans="1:26" s="570" customFormat="1">
      <c r="A41" s="592" t="s">
        <v>283</v>
      </c>
      <c r="B41" s="593"/>
      <c r="C41" s="593"/>
      <c r="D41" s="593"/>
      <c r="E41" s="593"/>
      <c r="F41" s="593"/>
      <c r="G41" s="593"/>
      <c r="H41" s="593"/>
      <c r="I41" s="593"/>
      <c r="J41" s="593"/>
      <c r="K41" s="593"/>
      <c r="L41" s="594"/>
      <c r="M41" s="594">
        <f ca="1">SUMIF($Z$28:AC38,"tertiair",M28:M38)</f>
        <v>0</v>
      </c>
      <c r="N41" s="594">
        <f ca="1">SUMIF($Z$28:AD38,"tertiair",N28:N38)</f>
        <v>0</v>
      </c>
      <c r="O41" s="594">
        <f ca="1">SUMIF($Z$28:AE38,"tertiair",O28:O38)</f>
        <v>0</v>
      </c>
      <c r="P41" s="594">
        <f ca="1">SUMIF($Z$28:AF38,"tertiair",P28:P38)</f>
        <v>0</v>
      </c>
      <c r="Q41" s="594">
        <f ca="1">SUMIF($Z$28:AG38,"tertiair",Q28:Q38)</f>
        <v>0</v>
      </c>
      <c r="R41" s="594">
        <f ca="1">SUMIF($Z$28:AH38,"tertiair",R28:R38)</f>
        <v>0</v>
      </c>
      <c r="S41" s="594">
        <f ca="1">SUMIF($Z$28:AI38,"tertiair",S28:S38)</f>
        <v>0</v>
      </c>
      <c r="T41" s="594">
        <f ca="1">SUMIF($Z$28:AJ38,"tertiair",T28:T38)</f>
        <v>0</v>
      </c>
      <c r="U41" s="594">
        <f ca="1">SUMIF($Z$28:AK38,"tertiair",U28:U38)</f>
        <v>0</v>
      </c>
      <c r="V41" s="594">
        <f ca="1">SUMIF($Z$28:AL38,"tertiair",V28:V38)</f>
        <v>0</v>
      </c>
      <c r="W41" s="594">
        <f ca="1">SUMIF($Z$28:AM38,"tertiair",W28:W38)</f>
        <v>0</v>
      </c>
      <c r="X41" s="595"/>
      <c r="Y41" s="595"/>
      <c r="Z41" s="596"/>
    </row>
    <row r="42" spans="1:26" s="570" customFormat="1" ht="15.75" thickBot="1">
      <c r="A42" s="597" t="s">
        <v>284</v>
      </c>
      <c r="B42" s="598"/>
      <c r="C42" s="598"/>
      <c r="D42" s="598"/>
      <c r="E42" s="598"/>
      <c r="F42" s="598"/>
      <c r="G42" s="598"/>
      <c r="H42" s="598"/>
      <c r="I42" s="598"/>
      <c r="J42" s="598"/>
      <c r="K42" s="598"/>
      <c r="L42" s="599"/>
      <c r="M42" s="599">
        <f>SUMIF($Z$28:$Z$38,"landbouw",M28:M38)</f>
        <v>19313</v>
      </c>
      <c r="N42" s="599">
        <f>SUMIF($Z$28:$Z$38,"landbouw",N28:N38)</f>
        <v>86908.5</v>
      </c>
      <c r="O42" s="599">
        <f>SUMIF($Z$28:$Z$38,"landbouw",O28:O38)</f>
        <v>122021.19642857142</v>
      </c>
      <c r="P42" s="599">
        <f>SUMIF($Z$28:$Z$38,"landbouw",P28:P38)</f>
        <v>245799.64285714287</v>
      </c>
      <c r="Q42" s="599">
        <f>SUMIF($Z$28:$Z$38,"landbouw",Q28:Q38)</f>
        <v>0</v>
      </c>
      <c r="R42" s="599">
        <f>SUMIF($Z$28:$Z$38,"landbouw",R28:R38)</f>
        <v>0</v>
      </c>
      <c r="S42" s="599">
        <f>SUMIF($Z$28:$Z$38,"landbouw",S28:S38)</f>
        <v>0</v>
      </c>
      <c r="T42" s="599">
        <f>SUMIF($Z$28:$Z$38,"landbouw",T28:T38)</f>
        <v>0</v>
      </c>
      <c r="U42" s="599">
        <f>SUMIF($Z$28:$Z$38,"landbouw",U28:U38)</f>
        <v>0</v>
      </c>
      <c r="V42" s="599">
        <f>SUMIF($Z$28:$Z$38,"landbouw",V28:V38)</f>
        <v>0</v>
      </c>
      <c r="W42" s="599">
        <f>SUMIF($Z$28:$Z$38,"landbouw",W28:W38)</f>
        <v>0</v>
      </c>
      <c r="X42" s="600"/>
      <c r="Y42" s="600"/>
      <c r="Z42" s="601"/>
    </row>
    <row r="43" spans="1:26" s="531" customFormat="1" ht="15.75" thickBot="1">
      <c r="A43" s="602"/>
      <c r="B43" s="603"/>
      <c r="C43" s="603"/>
      <c r="D43" s="603"/>
      <c r="E43" s="603"/>
      <c r="F43" s="603"/>
      <c r="G43" s="603"/>
      <c r="H43" s="603"/>
      <c r="I43" s="603"/>
      <c r="J43" s="603"/>
      <c r="K43" s="603"/>
      <c r="L43" s="586"/>
      <c r="M43" s="586"/>
      <c r="N43" s="586"/>
      <c r="O43" s="587"/>
      <c r="P43" s="587"/>
    </row>
    <row r="44" spans="1:26" s="531" customFormat="1" ht="45">
      <c r="A44" s="604" t="s">
        <v>276</v>
      </c>
      <c r="B44" s="633" t="s">
        <v>89</v>
      </c>
      <c r="C44" s="633" t="s">
        <v>90</v>
      </c>
      <c r="D44" s="633" t="s">
        <v>91</v>
      </c>
      <c r="E44" s="633" t="s">
        <v>92</v>
      </c>
      <c r="F44" s="633" t="s">
        <v>93</v>
      </c>
      <c r="G44" s="633" t="s">
        <v>94</v>
      </c>
      <c r="H44" s="633" t="s">
        <v>95</v>
      </c>
      <c r="I44" s="633" t="s">
        <v>96</v>
      </c>
      <c r="J44" s="633" t="s">
        <v>97</v>
      </c>
      <c r="K44" s="633" t="s">
        <v>98</v>
      </c>
      <c r="L44" s="633" t="s">
        <v>99</v>
      </c>
      <c r="M44" s="634" t="s">
        <v>293</v>
      </c>
      <c r="N44" s="634" t="s">
        <v>100</v>
      </c>
      <c r="O44" s="634" t="s">
        <v>101</v>
      </c>
      <c r="P44" s="634" t="s">
        <v>517</v>
      </c>
      <c r="Q44" s="634" t="s">
        <v>102</v>
      </c>
      <c r="R44" s="634" t="s">
        <v>103</v>
      </c>
      <c r="S44" s="634" t="s">
        <v>104</v>
      </c>
      <c r="T44" s="634" t="s">
        <v>105</v>
      </c>
      <c r="U44" s="634" t="s">
        <v>106</v>
      </c>
      <c r="V44" s="634" t="s">
        <v>107</v>
      </c>
      <c r="W44" s="633" t="s">
        <v>108</v>
      </c>
      <c r="X44" s="633" t="s">
        <v>294</v>
      </c>
      <c r="Y44" s="633" t="s">
        <v>109</v>
      </c>
      <c r="Z44" s="635" t="s">
        <v>295</v>
      </c>
    </row>
    <row r="45" spans="1:26" s="605" customFormat="1" ht="12.75">
      <c r="A45" s="591"/>
      <c r="B45" s="787"/>
      <c r="C45" s="787"/>
      <c r="D45" s="639"/>
      <c r="E45" s="639"/>
      <c r="F45" s="639"/>
      <c r="G45" s="639"/>
      <c r="H45" s="639"/>
      <c r="I45" s="639"/>
      <c r="J45" s="786"/>
      <c r="K45" s="786"/>
      <c r="L45" s="639"/>
      <c r="M45" s="639"/>
      <c r="N45" s="639"/>
      <c r="O45" s="639"/>
      <c r="P45" s="639"/>
      <c r="Q45" s="639"/>
      <c r="R45" s="639"/>
      <c r="S45" s="639"/>
      <c r="T45" s="639"/>
      <c r="U45" s="639"/>
      <c r="V45" s="639"/>
      <c r="W45" s="639"/>
      <c r="X45" s="639"/>
      <c r="Y45" s="639"/>
      <c r="Z45" s="640"/>
    </row>
    <row r="46" spans="1:26" s="570" customFormat="1">
      <c r="A46" s="592" t="s">
        <v>275</v>
      </c>
      <c r="B46" s="593"/>
      <c r="C46" s="593"/>
      <c r="D46" s="593"/>
      <c r="E46" s="593"/>
      <c r="F46" s="593"/>
      <c r="G46" s="593"/>
      <c r="H46" s="593"/>
      <c r="I46" s="593"/>
      <c r="J46" s="593"/>
      <c r="K46" s="593"/>
      <c r="L46" s="594"/>
      <c r="M46" s="594">
        <f>SUM(M45:M45)</f>
        <v>0</v>
      </c>
      <c r="N46" s="594">
        <f>SUM(N45:N45)</f>
        <v>0</v>
      </c>
      <c r="O46" s="594">
        <f>SUM(O45:O45)</f>
        <v>0</v>
      </c>
      <c r="P46" s="594">
        <f>SUM(P45:P45)</f>
        <v>0</v>
      </c>
      <c r="Q46" s="594">
        <f>SUM(Q45:Q45)</f>
        <v>0</v>
      </c>
      <c r="R46" s="594">
        <f>SUM(R45:R45)</f>
        <v>0</v>
      </c>
      <c r="S46" s="594">
        <f>SUM(S45:S45)</f>
        <v>0</v>
      </c>
      <c r="T46" s="594">
        <f>SUM(T45:T45)</f>
        <v>0</v>
      </c>
      <c r="U46" s="594">
        <f>SUM(U45:U45)</f>
        <v>0</v>
      </c>
      <c r="V46" s="594">
        <f>SUM(V45:V45)</f>
        <v>0</v>
      </c>
      <c r="W46" s="594">
        <f>SUM(W45:W45)</f>
        <v>0</v>
      </c>
      <c r="X46" s="595"/>
      <c r="Y46" s="595"/>
      <c r="Z46" s="596"/>
    </row>
    <row r="47" spans="1:26" s="570" customFormat="1">
      <c r="A47" s="592" t="s">
        <v>282</v>
      </c>
      <c r="B47" s="593"/>
      <c r="C47" s="593"/>
      <c r="D47" s="593"/>
      <c r="E47" s="593"/>
      <c r="F47" s="593"/>
      <c r="G47" s="593"/>
      <c r="H47" s="593"/>
      <c r="I47" s="593"/>
      <c r="J47" s="593"/>
      <c r="K47" s="593"/>
      <c r="L47" s="594"/>
      <c r="M47" s="594">
        <f>SUMIF($Z$45:$Z$45,"industrie",M45:M45)</f>
        <v>0</v>
      </c>
      <c r="N47" s="594">
        <f>SUMIF($Z$45:$Z$45,"industrie",N45:N45)</f>
        <v>0</v>
      </c>
      <c r="O47" s="594">
        <f>SUMIF($Z$45:$Z$45,"industrie",O45:O45)</f>
        <v>0</v>
      </c>
      <c r="P47" s="594">
        <f>SUMIF($Z$45:$Z$45,"industrie",P45:P45)</f>
        <v>0</v>
      </c>
      <c r="Q47" s="594">
        <f>SUMIF($Z$45:$Z$45,"industrie",Q45:Q45)</f>
        <v>0</v>
      </c>
      <c r="R47" s="594">
        <f>SUMIF($Z$45:$Z$45,"industrie",R45:R45)</f>
        <v>0</v>
      </c>
      <c r="S47" s="594">
        <f>SUMIF($Z$45:$Z$45,"industrie",S45:S45)</f>
        <v>0</v>
      </c>
      <c r="T47" s="594">
        <f>SUMIF($Z$45:$Z$45,"industrie",T45:T45)</f>
        <v>0</v>
      </c>
      <c r="U47" s="594">
        <f>SUMIF($Z$45:$Z$45,"industrie",U45:U45)</f>
        <v>0</v>
      </c>
      <c r="V47" s="594">
        <f>SUMIF($Z$45:$Z$45,"industrie",V45:V45)</f>
        <v>0</v>
      </c>
      <c r="W47" s="594">
        <f>SUMIF($Z$45:$Z$45,"industrie",W45:W45)</f>
        <v>0</v>
      </c>
      <c r="X47" s="595"/>
      <c r="Y47" s="595"/>
      <c r="Z47" s="596"/>
    </row>
    <row r="48" spans="1:26" s="570" customFormat="1">
      <c r="A48" s="592" t="s">
        <v>283</v>
      </c>
      <c r="B48" s="593"/>
      <c r="C48" s="593"/>
      <c r="D48" s="593"/>
      <c r="E48" s="593"/>
      <c r="F48" s="593"/>
      <c r="G48" s="593"/>
      <c r="H48" s="593"/>
      <c r="I48" s="593"/>
      <c r="J48" s="593"/>
      <c r="K48" s="593"/>
      <c r="L48" s="594"/>
      <c r="M48" s="594">
        <f>SUMIF($Z$45:$Z$46,"tertiair",M45:M46)</f>
        <v>0</v>
      </c>
      <c r="N48" s="594">
        <f>SUMIF($Z$45:$Z$46,"tertiair",N45:N46)</f>
        <v>0</v>
      </c>
      <c r="O48" s="594">
        <f>SUMIF($Z$45:$Z$46,"tertiair",O45:O46)</f>
        <v>0</v>
      </c>
      <c r="P48" s="594">
        <f>SUMIF($Z$45:$Z$46,"tertiair",P45:P46)</f>
        <v>0</v>
      </c>
      <c r="Q48" s="594">
        <f>SUMIF($Z$45:$Z$46,"tertiair",Q45:Q46)</f>
        <v>0</v>
      </c>
      <c r="R48" s="594">
        <f>SUMIF($Z$45:$Z$46,"tertiair",R45:R46)</f>
        <v>0</v>
      </c>
      <c r="S48" s="594">
        <f>SUMIF($Z$45:$Z$46,"tertiair",S45:S46)</f>
        <v>0</v>
      </c>
      <c r="T48" s="594">
        <f>SUMIF($Z$45:$Z$46,"tertiair",T45:T46)</f>
        <v>0</v>
      </c>
      <c r="U48" s="594">
        <f>SUMIF($Z$45:$Z$46,"tertiair",U45:U46)</f>
        <v>0</v>
      </c>
      <c r="V48" s="594">
        <f>SUMIF($Z$45:$Z$46,"tertiair",V45:V46)</f>
        <v>0</v>
      </c>
      <c r="W48" s="594">
        <f>SUMIF($Z$45:$Z$46,"tertiair",W45:W46)</f>
        <v>0</v>
      </c>
      <c r="X48" s="595"/>
      <c r="Y48" s="595"/>
      <c r="Z48" s="596"/>
    </row>
    <row r="49" spans="1:27" s="570" customFormat="1" ht="15.75" thickBot="1">
      <c r="A49" s="597" t="s">
        <v>284</v>
      </c>
      <c r="B49" s="598"/>
      <c r="C49" s="598"/>
      <c r="D49" s="598"/>
      <c r="E49" s="598"/>
      <c r="F49" s="598"/>
      <c r="G49" s="598"/>
      <c r="H49" s="598"/>
      <c r="I49" s="598"/>
      <c r="J49" s="598"/>
      <c r="K49" s="598"/>
      <c r="L49" s="599"/>
      <c r="M49" s="599">
        <f>SUMIF($Z$45:$Z$47,"landbouw",M45:M47)</f>
        <v>0</v>
      </c>
      <c r="N49" s="599">
        <f>SUMIF($Z$45:$Z$47,"landbouw",N45:N47)</f>
        <v>0</v>
      </c>
      <c r="O49" s="599">
        <f>SUMIF($Z$45:$Z$47,"landbouw",O45:O47)</f>
        <v>0</v>
      </c>
      <c r="P49" s="599">
        <f>SUMIF($Z$45:$Z$47,"landbouw",P45:P47)</f>
        <v>0</v>
      </c>
      <c r="Q49" s="599">
        <f>SUMIF($Z$45:$Z$47,"landbouw",Q45:Q47)</f>
        <v>0</v>
      </c>
      <c r="R49" s="599">
        <f>SUMIF($Z$45:$Z$47,"landbouw",R45:R47)</f>
        <v>0</v>
      </c>
      <c r="S49" s="599">
        <f>SUMIF($Z$45:$Z$47,"landbouw",S45:S47)</f>
        <v>0</v>
      </c>
      <c r="T49" s="599">
        <f>SUMIF($Z$45:$Z$47,"landbouw",T45:T47)</f>
        <v>0</v>
      </c>
      <c r="U49" s="599">
        <f>SUMIF($Z$45:$Z$47,"landbouw",U45:U47)</f>
        <v>0</v>
      </c>
      <c r="V49" s="599">
        <f>SUMIF($Z$45:$Z$47,"landbouw",V45:V47)</f>
        <v>0</v>
      </c>
      <c r="W49" s="599">
        <f>SUMIF($Z$45:$Z$47,"landbouw",W45:W47)</f>
        <v>0</v>
      </c>
      <c r="X49" s="600"/>
      <c r="Y49" s="600"/>
      <c r="Z49" s="601"/>
    </row>
    <row r="50" spans="1:27" s="606" customFormat="1">
      <c r="A50" s="602"/>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row>
    <row r="51" spans="1:27" s="606" customFormat="1" ht="15.75" thickBot="1">
      <c r="A51" s="602"/>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row>
    <row r="52" spans="1:27">
      <c r="A52" s="607" t="s">
        <v>277</v>
      </c>
      <c r="B52" s="608"/>
      <c r="C52" s="608"/>
      <c r="D52" s="608"/>
      <c r="E52" s="608"/>
      <c r="F52" s="608"/>
      <c r="G52" s="608"/>
      <c r="H52" s="608"/>
      <c r="I52" s="609"/>
      <c r="J52" s="610"/>
      <c r="K52" s="610"/>
      <c r="L52" s="611"/>
      <c r="M52" s="611"/>
      <c r="N52" s="611"/>
      <c r="O52" s="611"/>
      <c r="P52" s="611"/>
    </row>
    <row r="53" spans="1:27">
      <c r="A53" s="613"/>
      <c r="B53" s="603"/>
      <c r="C53" s="603"/>
      <c r="D53" s="603"/>
      <c r="E53" s="603"/>
      <c r="F53" s="603"/>
      <c r="G53" s="603"/>
      <c r="H53" s="603"/>
      <c r="I53" s="614"/>
      <c r="J53" s="603"/>
      <c r="K53" s="603"/>
      <c r="L53" s="611"/>
      <c r="M53" s="611"/>
      <c r="N53" s="611"/>
      <c r="O53" s="611"/>
      <c r="P53" s="611"/>
    </row>
    <row r="54" spans="1:27">
      <c r="A54" s="615"/>
      <c r="B54" s="616" t="s">
        <v>278</v>
      </c>
      <c r="C54" s="616" t="s">
        <v>279</v>
      </c>
      <c r="D54" s="616"/>
      <c r="E54" s="616"/>
      <c r="F54" s="616"/>
      <c r="G54" s="616"/>
      <c r="H54" s="616"/>
      <c r="I54" s="617"/>
      <c r="J54" s="616"/>
      <c r="K54" s="616"/>
      <c r="L54" s="616"/>
      <c r="M54" s="616"/>
      <c r="N54" s="616"/>
      <c r="O54" s="616"/>
      <c r="P54" s="611"/>
    </row>
    <row r="55" spans="1:27">
      <c r="A55" s="613" t="s">
        <v>275</v>
      </c>
      <c r="B55" s="618">
        <f>IF(ISERROR(O39/(O39+N39)),0,O39/(O39+N39))</f>
        <v>0.58434719899977738</v>
      </c>
      <c r="C55" s="619">
        <f>IF(ISERROR(N39/(O39+N39)),0,N39/(N39+O39))</f>
        <v>0.41565280100022256</v>
      </c>
      <c r="D55" s="586"/>
      <c r="E55" s="586"/>
      <c r="F55" s="586"/>
      <c r="G55" s="586"/>
      <c r="H55" s="586"/>
      <c r="I55" s="620"/>
      <c r="J55" s="586"/>
      <c r="K55" s="586"/>
      <c r="L55" s="621"/>
      <c r="M55" s="621"/>
      <c r="N55" s="621"/>
      <c r="O55" s="621"/>
      <c r="P55" s="611"/>
    </row>
    <row r="56" spans="1:27">
      <c r="A56" s="613"/>
      <c r="B56" s="622"/>
      <c r="C56" s="622"/>
      <c r="D56" s="622"/>
      <c r="E56" s="622"/>
      <c r="F56" s="622"/>
      <c r="G56" s="622"/>
      <c r="H56" s="622"/>
      <c r="I56" s="623"/>
      <c r="J56" s="622"/>
      <c r="K56" s="622"/>
      <c r="L56" s="624"/>
      <c r="M56" s="624"/>
      <c r="N56" s="624"/>
      <c r="O56" s="624"/>
      <c r="P56" s="611"/>
    </row>
    <row r="57" spans="1:27" ht="30">
      <c r="A57" s="625"/>
      <c r="B57" s="626" t="s">
        <v>517</v>
      </c>
      <c r="C57" s="626" t="s">
        <v>102</v>
      </c>
      <c r="D57" s="626" t="s">
        <v>103</v>
      </c>
      <c r="E57" s="626" t="s">
        <v>104</v>
      </c>
      <c r="F57" s="626" t="s">
        <v>105</v>
      </c>
      <c r="G57" s="626" t="s">
        <v>106</v>
      </c>
      <c r="H57" s="626" t="s">
        <v>107</v>
      </c>
      <c r="I57" s="627" t="s">
        <v>108</v>
      </c>
      <c r="J57" s="616"/>
      <c r="K57" s="616"/>
      <c r="L57" s="624"/>
      <c r="M57" s="624"/>
      <c r="N57" s="624"/>
      <c r="O57" s="611"/>
      <c r="P57" s="611"/>
    </row>
    <row r="58" spans="1:27">
      <c r="A58" s="615" t="s">
        <v>280</v>
      </c>
      <c r="B58" s="628">
        <f t="shared" ref="B58:I58" si="2">$C$55*P39</f>
        <v>110504.11764705883</v>
      </c>
      <c r="C58" s="628">
        <f t="shared" si="2"/>
        <v>0</v>
      </c>
      <c r="D58" s="628">
        <f t="shared" si="2"/>
        <v>0</v>
      </c>
      <c r="E58" s="628">
        <f t="shared" si="2"/>
        <v>0</v>
      </c>
      <c r="F58" s="628">
        <f t="shared" si="2"/>
        <v>0</v>
      </c>
      <c r="G58" s="628">
        <f t="shared" si="2"/>
        <v>0</v>
      </c>
      <c r="H58" s="628">
        <f t="shared" si="2"/>
        <v>0</v>
      </c>
      <c r="I58" s="629">
        <f t="shared" si="2"/>
        <v>0</v>
      </c>
      <c r="J58" s="586"/>
      <c r="K58" s="586"/>
      <c r="L58" s="624"/>
      <c r="M58" s="624"/>
      <c r="N58" s="624"/>
      <c r="O58" s="611"/>
      <c r="P58" s="611"/>
    </row>
    <row r="59" spans="1:27" ht="15.75" thickBot="1">
      <c r="A59" s="630" t="s">
        <v>281</v>
      </c>
      <c r="B59" s="631">
        <f t="shared" ref="B59:I59" si="3">$B$55*P39</f>
        <v>155352.66806722691</v>
      </c>
      <c r="C59" s="631">
        <f t="shared" si="3"/>
        <v>0</v>
      </c>
      <c r="D59" s="631">
        <f t="shared" si="3"/>
        <v>0</v>
      </c>
      <c r="E59" s="631">
        <f t="shared" si="3"/>
        <v>0</v>
      </c>
      <c r="F59" s="631">
        <f t="shared" si="3"/>
        <v>0</v>
      </c>
      <c r="G59" s="631">
        <f t="shared" si="3"/>
        <v>0</v>
      </c>
      <c r="H59" s="631">
        <f t="shared" si="3"/>
        <v>0</v>
      </c>
      <c r="I59" s="632">
        <f t="shared" si="3"/>
        <v>0</v>
      </c>
      <c r="J59" s="586"/>
      <c r="K59" s="586"/>
      <c r="L59" s="624"/>
      <c r="M59" s="624"/>
      <c r="N59" s="624"/>
      <c r="O59" s="611"/>
      <c r="P59" s="611"/>
    </row>
    <row r="60" spans="1:27">
      <c r="J60" s="566"/>
      <c r="K60" s="566"/>
      <c r="L60" s="566"/>
      <c r="M60" s="566"/>
      <c r="N60" s="566"/>
    </row>
    <row r="61" spans="1:27">
      <c r="J61" s="566"/>
      <c r="K61" s="566"/>
      <c r="L61" s="566"/>
      <c r="M61" s="566"/>
      <c r="N6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2021-06-29T14:12:26Z</dcterms:modified>
</cp:coreProperties>
</file>