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17" i="19"/>
  <c r="C19" i="19" s="1"/>
  <c r="D39" i="14" s="1"/>
  <c r="C56" i="22"/>
  <c r="C58" i="22" s="1"/>
  <c r="D49" i="14" s="1"/>
  <c r="D52" i="14" s="1"/>
  <c r="C29" i="20"/>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<sst xmlns="http://schemas.openxmlformats.org/spreadsheetml/2006/main" count="2447" uniqueCount="886">
  <si>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</si>
  <si>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</si>
  <si>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</si>
  <si>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</si>
  <si>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</si>
  <si>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</si>
  <si>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</si>
  <si>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</si>
  <si>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</si>
  <si>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</si>
  <si>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</si>
  <si>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</si>
  <si>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</si>
  <si>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</si>
  <si>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</si>
  <si>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</si>
  <si>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</si>
  <si>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</si>
  <si>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</si>
  <si>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</si>
  <si>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</si>
  <si>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</si>
  <si>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</si>
  <si>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</si>
  <si>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</si>
  <si>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</si>
  <si>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</si>
  <si>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</si>
  <si>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</si>
  <si>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</si>
  <si>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</si>
  <si>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</si>
  <si>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</si>
  <si>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</si>
  <si>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</si>
  <si>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</si>
  <si>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</si>
  <si>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</si>
  <si>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</si>
  <si>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</si>
  <si>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</si>
  <si>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</si>
  <si>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</si>
  <si>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</si>
  <si>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</si>
  <si>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</si>
  <si>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</si>
  <si>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</si>
  <si>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</si>
  <si>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</si>
  <si>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</si>
  <si>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</si>
  <si>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</si>
  <si>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</si>
  <si>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</si>
  <si>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</si>
  <si>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</si>
  <si>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</si>
  <si>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</si>
  <si>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</si>
  <si>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</si>
  <si>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</si>
  <si>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</si>
  <si>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</si>
  <si>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</si>
  <si>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</si>
  <si>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</si>
  <si>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</si>
  <si>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</si>
  <si>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</si>
  <si>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</si>
  <si>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</si>
  <si>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</si>
  <si>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</si>
  <si>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</si>
  <si>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</si>
  <si>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</si>
  <si>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</si>
  <si>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</si>
  <si>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</si>
  <si>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</si>
  <si>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</si>
  <si>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</si>
  <si>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</si>
  <si>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</si>
  <si>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</si>
  <si>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</si>
  <si>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</si>
  <si>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</si>
  <si>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</si>
  <si>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</si>
  <si>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</si>
  <si>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</si>
  <si>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</si>
  <si>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</si>
  <si>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</si>
  <si>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</si>
  <si>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</si>
  <si>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</si>
  <si>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</si>
  <si>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</si>
  <si>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</si>
  <si>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</si>
  <si>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</si>
  <si>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</si>
  <si>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</si>
  <si>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</si>
  <si>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</si>
  <si>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</si>
  <si>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</si>
  <si>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</si>
  <si>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</si>
  <si>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</si>
  <si>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</si>
  <si>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</si>
  <si>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</si>
  <si>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</si>
  <si>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</si>
  <si>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</si>
  <si>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</si>
  <si>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</si>
  <si>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</si>
  <si>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</si>
  <si>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</si>
  <si>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</si>
  <si>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</si>
  <si>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</si>
  <si>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</si>
  <si>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</si>
  <si>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</si>
  <si>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</si>
  <si>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</si>
  <si>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</si>
  <si>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</si>
  <si>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</si>
  <si>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</si>
  <si>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</si>
  <si>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</si>
  <si>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</si>
  <si>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</si>
  <si>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</si>
  <si>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</si>
  <si>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</si>
  <si>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</si>
  <si>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</si>
  <si>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</si>
  <si>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</si>
  <si>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</si>
  <si>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</si>
  <si>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</si>
  <si>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</si>
  <si>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</si>
  <si>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</si>
  <si>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</si>
  <si>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</si>
  <si>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</si>
  <si>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</si>
  <si>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</si>
  <si>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</si>
  <si>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</si>
  <si>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</si>
  <si>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</si>
  <si>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</si>
  <si>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</si>
  <si>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</si>
  <si>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</si>
  <si>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</si>
  <si>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</si>
  <si>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</si>
  <si>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</si>
  <si>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</si>
  <si>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</si>
  <si>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</si>
  <si>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</si>
  <si>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</si>
  <si>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</si>
  <si>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</si>
  <si>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</si>
  <si>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</si>
  <si>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</si>
  <si>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</si>
  <si>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</si>
  <si>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</si>
  <si>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</si>
  <si>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</si>
  <si>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</si>
  <si>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</si>
  <si>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</si>
  <si>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</si>
  <si>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</si>
  <si>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</si>
  <si>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</si>
  <si>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</si>
  <si>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</si>
  <si>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</si>
  <si>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</si>
  <si>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</si>
  <si>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</si>
  <si>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</si>
  <si>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</si>
  <si>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</si>
  <si>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</si>
  <si>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</si>
  <si>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</si>
  <si>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</si>
  <si>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</si>
  <si>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</si>
  <si>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</si>
  <si>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</si>
  <si>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</si>
  <si>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</si>
  <si>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</si>
  <si>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</si>
  <si>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</si>
  <si>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</si>
  <si>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</si>
  <si>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</si>
  <si>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</si>
  <si>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</si>
  <si>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</si>
  <si>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</si>
  <si>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</si>
  <si>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</si>
  <si>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</si>
  <si>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</si>
  <si>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</si>
  <si>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</si>
  <si>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</si>
  <si>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</si>
  <si>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</si>
  <si>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</si>
  <si>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</si>
  <si>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</si>
  <si>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</si>
  <si>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</si>
  <si>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</si>
  <si>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</si>
  <si>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</si>
  <si>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</si>
  <si>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</si>
  <si>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</si>
  <si>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</si>
  <si>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</si>
  <si>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</si>
  <si>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</si>
  <si>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</si>
  <si>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</si>
  <si>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</si>
  <si>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</si>
  <si>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</si>
  <si>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</si>
  <si>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</si>
  <si>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</si>
  <si>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</si>
  <si>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</si>
  <si>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</si>
  <si>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</si>
  <si>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</si>
  <si>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</si>
  <si>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</si>
  <si>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</si>
  <si>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</si>
  <si>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</si>
  <si>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</si>
  <si>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</si>
  <si>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</si>
  <si>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</si>
  <si>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</si>
  <si>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</si>
  <si>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</si>
  <si>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</si>
  <si>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</si>
  <si>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</si>
  <si>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</si>
  <si>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</si>
  <si>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</si>
  <si>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</si>
  <si>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</si>
  <si>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</si>
  <si>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</si>
  <si>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</si>
  <si>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</si>
  <si>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</si>
  <si>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</si>
  <si>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</si>
  <si>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</si>
  <si>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</si>
  <si>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</si>
  <si>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</si>
  <si>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</si>
  <si>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</si>
  <si>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</si>
  <si>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</si>
  <si>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</si>
  <si>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</si>
  <si>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</si>
  <si>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</si>
  <si>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</si>
  <si>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</si>
  <si>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</si>
  <si>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</si>
  <si>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</si>
  <si>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</si>
  <si>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</si>
  <si>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</si>
  <si>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</si>
  <si>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</si>
  <si>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</si>
  <si>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</si>
  <si>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</si>
  <si>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</si>
  <si>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</si>
  <si>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</si>
  <si>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</si>
  <si>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</si>
  <si>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</si>
  <si>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</si>
  <si>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</si>
  <si>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</si>
  <si>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</si>
  <si>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</si>
  <si>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</si>
  <si>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</si>
  <si>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</si>
  <si>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</si>
  <si>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</si>
  <si>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</si>
  <si>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</si>
  <si>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</si>
  <si>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</si>
  <si>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</si>
  <si>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</si>
  <si>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</si>
  <si>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</si>
  <si>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</si>
  <si>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</si>
  <si>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</si>
  <si>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</si>
  <si>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</si>
  <si>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</si>
  <si>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</si>
  <si>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</si>
  <si>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</si>
  <si>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</si>
  <si>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</si>
  <si>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</si>
  <si>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</si>
  <si>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</si>
  <si>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</si>
  <si>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</si>
  <si>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</si>
  <si>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</si>
  <si>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</si>
  <si>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</si>
  <si>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</si>
  <si>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</si>
  <si>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</si>
  <si>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</si>
  <si>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</si>
  <si>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</si>
  <si>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</si>
  <si>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</si>
  <si>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</si>
  <si>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</si>
  <si>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</si>
  <si>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</si>
  <si>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</si>
  <si>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</si>
  <si>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</si>
  <si>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</si>
  <si>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</si>
  <si>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</si>
  <si>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</si>
  <si>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</si>
  <si>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</si>
  <si>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</si>
  <si>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</si>
  <si>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</si>
  <si>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</si>
  <si>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</si>
  <si>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</si>
  <si>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</si>
  <si>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</si>
  <si>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</si>
  <si>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</si>
  <si>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</si>
  <si>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</si>
  <si>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</si>
  <si>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</si>
  <si>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</si>
  <si>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</si>
  <si>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</si>
  <si>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</si>
  <si>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</si>
  <si>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</si>
  <si>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</si>
  <si>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</si>
  <si>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</si>
  <si>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</si>
  <si>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</si>
  <si>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</si>
  <si>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</si>
  <si>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</si>
  <si>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</si>
  <si>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</si>
  <si>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</si>
  <si>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</si>
  <si>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</si>
  <si>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</si>
  <si>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</si>
  <si>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</si>
  <si>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</si>
  <si>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</si>
  <si>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</si>
  <si>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</si>
  <si>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</si>
  <si>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</si>
  <si>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</si>
  <si>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</si>
  <si>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</si>
  <si>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</si>
  <si>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</si>
  <si>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</si>
  <si>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</si>
  <si>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</si>
  <si>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</si>
  <si>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</si>
  <si>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</si>
  <si>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</si>
  <si>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</si>
  <si>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</si>
  <si>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</si>
  <si>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</si>
  <si>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</si>
  <si>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</si>
  <si>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</si>
  <si>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</si>
  <si>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</si>
  <si>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</si>
  <si>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</si>
  <si>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</si>
  <si>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</si>
  <si>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</si>
  <si>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</si>
  <si>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</si>
  <si>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</si>
  <si>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</si>
  <si>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</si>
  <si>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</si>
  <si>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</si>
  <si>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</si>
  <si>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</si>
  <si>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</si>
  <si>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</si>
  <si>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</si>
  <si>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</si>
  <si>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</si>
  <si>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</si>
  <si>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</si>
  <si>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</si>
  <si>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</si>
  <si>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</si>
  <si>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</si>
  <si>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</si>
  <si>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</si>
  <si>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</si>
  <si>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</si>
  <si>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</si>
  <si>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</si>
  <si>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</si>
  <si>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</si>
  <si>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</si>
  <si>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</si>
  <si>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</si>
  <si>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</si>
  <si>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</si>
  <si>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</si>
  <si>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</si>
  <si>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</si>
  <si>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</si>
  <si>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</si>
  <si>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</si>
  <si>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</si>
  <si>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</si>
  <si>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</si>
  <si>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</si>
  <si>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</si>
  <si>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</si>
  <si>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</si>
  <si>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</si>
  <si>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</si>
  <si>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</si>
  <si>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</si>
  <si>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</si>
  <si>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</si>
  <si>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</si>
  <si>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</si>
  <si>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</si>
  <si>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</si>
  <si>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</si>
  <si>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</si>
  <si>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</si>
  <si>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</si>
  <si>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</si>
  <si>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</si>
  <si>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</si>
  <si>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</si>
  <si>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</si>
  <si>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</si>
  <si>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</si>
  <si>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</si>
  <si>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</si>
  <si>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</si>
  <si>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</si>
  <si>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</si>
  <si>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</si>
  <si>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</si>
  <si>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</si>
  <si>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</si>
  <si>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</si>
  <si>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</si>
  <si>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</si>
  <si>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</si>
  <si>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</si>
  <si>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</si>
  <si>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</si>
  <si>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</si>
  <si>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</si>
  <si>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</si>
  <si>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</si>
  <si>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</si>
  <si>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</si>
  <si>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</si>
  <si>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</si>
  <si>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</si>
  <si>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</si>
  <si>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</si>
  <si>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</si>
  <si>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</si>
  <si>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</si>
  <si>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</si>
  <si>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</si>
  <si>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</si>
  <si>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</si>
  <si>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</si>
  <si>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</si>
  <si>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</si>
  <si>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</si>
  <si>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</si>
  <si>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</si>
  <si>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</si>
  <si>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</si>
  <si>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</si>
  <si>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</si>
  <si>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</si>
  <si>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</si>
  <si>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</si>
  <si>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</si>
  <si>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</si>
  <si>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</si>
  <si>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</si>
  <si>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</si>
  <si>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</si>
  <si>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</si>
  <si>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</si>
  <si>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</si>
  <si>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</si>
  <si>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</si>
  <si>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</si>
  <si>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</si>
  <si>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</si>
  <si>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</si>
  <si>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</si>
  <si>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</si>
  <si>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</si>
  <si>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</si>
  <si>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</si>
  <si>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</si>
  <si>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</si>
  <si>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</si>
  <si>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</si>
  <si>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</si>
  <si>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</si>
  <si>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</si>
  <si>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</si>
  <si>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</si>
  <si>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</si>
  <si>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</si>
  <si>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</si>
  <si>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</si>
  <si>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</si>
  <si>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</si>
  <si>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</si>
  <si>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</si>
  <si>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</si>
  <si>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</si>
  <si>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</si>
  <si>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</si>
  <si>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</si>
  <si>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</si>
  <si>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</si>
  <si>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</si>
  <si>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</si>
  <si>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</si>
  <si>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</si>
  <si>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</si>
  <si>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</si>
  <si>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</si>
  <si>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</si>
  <si>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</si>
  <si>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</si>
  <si>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</si>
  <si>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</si>
  <si>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</si>
  <si>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</si>
  <si>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</si>
  <si>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</si>
  <si>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</si>
  <si>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</si>
  <si>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</si>
  <si>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</si>
  <si>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</si>
  <si>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</si>
  <si>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</si>
  <si>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</si>
  <si>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</si>
  <si>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</si>
  <si>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</si>
  <si>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</si>
  <si>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</si>
  <si>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</si>
  <si>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</si>
  <si>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</si>
  <si>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</si>
  <si>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</si>
  <si>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</si>
  <si>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</si>
  <si>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</si>
  <si>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</si>
  <si>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</si>
  <si>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</si>
  <si>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</si>
  <si>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</si>
  <si>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</si>
  <si>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</si>
  <si>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</si>
  <si>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</si>
  <si>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</si>
  <si>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</si>
  <si>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</si>
  <si>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</si>
  <si>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</si>
  <si>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</si>
  <si>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</si>
  <si>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</si>
  <si>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</si>
  <si>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</si>
  <si>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</si>
  <si>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</si>
  <si>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</si>
  <si>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</si>
  <si>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</si>
  <si>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</si>
  <si>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</si>
  <si>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</si>
  <si>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</si>
  <si>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</si>
  <si>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</si>
  <si>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</si>
  <si>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</si>
  <si>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</si>
  <si>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</si>
  <si>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</si>
  <si>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</si>
  <si>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</si>
  <si>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</si>
  <si>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</si>
  <si>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</si>
  <si>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</si>
  <si>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</si>
  <si>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</si>
  <si>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</si>
  <si>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</si>
  <si>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</si>
  <si>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</si>
  <si>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</si>
  <si>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</si>
  <si>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</si>
  <si>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</si>
  <si>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</si>
  <si>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</si>
  <si>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</si>
  <si>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</si>
  <si>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</si>
  <si>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</si>
  <si>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</si>
  <si>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</si>
  <si>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</si>
  <si>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</si>
  <si>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</si>
  <si>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</si>
  <si>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</si>
  <si>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</si>
  <si>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</si>
  <si>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</si>
  <si>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</si>
  <si>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</si>
  <si>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</si>
  <si>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</si>
  <si>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</si>
  <si>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</si>
  <si>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</si>
  <si>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</si>
  <si>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</si>
  <si>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</si>
  <si>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</si>
  <si>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</si>
  <si>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</si>
  <si>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</si>
  <si>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</si>
  <si>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</si>
  <si>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</si>
  <si>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</si>
  <si>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</si>
  <si>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</si>
  <si>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</si>
  <si>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</si>
  <si>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</si>
  <si>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</si>
  <si>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</si>
  <si>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</si>
  <si>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</si>
  <si>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</si>
  <si>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</si>
  <si>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</si>
  <si>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</si>
  <si>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</si>
  <si>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</si>
  <si>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</si>
  <si>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</si>
  <si>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</si>
  <si>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</si>
  <si>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</si>
  <si>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</si>
  <si>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</si>
  <si>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</si>
  <si>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</si>
  <si>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</si>
  <si>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</si>
  <si>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</si>
  <si>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</si>
  <si>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</si>
  <si>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</si>
  <si>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</si>
  <si>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</si>
  <si>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</si>
  <si>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</si>
  <si>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</si>
  <si>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</si>
  <si>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</si>
  <si>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</si>
  <si>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</si>
  <si>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</si>
  <si>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</si>
  <si>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</si>
  <si>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</si>
  <si>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</si>
  <si>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</si>
  <si>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</si>
  <si>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</si>
  <si>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</si>
  <si>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</si>
  <si>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</si>
  <si>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</si>
  <si>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</si>
  <si>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</si>
  <si>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</si>
  <si>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</si>
  <si>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</si>
  <si>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</si>
  <si>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</si>
  <si>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</si>
  <si>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</si>
  <si>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</si>
  <si>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</si>
  <si>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</si>
  <si>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</si>
  <si>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</si>
  <si>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</si>
  <si>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</si>
  <si>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</si>
  <si>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</si>
  <si>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</si>
  <si>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</si>
  <si>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</si>
  <si>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</si>
  <si>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</si>
  <si>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</si>
  <si>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</si>
  <si>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</si>
  <si>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</si>
  <si>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</si>
  <si>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</si>
  <si>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</si>
  <si>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</si>
  <si>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</si>
  <si>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</si>
  <si>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</si>
  <si>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</si>
  <si>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</si>
  <si>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</si>
  <si>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</si>
  <si>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</si>
  <si>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</si>
  <si>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</si>
  <si>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</si>
  <si>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</si>
  <si>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</si>
  <si>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</si>
  <si>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</si>
  <si>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</si>
  <si>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</si>
  <si>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</si>
  <si>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</si>
  <si>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</si>
  <si>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</si>
  <si>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</si>
  <si>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</si>
  <si>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</si>
  <si>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</si>
  <si>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</si>
  <si>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</si>
  <si>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</si>
  <si>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</si>
  <si>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</si>
  <si>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</si>
  <si>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</si>
  <si>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</si>
  <si>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</si>
  <si>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</si>
  <si>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</si>
  <si>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</si>
  <si>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</si>
  <si>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</si>
  <si>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</si>
  <si>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</si>
  <si>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</si>
  <si>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</si>
  <si>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</si>
  <si>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</si>
  <si>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</si>
  <si>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</si>
  <si>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</si>
  <si>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</si>
  <si>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</si>
  <si>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</si>
  <si>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</si>
  <si>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</si>
  <si>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</si>
  <si>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</si>
  <si>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</si>
  <si>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</si>
  <si>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</si>
  <si>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</si>
  <si>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</si>
  <si>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</si>
  <si>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</si>
  <si>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</si>
  <si>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</si>
  <si>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</si>
  <si>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11057</t>
  </si>
  <si>
    <t>MALLE</t>
  </si>
  <si>
    <t>referentietaak LNE (2017); Jaarverslag De Lijn</t>
  </si>
  <si>
    <t>waterkracht</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</si>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</sst>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132233.22312579927</c:v>
                </c:pt>
                <c:pt idx="1">
                  <c:v>74982.32528700176</c:v>
                </c:pt>
                <c:pt idx="2">
                  <c:v>517.98099999999999</c:v>
                </c:pt>
                <c:pt idx="3">
                  <c:v>10576.298014607082</c:v>
                </c:pt>
                <c:pt idx="4">
                  <c:v>97716.466224898555</c:v>
                </c:pt>
                <c:pt idx="5">
                  <c:v>94577.368573607295</c:v>
                </c:pt>
                <c:pt idx="6">
                  <c:v>2652.9278995152081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132233.22312579927</c:v>
                </c:pt>
                <c:pt idx="1">
                  <c:v>74982.32528700176</c:v>
                </c:pt>
                <c:pt idx="2">
                  <c:v>517.98099999999999</c:v>
                </c:pt>
                <c:pt idx="3">
                  <c:v>10576.298014607082</c:v>
                </c:pt>
                <c:pt idx="4">
                  <c:v>97716.466224898555</c:v>
                </c:pt>
                <c:pt idx="5">
                  <c:v>94577.368573607295</c:v>
                </c:pt>
                <c:pt idx="6">
                  <c:v>2652.9278995152081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24907.864836280234</c:v>
                </c:pt>
                <c:pt idx="1">
                  <c:v>12495.547925675144</c:v>
                </c:pt>
                <c:pt idx="2">
                  <c:v>76.008452431143255</c:v>
                </c:pt>
                <c:pt idx="3">
                  <c:v>2410.9650429014578</c:v>
                </c:pt>
                <c:pt idx="4">
                  <c:v>16947.542420664693</c:v>
                </c:pt>
                <c:pt idx="5">
                  <c:v>23441.004012651498</c:v>
                </c:pt>
                <c:pt idx="6">
                  <c:v>665.69389871034684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24907.864836280234</c:v>
                </c:pt>
                <c:pt idx="1">
                  <c:v>12495.547925675144</c:v>
                </c:pt>
                <c:pt idx="2">
                  <c:v>76.008452431143255</c:v>
                </c:pt>
                <c:pt idx="3">
                  <c:v>2410.9650429014578</c:v>
                </c:pt>
                <c:pt idx="4">
                  <c:v>16947.542420664693</c:v>
                </c:pt>
                <c:pt idx="5">
                  <c:v>23441.004012651498</c:v>
                </c:pt>
                <c:pt idx="6">
                  <c:v>665.69389871034684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11057</v>
      </c>
      <c r="B6" s="386"/>
      <c r="C6" s="387"/>
    </row>
    <row r="7" spans="1:7" s="384" customFormat="1" ht="15.75" customHeight="1">
      <c r="A7" s="388" t="str">
        <f>txtMunicipality</f>
        <v>MALLE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25739.334935924362</v>
      </c>
      <c r="D10" s="683">
        <f ca="1">tertiair!C16</f>
        <v>7270.7142857142862</v>
      </c>
      <c r="E10" s="683">
        <f ca="1">tertiair!D16</f>
        <v>38240.919339684464</v>
      </c>
      <c r="F10" s="683">
        <f>tertiair!E16</f>
        <v>83.219675606878042</v>
      </c>
      <c r="G10" s="683">
        <f ca="1">tertiair!F16</f>
        <v>3936.3459894517455</v>
      </c>
      <c r="H10" s="683">
        <f>tertiair!G16</f>
        <v>0</v>
      </c>
      <c r="I10" s="683">
        <f>tertiair!H16</f>
        <v>0</v>
      </c>
      <c r="J10" s="683">
        <f>tertiair!I16</f>
        <v>0</v>
      </c>
      <c r="K10" s="683">
        <f>tertiair!J16</f>
        <v>2.6464330681378618E-2</v>
      </c>
      <c r="L10" s="683">
        <f>tertiair!K16</f>
        <v>0</v>
      </c>
      <c r="M10" s="683">
        <f ca="1">tertiair!L16</f>
        <v>0</v>
      </c>
      <c r="N10" s="683">
        <f>tertiair!M16</f>
        <v>0</v>
      </c>
      <c r="O10" s="683">
        <f ca="1">tertiair!N16</f>
        <v>0</v>
      </c>
      <c r="P10" s="683">
        <f>tertiair!O16</f>
        <v>19.589043063364617</v>
      </c>
      <c r="Q10" s="684">
        <f>tertiair!P16</f>
        <v>210.15655322598008</v>
      </c>
      <c r="R10" s="686">
        <f ca="1">SUM(C10:Q10)</f>
        <v>75500.30628700176</v>
      </c>
      <c r="S10" s="67"/>
    </row>
    <row r="11" spans="1:19" s="445" customFormat="1">
      <c r="A11" s="804" t="s">
        <v>220</v>
      </c>
      <c r="B11" s="809"/>
      <c r="C11" s="683">
        <f>huishoudens!B8</f>
        <v>27031.863252656025</v>
      </c>
      <c r="D11" s="683">
        <f>huishoudens!C8</f>
        <v>0</v>
      </c>
      <c r="E11" s="683">
        <f>huishoudens!D8</f>
        <v>70445.281159746504</v>
      </c>
      <c r="F11" s="683">
        <f>huishoudens!E8</f>
        <v>1096.5656266565281</v>
      </c>
      <c r="G11" s="683">
        <f>huishoudens!F8</f>
        <v>24022.030341854563</v>
      </c>
      <c r="H11" s="683">
        <f>huishoudens!G8</f>
        <v>0</v>
      </c>
      <c r="I11" s="683">
        <f>huishoudens!H8</f>
        <v>0</v>
      </c>
      <c r="J11" s="683">
        <f>huishoudens!I8</f>
        <v>0</v>
      </c>
      <c r="K11" s="683">
        <f>huishoudens!J8</f>
        <v>136.90417829796837</v>
      </c>
      <c r="L11" s="683">
        <f>huishoudens!K8</f>
        <v>0</v>
      </c>
      <c r="M11" s="683">
        <f>huishoudens!L8</f>
        <v>0</v>
      </c>
      <c r="N11" s="683">
        <f>huishoudens!M8</f>
        <v>0</v>
      </c>
      <c r="O11" s="683">
        <f>huishoudens!N8</f>
        <v>8067.9153548797776</v>
      </c>
      <c r="P11" s="683">
        <f>huishoudens!O8</f>
        <v>305.52956578560287</v>
      </c>
      <c r="Q11" s="684">
        <f>huishoudens!P8</f>
        <v>1127.1336459222975</v>
      </c>
      <c r="R11" s="686">
        <f>SUM(C11:Q11)</f>
        <v>132233.22312579927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45247.705307487871</v>
      </c>
      <c r="D13" s="683">
        <f>industrie!C18</f>
        <v>0</v>
      </c>
      <c r="E13" s="683">
        <f>industrie!D18</f>
        <v>41204.734600962307</v>
      </c>
      <c r="F13" s="683">
        <f>industrie!E18</f>
        <v>506.14356996863694</v>
      </c>
      <c r="G13" s="683">
        <f>industrie!F18</f>
        <v>6766.3070935182577</v>
      </c>
      <c r="H13" s="683">
        <f>industrie!G18</f>
        <v>0</v>
      </c>
      <c r="I13" s="683">
        <f>industrie!H18</f>
        <v>0</v>
      </c>
      <c r="J13" s="683">
        <f>industrie!I18</f>
        <v>0</v>
      </c>
      <c r="K13" s="683">
        <f>industrie!J18</f>
        <v>178.09637150531725</v>
      </c>
      <c r="L13" s="683">
        <f>industrie!K18</f>
        <v>0</v>
      </c>
      <c r="M13" s="683">
        <f>industrie!L18</f>
        <v>0</v>
      </c>
      <c r="N13" s="683">
        <f>industrie!M18</f>
        <v>0</v>
      </c>
      <c r="O13" s="683">
        <f>industrie!N18</f>
        <v>3813.479281456157</v>
      </c>
      <c r="P13" s="683">
        <f>industrie!O18</f>
        <v>0</v>
      </c>
      <c r="Q13" s="684">
        <f>industrie!P18</f>
        <v>0</v>
      </c>
      <c r="R13" s="686">
        <f>SUM(C13:Q13)</f>
        <v>97716.466224898555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98018.903496068262</v>
      </c>
      <c r="D16" s="719">
        <f t="shared" ref="D16:R16" ca="1" si="0">SUM(D9:D15)</f>
        <v>7270.7142857142862</v>
      </c>
      <c r="E16" s="719">
        <f t="shared" ca="1" si="0"/>
        <v>149890.93510039328</v>
      </c>
      <c r="F16" s="719">
        <f t="shared" si="0"/>
        <v>1685.9288722320432</v>
      </c>
      <c r="G16" s="719">
        <f t="shared" ca="1" si="0"/>
        <v>34724.683424824565</v>
      </c>
      <c r="H16" s="719">
        <f t="shared" si="0"/>
        <v>0</v>
      </c>
      <c r="I16" s="719">
        <f t="shared" si="0"/>
        <v>0</v>
      </c>
      <c r="J16" s="719">
        <f t="shared" si="0"/>
        <v>0</v>
      </c>
      <c r="K16" s="719">
        <f t="shared" si="0"/>
        <v>315.02701413396699</v>
      </c>
      <c r="L16" s="719">
        <f t="shared" si="0"/>
        <v>0</v>
      </c>
      <c r="M16" s="719">
        <f t="shared" ca="1" si="0"/>
        <v>0</v>
      </c>
      <c r="N16" s="719">
        <f t="shared" si="0"/>
        <v>0</v>
      </c>
      <c r="O16" s="719">
        <f t="shared" ca="1" si="0"/>
        <v>11881.394636335936</v>
      </c>
      <c r="P16" s="719">
        <f t="shared" si="0"/>
        <v>325.11860884896748</v>
      </c>
      <c r="Q16" s="719">
        <f t="shared" si="0"/>
        <v>1337.2901991482777</v>
      </c>
      <c r="R16" s="719">
        <f t="shared" ca="1" si="0"/>
        <v>305449.99563769961</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39.479532990967371</v>
      </c>
      <c r="D19" s="683">
        <f>transport!C54</f>
        <v>0</v>
      </c>
      <c r="E19" s="683">
        <f>transport!D54</f>
        <v>0</v>
      </c>
      <c r="F19" s="683">
        <f>transport!E54</f>
        <v>0</v>
      </c>
      <c r="G19" s="683">
        <f>transport!F54</f>
        <v>0</v>
      </c>
      <c r="H19" s="683">
        <f>transport!G54</f>
        <v>2471.5381202219742</v>
      </c>
      <c r="I19" s="683">
        <f>transport!H54</f>
        <v>0</v>
      </c>
      <c r="J19" s="683">
        <f>transport!I54</f>
        <v>0</v>
      </c>
      <c r="K19" s="683">
        <f>transport!J54</f>
        <v>0</v>
      </c>
      <c r="L19" s="683">
        <f>transport!K54</f>
        <v>0</v>
      </c>
      <c r="M19" s="683">
        <f>transport!L54</f>
        <v>0</v>
      </c>
      <c r="N19" s="683">
        <f>transport!M54</f>
        <v>141.91024630226624</v>
      </c>
      <c r="O19" s="683">
        <f>transport!N54</f>
        <v>0</v>
      </c>
      <c r="P19" s="683">
        <f>transport!O54</f>
        <v>0</v>
      </c>
      <c r="Q19" s="684">
        <f>transport!P54</f>
        <v>0</v>
      </c>
      <c r="R19" s="686">
        <f>SUM(C19:Q19)</f>
        <v>2652.9278995152081</v>
      </c>
      <c r="S19" s="67"/>
    </row>
    <row r="20" spans="1:19" s="445" customFormat="1">
      <c r="A20" s="804" t="s">
        <v>302</v>
      </c>
      <c r="B20" s="809"/>
      <c r="C20" s="683">
        <f>transport!B14</f>
        <v>217.77110811254889</v>
      </c>
      <c r="D20" s="683">
        <f>transport!C14</f>
        <v>0</v>
      </c>
      <c r="E20" s="683">
        <f>transport!D14</f>
        <v>375.2087501445219</v>
      </c>
      <c r="F20" s="683">
        <f>transport!E14</f>
        <v>149.29140001210317</v>
      </c>
      <c r="G20" s="683">
        <f>transport!F14</f>
        <v>0</v>
      </c>
      <c r="H20" s="683">
        <f>transport!G14</f>
        <v>70088.028127779995</v>
      </c>
      <c r="I20" s="683">
        <f>transport!H14</f>
        <v>18417.122442671538</v>
      </c>
      <c r="J20" s="683">
        <f>transport!I14</f>
        <v>0</v>
      </c>
      <c r="K20" s="683">
        <f>transport!J14</f>
        <v>0</v>
      </c>
      <c r="L20" s="683">
        <f>transport!K14</f>
        <v>0</v>
      </c>
      <c r="M20" s="683">
        <f>transport!L14</f>
        <v>0</v>
      </c>
      <c r="N20" s="683">
        <f>transport!M14</f>
        <v>5329.9467448865907</v>
      </c>
      <c r="O20" s="683">
        <f>transport!N14</f>
        <v>0</v>
      </c>
      <c r="P20" s="683">
        <f>transport!O14</f>
        <v>0</v>
      </c>
      <c r="Q20" s="684">
        <f>transport!P14</f>
        <v>0</v>
      </c>
      <c r="R20" s="686">
        <f>SUM(C20:Q20)</f>
        <v>94577.368573607295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257.25064110351627</v>
      </c>
      <c r="D22" s="807">
        <f t="shared" ref="D22:R22" si="1">SUM(D18:D21)</f>
        <v>0</v>
      </c>
      <c r="E22" s="807">
        <f t="shared" si="1"/>
        <v>375.2087501445219</v>
      </c>
      <c r="F22" s="807">
        <f t="shared" si="1"/>
        <v>149.29140001210317</v>
      </c>
      <c r="G22" s="807">
        <f t="shared" si="1"/>
        <v>0</v>
      </c>
      <c r="H22" s="807">
        <f t="shared" si="1"/>
        <v>72559.566248001967</v>
      </c>
      <c r="I22" s="807">
        <f t="shared" si="1"/>
        <v>18417.122442671538</v>
      </c>
      <c r="J22" s="807">
        <f t="shared" si="1"/>
        <v>0</v>
      </c>
      <c r="K22" s="807">
        <f t="shared" si="1"/>
        <v>0</v>
      </c>
      <c r="L22" s="807">
        <f t="shared" si="1"/>
        <v>0</v>
      </c>
      <c r="M22" s="807">
        <f t="shared" si="1"/>
        <v>0</v>
      </c>
      <c r="N22" s="807">
        <f t="shared" si="1"/>
        <v>5471.8569911888571</v>
      </c>
      <c r="O22" s="807">
        <f t="shared" si="1"/>
        <v>0</v>
      </c>
      <c r="P22" s="807">
        <f t="shared" si="1"/>
        <v>0</v>
      </c>
      <c r="Q22" s="807">
        <f t="shared" si="1"/>
        <v>0</v>
      </c>
      <c r="R22" s="807">
        <f t="shared" si="1"/>
        <v>97230.296473122507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1446.07182546699</v>
      </c>
      <c r="D24" s="683">
        <f>+landbouw!C8</f>
        <v>0</v>
      </c>
      <c r="E24" s="683">
        <f>+landbouw!D8</f>
        <v>4143.6011772603633</v>
      </c>
      <c r="F24" s="683">
        <f>+landbouw!E8</f>
        <v>41.417944282935615</v>
      </c>
      <c r="G24" s="683">
        <f>+landbouw!F8</f>
        <v>4577.5164124948569</v>
      </c>
      <c r="H24" s="683">
        <f>+landbouw!G8</f>
        <v>0</v>
      </c>
      <c r="I24" s="683">
        <f>+landbouw!H8</f>
        <v>0</v>
      </c>
      <c r="J24" s="683">
        <f>+landbouw!I8</f>
        <v>0</v>
      </c>
      <c r="K24" s="683">
        <f>+landbouw!J8</f>
        <v>367.69065510193656</v>
      </c>
      <c r="L24" s="683">
        <f>+landbouw!K8</f>
        <v>0</v>
      </c>
      <c r="M24" s="683">
        <f>+landbouw!L8</f>
        <v>0</v>
      </c>
      <c r="N24" s="683">
        <f>+landbouw!M8</f>
        <v>0</v>
      </c>
      <c r="O24" s="683">
        <f>+landbouw!N8</f>
        <v>0</v>
      </c>
      <c r="P24" s="683">
        <f>+landbouw!O8</f>
        <v>0</v>
      </c>
      <c r="Q24" s="684">
        <f>+landbouw!P8</f>
        <v>0</v>
      </c>
      <c r="R24" s="686">
        <f>SUM(C24:Q24)</f>
        <v>10576.298014607082</v>
      </c>
      <c r="S24" s="67"/>
    </row>
    <row r="25" spans="1:19" s="445" customFormat="1" ht="15" thickBot="1">
      <c r="A25" s="826" t="s">
        <v>696</v>
      </c>
      <c r="B25" s="939"/>
      <c r="C25" s="940">
        <f>IF(Onbekend_ele_kWh="---",0,Onbekend_ele_kWh)/1000+IF(REST_rest_ele_kWh="---",0,REST_rest_ele_kWh)/1000</f>
        <v>599.93381776468198</v>
      </c>
      <c r="D25" s="940"/>
      <c r="E25" s="940">
        <f>IF(onbekend_gas_kWh="---",0,onbekend_gas_kWh)/1000+IF(REST_rest_gas_kWh="---",0,REST_rest_gas_kWh)/1000</f>
        <v>3438.8913807005902</v>
      </c>
      <c r="F25" s="940"/>
      <c r="G25" s="940"/>
      <c r="H25" s="940"/>
      <c r="I25" s="940"/>
      <c r="J25" s="940"/>
      <c r="K25" s="940"/>
      <c r="L25" s="940"/>
      <c r="M25" s="940"/>
      <c r="N25" s="940"/>
      <c r="O25" s="940"/>
      <c r="P25" s="940"/>
      <c r="Q25" s="941"/>
      <c r="R25" s="686">
        <f>SUM(C25:Q25)</f>
        <v>4038.825198465272</v>
      </c>
      <c r="S25" s="67"/>
    </row>
    <row r="26" spans="1:19" s="445" customFormat="1" ht="15.75" thickBot="1">
      <c r="A26" s="691" t="s">
        <v>697</v>
      </c>
      <c r="B26" s="812"/>
      <c r="C26" s="807">
        <f>SUM(C24:C25)</f>
        <v>2046.0056432316719</v>
      </c>
      <c r="D26" s="807">
        <f t="shared" ref="D26:R26" si="2">SUM(D24:D25)</f>
        <v>0</v>
      </c>
      <c r="E26" s="807">
        <f t="shared" si="2"/>
        <v>7582.4925579609535</v>
      </c>
      <c r="F26" s="807">
        <f t="shared" si="2"/>
        <v>41.417944282935615</v>
      </c>
      <c r="G26" s="807">
        <f t="shared" si="2"/>
        <v>4577.5164124948569</v>
      </c>
      <c r="H26" s="807">
        <f t="shared" si="2"/>
        <v>0</v>
      </c>
      <c r="I26" s="807">
        <f t="shared" si="2"/>
        <v>0</v>
      </c>
      <c r="J26" s="807">
        <f t="shared" si="2"/>
        <v>0</v>
      </c>
      <c r="K26" s="807">
        <f t="shared" si="2"/>
        <v>367.69065510193656</v>
      </c>
      <c r="L26" s="807">
        <f t="shared" si="2"/>
        <v>0</v>
      </c>
      <c r="M26" s="807">
        <f t="shared" si="2"/>
        <v>0</v>
      </c>
      <c r="N26" s="807">
        <f t="shared" si="2"/>
        <v>0</v>
      </c>
      <c r="O26" s="807">
        <f t="shared" si="2"/>
        <v>0</v>
      </c>
      <c r="P26" s="807">
        <f t="shared" si="2"/>
        <v>0</v>
      </c>
      <c r="Q26" s="807">
        <f t="shared" si="2"/>
        <v>0</v>
      </c>
      <c r="R26" s="807">
        <f t="shared" si="2"/>
        <v>14615.123213072355</v>
      </c>
      <c r="S26" s="67"/>
    </row>
    <row r="27" spans="1:19" s="445" customFormat="1" ht="17.25" thickTop="1" thickBot="1">
      <c r="A27" s="692" t="s">
        <v>115</v>
      </c>
      <c r="B27" s="799"/>
      <c r="C27" s="693">
        <f ca="1">C22+C16+C26</f>
        <v>100322.15978040345</v>
      </c>
      <c r="D27" s="693">
        <f t="shared" ref="D27:R27" ca="1" si="3">D22+D16+D26</f>
        <v>7270.7142857142862</v>
      </c>
      <c r="E27" s="693">
        <f t="shared" ca="1" si="3"/>
        <v>157848.63640849874</v>
      </c>
      <c r="F27" s="693">
        <f t="shared" si="3"/>
        <v>1876.638216527082</v>
      </c>
      <c r="G27" s="693">
        <f t="shared" ca="1" si="3"/>
        <v>39302.199837319422</v>
      </c>
      <c r="H27" s="693">
        <f t="shared" si="3"/>
        <v>72559.566248001967</v>
      </c>
      <c r="I27" s="693">
        <f t="shared" si="3"/>
        <v>18417.122442671538</v>
      </c>
      <c r="J27" s="693">
        <f t="shared" si="3"/>
        <v>0</v>
      </c>
      <c r="K27" s="693">
        <f t="shared" si="3"/>
        <v>682.71766923590349</v>
      </c>
      <c r="L27" s="693">
        <f t="shared" si="3"/>
        <v>0</v>
      </c>
      <c r="M27" s="693">
        <f t="shared" ca="1" si="3"/>
        <v>0</v>
      </c>
      <c r="N27" s="693">
        <f t="shared" si="3"/>
        <v>5471.8569911888571</v>
      </c>
      <c r="O27" s="693">
        <f t="shared" ca="1" si="3"/>
        <v>11881.394636335936</v>
      </c>
      <c r="P27" s="693">
        <f t="shared" si="3"/>
        <v>325.11860884896748</v>
      </c>
      <c r="Q27" s="693">
        <f t="shared" si="3"/>
        <v>1337.2901991482777</v>
      </c>
      <c r="R27" s="693">
        <f t="shared" ca="1" si="3"/>
        <v>417295.41532389447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3776.9860575705879</v>
      </c>
      <c r="D40" s="683">
        <f ca="1">tertiair!C20</f>
        <v>0</v>
      </c>
      <c r="E40" s="683">
        <f ca="1">tertiair!D20</f>
        <v>7724.6657066162625</v>
      </c>
      <c r="F40" s="683">
        <f>tertiair!E20</f>
        <v>18.890866362761315</v>
      </c>
      <c r="G40" s="683">
        <f ca="1">tertiair!F20</f>
        <v>1051.004379183616</v>
      </c>
      <c r="H40" s="683">
        <f>tertiair!G20</f>
        <v>0</v>
      </c>
      <c r="I40" s="683">
        <f>tertiair!H20</f>
        <v>0</v>
      </c>
      <c r="J40" s="683">
        <f>tertiair!I20</f>
        <v>0</v>
      </c>
      <c r="K40" s="683">
        <f>tertiair!J20</f>
        <v>9.368373061208031E-3</v>
      </c>
      <c r="L40" s="683">
        <f>tertiair!K20</f>
        <v>0</v>
      </c>
      <c r="M40" s="683">
        <f ca="1">tertiair!L20</f>
        <v>0</v>
      </c>
      <c r="N40" s="683">
        <f>tertiair!M20</f>
        <v>0</v>
      </c>
      <c r="O40" s="683">
        <f ca="1">tertiair!N20</f>
        <v>0</v>
      </c>
      <c r="P40" s="683">
        <f>tertiair!O20</f>
        <v>0</v>
      </c>
      <c r="Q40" s="766">
        <f>tertiair!P20</f>
        <v>0</v>
      </c>
      <c r="R40" s="845">
        <f t="shared" ca="1" si="4"/>
        <v>12571.556378106288</v>
      </c>
    </row>
    <row r="41" spans="1:18">
      <c r="A41" s="817" t="s">
        <v>220</v>
      </c>
      <c r="B41" s="824"/>
      <c r="C41" s="683">
        <f ca="1">huishoudens!B12</f>
        <v>3966.6514643677565</v>
      </c>
      <c r="D41" s="683">
        <f ca="1">huishoudens!C12</f>
        <v>0</v>
      </c>
      <c r="E41" s="683">
        <f>huishoudens!D12</f>
        <v>14229.946794268795</v>
      </c>
      <c r="F41" s="683">
        <f>huishoudens!E12</f>
        <v>248.92039725103189</v>
      </c>
      <c r="G41" s="683">
        <f>huishoudens!F12</f>
        <v>6413.8821012751687</v>
      </c>
      <c r="H41" s="683">
        <f>huishoudens!G12</f>
        <v>0</v>
      </c>
      <c r="I41" s="683">
        <f>huishoudens!H12</f>
        <v>0</v>
      </c>
      <c r="J41" s="683">
        <f>huishoudens!I12</f>
        <v>0</v>
      </c>
      <c r="K41" s="683">
        <f>huishoudens!J12</f>
        <v>48.4640791174808</v>
      </c>
      <c r="L41" s="683">
        <f>huishoudens!K12</f>
        <v>0</v>
      </c>
      <c r="M41" s="683">
        <f>huishoudens!L12</f>
        <v>0</v>
      </c>
      <c r="N41" s="683">
        <f>huishoudens!M12</f>
        <v>0</v>
      </c>
      <c r="O41" s="683">
        <f>huishoudens!N12</f>
        <v>0</v>
      </c>
      <c r="P41" s="683">
        <f>huishoudens!O12</f>
        <v>0</v>
      </c>
      <c r="Q41" s="766">
        <f>huishoudens!P12</f>
        <v>0</v>
      </c>
      <c r="R41" s="845">
        <f t="shared" ca="1" si="4"/>
        <v>24907.864836280234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6639.6413314051679</v>
      </c>
      <c r="D43" s="683">
        <f ca="1">industrie!C22</f>
        <v>0</v>
      </c>
      <c r="E43" s="683">
        <f>industrie!D22</f>
        <v>8323.3563893943865</v>
      </c>
      <c r="F43" s="683">
        <f>industrie!E22</f>
        <v>114.89459038288059</v>
      </c>
      <c r="G43" s="683">
        <f>industrie!F22</f>
        <v>1806.6039939693749</v>
      </c>
      <c r="H43" s="683">
        <f>industrie!G22</f>
        <v>0</v>
      </c>
      <c r="I43" s="683">
        <f>industrie!H22</f>
        <v>0</v>
      </c>
      <c r="J43" s="683">
        <f>industrie!I22</f>
        <v>0</v>
      </c>
      <c r="K43" s="683">
        <f>industrie!J22</f>
        <v>63.046115512882302</v>
      </c>
      <c r="L43" s="683">
        <f>industrie!K22</f>
        <v>0</v>
      </c>
      <c r="M43" s="683">
        <f>industrie!L22</f>
        <v>0</v>
      </c>
      <c r="N43" s="683">
        <f>industrie!M22</f>
        <v>0</v>
      </c>
      <c r="O43" s="683">
        <f>industrie!N22</f>
        <v>0</v>
      </c>
      <c r="P43" s="683">
        <f>industrie!O22</f>
        <v>0</v>
      </c>
      <c r="Q43" s="766">
        <f>industrie!P22</f>
        <v>0</v>
      </c>
      <c r="R43" s="844">
        <f t="shared" ca="1" si="4"/>
        <v>16947.542420664693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14383.278853343512</v>
      </c>
      <c r="D46" s="719">
        <f t="shared" ref="D46:Q46" ca="1" si="5">SUM(D39:D45)</f>
        <v>0</v>
      </c>
      <c r="E46" s="719">
        <f t="shared" ca="1" si="5"/>
        <v>30277.968890279444</v>
      </c>
      <c r="F46" s="719">
        <f t="shared" si="5"/>
        <v>382.7058539966738</v>
      </c>
      <c r="G46" s="719">
        <f t="shared" ca="1" si="5"/>
        <v>9271.4904744281594</v>
      </c>
      <c r="H46" s="719">
        <f t="shared" si="5"/>
        <v>0</v>
      </c>
      <c r="I46" s="719">
        <f t="shared" si="5"/>
        <v>0</v>
      </c>
      <c r="J46" s="719">
        <f t="shared" si="5"/>
        <v>0</v>
      </c>
      <c r="K46" s="719">
        <f t="shared" si="5"/>
        <v>111.51956300342431</v>
      </c>
      <c r="L46" s="719">
        <f t="shared" si="5"/>
        <v>0</v>
      </c>
      <c r="M46" s="719">
        <f t="shared" ca="1" si="5"/>
        <v>0</v>
      </c>
      <c r="N46" s="719">
        <f t="shared" si="5"/>
        <v>0</v>
      </c>
      <c r="O46" s="719">
        <f t="shared" ca="1" si="5"/>
        <v>0</v>
      </c>
      <c r="P46" s="719">
        <f t="shared" si="5"/>
        <v>0</v>
      </c>
      <c r="Q46" s="719">
        <f t="shared" si="5"/>
        <v>0</v>
      </c>
      <c r="R46" s="719">
        <f ca="1">SUM(R39:R45)</f>
        <v>54426.963635051216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5.7932206110797395</v>
      </c>
      <c r="D49" s="683">
        <f ca="1">transport!C58</f>
        <v>0</v>
      </c>
      <c r="E49" s="683">
        <f>transport!D58</f>
        <v>0</v>
      </c>
      <c r="F49" s="683">
        <f>transport!E58</f>
        <v>0</v>
      </c>
      <c r="G49" s="683">
        <f>transport!F58</f>
        <v>0</v>
      </c>
      <c r="H49" s="683">
        <f>transport!G58</f>
        <v>659.90067809926711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665.69389871034684</v>
      </c>
    </row>
    <row r="50" spans="1:18">
      <c r="A50" s="820" t="s">
        <v>302</v>
      </c>
      <c r="B50" s="830"/>
      <c r="C50" s="689">
        <f ca="1">transport!B18</f>
        <v>31.955698977086087</v>
      </c>
      <c r="D50" s="689">
        <f>transport!C18</f>
        <v>0</v>
      </c>
      <c r="E50" s="689">
        <f>transport!D18</f>
        <v>75.792167529193435</v>
      </c>
      <c r="F50" s="689">
        <f>transport!E18</f>
        <v>33.889147802747424</v>
      </c>
      <c r="G50" s="689">
        <f>transport!F18</f>
        <v>0</v>
      </c>
      <c r="H50" s="689">
        <f>transport!G18</f>
        <v>18713.503510117258</v>
      </c>
      <c r="I50" s="689">
        <f>transport!H18</f>
        <v>4585.8634882252127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23441.004012651498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37.748919588165826</v>
      </c>
      <c r="D52" s="719">
        <f t="shared" ref="D52:Q52" ca="1" si="6">SUM(D48:D51)</f>
        <v>0</v>
      </c>
      <c r="E52" s="719">
        <f t="shared" si="6"/>
        <v>75.792167529193435</v>
      </c>
      <c r="F52" s="719">
        <f t="shared" si="6"/>
        <v>33.889147802747424</v>
      </c>
      <c r="G52" s="719">
        <f t="shared" si="6"/>
        <v>0</v>
      </c>
      <c r="H52" s="719">
        <f t="shared" si="6"/>
        <v>19373.404188216526</v>
      </c>
      <c r="I52" s="719">
        <f t="shared" si="6"/>
        <v>4585.8634882252127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24106.697911361844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212.19635770042572</v>
      </c>
      <c r="D54" s="689">
        <f ca="1">+landbouw!C12</f>
        <v>0</v>
      </c>
      <c r="E54" s="689">
        <f>+landbouw!D12</f>
        <v>837.00743780659343</v>
      </c>
      <c r="F54" s="689">
        <f>+landbouw!E12</f>
        <v>9.4018733522263851</v>
      </c>
      <c r="G54" s="689">
        <f>+landbouw!F12</f>
        <v>1222.1968821361268</v>
      </c>
      <c r="H54" s="689">
        <f>+landbouw!G12</f>
        <v>0</v>
      </c>
      <c r="I54" s="689">
        <f>+landbouw!H12</f>
        <v>0</v>
      </c>
      <c r="J54" s="689">
        <f>+landbouw!I12</f>
        <v>0</v>
      </c>
      <c r="K54" s="689">
        <f>+landbouw!J12</f>
        <v>130.16249190608553</v>
      </c>
      <c r="L54" s="689">
        <f>+landbouw!K12</f>
        <v>0</v>
      </c>
      <c r="M54" s="689">
        <f>+landbouw!L12</f>
        <v>0</v>
      </c>
      <c r="N54" s="689">
        <f>+landbouw!M12</f>
        <v>0</v>
      </c>
      <c r="O54" s="689">
        <f>+landbouw!N12</f>
        <v>0</v>
      </c>
      <c r="P54" s="689">
        <f>+landbouw!O12</f>
        <v>0</v>
      </c>
      <c r="Q54" s="690">
        <f>+landbouw!P12</f>
        <v>0</v>
      </c>
      <c r="R54" s="718">
        <f ca="1">SUM(C54:Q54)</f>
        <v>2410.9650429014578</v>
      </c>
    </row>
    <row r="55" spans="1:18" ht="15" thickBot="1">
      <c r="A55" s="820" t="s">
        <v>696</v>
      </c>
      <c r="B55" s="830"/>
      <c r="C55" s="689">
        <f ca="1">C25*'EF ele_warmte'!B12</f>
        <v>88.034196330369255</v>
      </c>
      <c r="D55" s="689"/>
      <c r="E55" s="689">
        <f>E25*EF_CO2_aardgas</f>
        <v>694.65605890151926</v>
      </c>
      <c r="F55" s="689"/>
      <c r="G55" s="689"/>
      <c r="H55" s="689"/>
      <c r="I55" s="689"/>
      <c r="J55" s="689"/>
      <c r="K55" s="689"/>
      <c r="L55" s="689"/>
      <c r="M55" s="689"/>
      <c r="N55" s="689"/>
      <c r="O55" s="689"/>
      <c r="P55" s="689"/>
      <c r="Q55" s="690"/>
      <c r="R55" s="718">
        <f ca="1">SUM(C55:Q55)</f>
        <v>782.6902552318885</v>
      </c>
    </row>
    <row r="56" spans="1:18" ht="15.75" thickBot="1">
      <c r="A56" s="818" t="s">
        <v>697</v>
      </c>
      <c r="B56" s="831"/>
      <c r="C56" s="719">
        <f ca="1">SUM(C54:C55)</f>
        <v>300.23055403079496</v>
      </c>
      <c r="D56" s="719">
        <f t="shared" ref="D56:Q56" ca="1" si="7">SUM(D54:D55)</f>
        <v>0</v>
      </c>
      <c r="E56" s="719">
        <f t="shared" si="7"/>
        <v>1531.6634967081127</v>
      </c>
      <c r="F56" s="719">
        <f t="shared" si="7"/>
        <v>9.4018733522263851</v>
      </c>
      <c r="G56" s="719">
        <f t="shared" si="7"/>
        <v>1222.1968821361268</v>
      </c>
      <c r="H56" s="719">
        <f t="shared" si="7"/>
        <v>0</v>
      </c>
      <c r="I56" s="719">
        <f t="shared" si="7"/>
        <v>0</v>
      </c>
      <c r="J56" s="719">
        <f t="shared" si="7"/>
        <v>0</v>
      </c>
      <c r="K56" s="719">
        <f t="shared" si="7"/>
        <v>130.16249190608553</v>
      </c>
      <c r="L56" s="719">
        <f t="shared" si="7"/>
        <v>0</v>
      </c>
      <c r="M56" s="719">
        <f t="shared" si="7"/>
        <v>0</v>
      </c>
      <c r="N56" s="719">
        <f t="shared" si="7"/>
        <v>0</v>
      </c>
      <c r="O56" s="719">
        <f t="shared" si="7"/>
        <v>0</v>
      </c>
      <c r="P56" s="719">
        <f t="shared" si="7"/>
        <v>0</v>
      </c>
      <c r="Q56" s="720">
        <f t="shared" si="7"/>
        <v>0</v>
      </c>
      <c r="R56" s="721">
        <f ca="1">SUM(R54:R55)</f>
        <v>3193.6552981333462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14721.258326962474</v>
      </c>
      <c r="D61" s="727">
        <f t="shared" ref="D61:Q61" ca="1" si="8">D46+D52+D56</f>
        <v>0</v>
      </c>
      <c r="E61" s="727">
        <f t="shared" ca="1" si="8"/>
        <v>31885.424554516751</v>
      </c>
      <c r="F61" s="727">
        <f t="shared" si="8"/>
        <v>425.9968751516476</v>
      </c>
      <c r="G61" s="727">
        <f t="shared" ca="1" si="8"/>
        <v>10493.687356564285</v>
      </c>
      <c r="H61" s="727">
        <f t="shared" si="8"/>
        <v>19373.404188216526</v>
      </c>
      <c r="I61" s="727">
        <f t="shared" si="8"/>
        <v>4585.8634882252127</v>
      </c>
      <c r="J61" s="727">
        <f t="shared" si="8"/>
        <v>0</v>
      </c>
      <c r="K61" s="727">
        <f t="shared" si="8"/>
        <v>241.68205490950984</v>
      </c>
      <c r="L61" s="727">
        <f t="shared" si="8"/>
        <v>0</v>
      </c>
      <c r="M61" s="727">
        <f t="shared" ca="1" si="8"/>
        <v>0</v>
      </c>
      <c r="N61" s="727">
        <f t="shared" si="8"/>
        <v>0</v>
      </c>
      <c r="O61" s="727">
        <f t="shared" ca="1" si="8"/>
        <v>0</v>
      </c>
      <c r="P61" s="727">
        <f t="shared" si="8"/>
        <v>0</v>
      </c>
      <c r="Q61" s="727">
        <f t="shared" si="8"/>
        <v>0</v>
      </c>
      <c r="R61" s="727">
        <f ca="1">R46+R52+R56</f>
        <v>81727.316844546411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0.14673984650236835</v>
      </c>
      <c r="D63" s="773">
        <f t="shared" ca="1" si="9"/>
        <v>0</v>
      </c>
      <c r="E63" s="965">
        <f t="shared" ca="1" si="9"/>
        <v>0.20200000000000004</v>
      </c>
      <c r="F63" s="773">
        <f t="shared" si="9"/>
        <v>0.22699999999999998</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11277.631151613989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5089.5</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5987.6470588235297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17343</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49551.428571428572</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33710.13115161399</v>
      </c>
      <c r="C78" s="745">
        <f>SUM(C72:C77)</f>
        <v>0</v>
      </c>
      <c r="D78" s="746">
        <f t="shared" ref="D78:H78" si="10">SUM(D76:D77)</f>
        <v>0</v>
      </c>
      <c r="E78" s="746">
        <f t="shared" si="10"/>
        <v>0</v>
      </c>
      <c r="F78" s="746">
        <f t="shared" si="10"/>
        <v>0</v>
      </c>
      <c r="G78" s="746">
        <f t="shared" si="10"/>
        <v>0</v>
      </c>
      <c r="H78" s="746">
        <f t="shared" si="10"/>
        <v>0</v>
      </c>
      <c r="I78" s="746">
        <f>SUM(I76:I77)</f>
        <v>0</v>
      </c>
      <c r="J78" s="746">
        <f>SUM(J76:J77)</f>
        <v>55539.075630252104</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7270.7142857142862</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8553.7815126050427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7270.7142857142862</v>
      </c>
      <c r="C90" s="745">
        <f>SUM(C87:C89)</f>
        <v>0</v>
      </c>
      <c r="D90" s="745">
        <f t="shared" ref="D90:H90" si="12">SUM(D87:D89)</f>
        <v>0</v>
      </c>
      <c r="E90" s="745">
        <f t="shared" si="12"/>
        <v>0</v>
      </c>
      <c r="F90" s="745">
        <f t="shared" si="12"/>
        <v>0</v>
      </c>
      <c r="G90" s="745">
        <f t="shared" si="12"/>
        <v>0</v>
      </c>
      <c r="H90" s="745">
        <f t="shared" si="12"/>
        <v>0</v>
      </c>
      <c r="I90" s="745">
        <f>SUM(I87:I89)</f>
        <v>0</v>
      </c>
      <c r="J90" s="745">
        <f>SUM(J87:J89)</f>
        <v>8553.7815126050427</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27031.863252656025</v>
      </c>
      <c r="C4" s="449">
        <f>huishoudens!C8</f>
        <v>0</v>
      </c>
      <c r="D4" s="449">
        <f>huishoudens!D8</f>
        <v>70445.281159746504</v>
      </c>
      <c r="E4" s="449">
        <f>huishoudens!E8</f>
        <v>1096.5656266565281</v>
      </c>
      <c r="F4" s="449">
        <f>huishoudens!F8</f>
        <v>24022.030341854563</v>
      </c>
      <c r="G4" s="449">
        <f>huishoudens!G8</f>
        <v>0</v>
      </c>
      <c r="H4" s="449">
        <f>huishoudens!H8</f>
        <v>0</v>
      </c>
      <c r="I4" s="449">
        <f>huishoudens!I8</f>
        <v>0</v>
      </c>
      <c r="J4" s="449">
        <f>huishoudens!J8</f>
        <v>136.90417829796837</v>
      </c>
      <c r="K4" s="449">
        <f>huishoudens!K8</f>
        <v>0</v>
      </c>
      <c r="L4" s="449">
        <f>huishoudens!L8</f>
        <v>0</v>
      </c>
      <c r="M4" s="449">
        <f>huishoudens!M8</f>
        <v>0</v>
      </c>
      <c r="N4" s="449">
        <f>huishoudens!N8</f>
        <v>8067.9153548797776</v>
      </c>
      <c r="O4" s="449">
        <f>huishoudens!O8</f>
        <v>305.52956578560287</v>
      </c>
      <c r="P4" s="450">
        <f>huishoudens!P8</f>
        <v>1127.1336459222975</v>
      </c>
      <c r="Q4" s="451">
        <f>SUM(B4:P4)</f>
        <v>132233.22312579927</v>
      </c>
    </row>
    <row r="5" spans="1:17">
      <c r="A5" s="448" t="s">
        <v>155</v>
      </c>
      <c r="B5" s="449">
        <f ca="1">tertiair!B16</f>
        <v>25221.353935924362</v>
      </c>
      <c r="C5" s="449">
        <f ca="1">tertiair!C16</f>
        <v>7270.7142857142862</v>
      </c>
      <c r="D5" s="449">
        <f ca="1">tertiair!D16</f>
        <v>38240.919339684464</v>
      </c>
      <c r="E5" s="449">
        <f>tertiair!E16</f>
        <v>83.219675606878042</v>
      </c>
      <c r="F5" s="449">
        <f ca="1">tertiair!F16</f>
        <v>3936.3459894517455</v>
      </c>
      <c r="G5" s="449">
        <f>tertiair!G16</f>
        <v>0</v>
      </c>
      <c r="H5" s="449">
        <f>tertiair!H16</f>
        <v>0</v>
      </c>
      <c r="I5" s="449">
        <f>tertiair!I16</f>
        <v>0</v>
      </c>
      <c r="J5" s="449">
        <f>tertiair!J16</f>
        <v>2.6464330681378618E-2</v>
      </c>
      <c r="K5" s="449">
        <f>tertiair!K16</f>
        <v>0</v>
      </c>
      <c r="L5" s="449">
        <f ca="1">tertiair!L16</f>
        <v>0</v>
      </c>
      <c r="M5" s="449">
        <f>tertiair!M16</f>
        <v>0</v>
      </c>
      <c r="N5" s="449">
        <f ca="1">tertiair!N16</f>
        <v>0</v>
      </c>
      <c r="O5" s="449">
        <f>tertiair!O16</f>
        <v>19.589043063364617</v>
      </c>
      <c r="P5" s="450">
        <f>tertiair!P16</f>
        <v>210.15655322598008</v>
      </c>
      <c r="Q5" s="448">
        <f t="shared" ref="Q5:Q14" ca="1" si="0">SUM(B5:P5)</f>
        <v>74982.32528700176</v>
      </c>
    </row>
    <row r="6" spans="1:17">
      <c r="A6" s="448" t="s">
        <v>193</v>
      </c>
      <c r="B6" s="449">
        <f>'openbare verlichting'!B8</f>
        <v>517.98099999999999</v>
      </c>
      <c r="C6" s="449"/>
      <c r="D6" s="449"/>
      <c r="E6" s="449"/>
      <c r="F6" s="449"/>
      <c r="G6" s="449"/>
      <c r="H6" s="449"/>
      <c r="I6" s="449"/>
      <c r="J6" s="449"/>
      <c r="K6" s="449"/>
      <c r="L6" s="449"/>
      <c r="M6" s="449"/>
      <c r="N6" s="449"/>
      <c r="O6" s="449"/>
      <c r="P6" s="450"/>
      <c r="Q6" s="448">
        <f t="shared" si="0"/>
        <v>517.98099999999999</v>
      </c>
    </row>
    <row r="7" spans="1:17">
      <c r="A7" s="448" t="s">
        <v>111</v>
      </c>
      <c r="B7" s="449">
        <f>landbouw!B8</f>
        <v>1446.07182546699</v>
      </c>
      <c r="C7" s="449">
        <f>landbouw!C8</f>
        <v>0</v>
      </c>
      <c r="D7" s="449">
        <f>landbouw!D8</f>
        <v>4143.6011772603633</v>
      </c>
      <c r="E7" s="449">
        <f>landbouw!E8</f>
        <v>41.417944282935615</v>
      </c>
      <c r="F7" s="449">
        <f>landbouw!F8</f>
        <v>4577.5164124948569</v>
      </c>
      <c r="G7" s="449">
        <f>landbouw!G8</f>
        <v>0</v>
      </c>
      <c r="H7" s="449">
        <f>landbouw!H8</f>
        <v>0</v>
      </c>
      <c r="I7" s="449">
        <f>landbouw!I8</f>
        <v>0</v>
      </c>
      <c r="J7" s="449">
        <f>landbouw!J8</f>
        <v>367.69065510193656</v>
      </c>
      <c r="K7" s="449">
        <f>landbouw!K8</f>
        <v>0</v>
      </c>
      <c r="L7" s="449">
        <f>landbouw!L8</f>
        <v>0</v>
      </c>
      <c r="M7" s="449">
        <f>landbouw!M8</f>
        <v>0</v>
      </c>
      <c r="N7" s="449">
        <f>landbouw!N8</f>
        <v>0</v>
      </c>
      <c r="O7" s="449">
        <f>landbouw!O8</f>
        <v>0</v>
      </c>
      <c r="P7" s="450">
        <f>landbouw!P8</f>
        <v>0</v>
      </c>
      <c r="Q7" s="448">
        <f t="shared" si="0"/>
        <v>10576.298014607082</v>
      </c>
    </row>
    <row r="8" spans="1:17">
      <c r="A8" s="448" t="s">
        <v>617</v>
      </c>
      <c r="B8" s="449">
        <f>industrie!B18</f>
        <v>45247.705307487871</v>
      </c>
      <c r="C8" s="449">
        <f>industrie!C18</f>
        <v>0</v>
      </c>
      <c r="D8" s="449">
        <f>industrie!D18</f>
        <v>41204.734600962307</v>
      </c>
      <c r="E8" s="449">
        <f>industrie!E18</f>
        <v>506.14356996863694</v>
      </c>
      <c r="F8" s="449">
        <f>industrie!F18</f>
        <v>6766.3070935182577</v>
      </c>
      <c r="G8" s="449">
        <f>industrie!G18</f>
        <v>0</v>
      </c>
      <c r="H8" s="449">
        <f>industrie!H18</f>
        <v>0</v>
      </c>
      <c r="I8" s="449">
        <f>industrie!I18</f>
        <v>0</v>
      </c>
      <c r="J8" s="449">
        <f>industrie!J18</f>
        <v>178.09637150531725</v>
      </c>
      <c r="K8" s="449">
        <f>industrie!K18</f>
        <v>0</v>
      </c>
      <c r="L8" s="449">
        <f>industrie!L18</f>
        <v>0</v>
      </c>
      <c r="M8" s="449">
        <f>industrie!M18</f>
        <v>0</v>
      </c>
      <c r="N8" s="449">
        <f>industrie!N18</f>
        <v>3813.479281456157</v>
      </c>
      <c r="O8" s="449">
        <f>industrie!O18</f>
        <v>0</v>
      </c>
      <c r="P8" s="450">
        <f>industrie!P18</f>
        <v>0</v>
      </c>
      <c r="Q8" s="448">
        <f t="shared" si="0"/>
        <v>97716.466224898555</v>
      </c>
    </row>
    <row r="9" spans="1:17" s="454" customFormat="1">
      <c r="A9" s="452" t="s">
        <v>543</v>
      </c>
      <c r="B9" s="453">
        <f>transport!B14</f>
        <v>217.77110811254889</v>
      </c>
      <c r="C9" s="453">
        <f>transport!C14</f>
        <v>0</v>
      </c>
      <c r="D9" s="453">
        <f>transport!D14</f>
        <v>375.2087501445219</v>
      </c>
      <c r="E9" s="453">
        <f>transport!E14</f>
        <v>149.29140001210317</v>
      </c>
      <c r="F9" s="453">
        <f>transport!F14</f>
        <v>0</v>
      </c>
      <c r="G9" s="453">
        <f>transport!G14</f>
        <v>70088.028127779995</v>
      </c>
      <c r="H9" s="453">
        <f>transport!H14</f>
        <v>18417.122442671538</v>
      </c>
      <c r="I9" s="453">
        <f>transport!I14</f>
        <v>0</v>
      </c>
      <c r="J9" s="453">
        <f>transport!J14</f>
        <v>0</v>
      </c>
      <c r="K9" s="453">
        <f>transport!K14</f>
        <v>0</v>
      </c>
      <c r="L9" s="453">
        <f>transport!L14</f>
        <v>0</v>
      </c>
      <c r="M9" s="453">
        <f>transport!M14</f>
        <v>5329.9467448865907</v>
      </c>
      <c r="N9" s="453">
        <f>transport!N14</f>
        <v>0</v>
      </c>
      <c r="O9" s="453">
        <f>transport!O14</f>
        <v>0</v>
      </c>
      <c r="P9" s="453">
        <f>transport!P14</f>
        <v>0</v>
      </c>
      <c r="Q9" s="452">
        <f>SUM(B9:P9)</f>
        <v>94577.368573607295</v>
      </c>
    </row>
    <row r="10" spans="1:17">
      <c r="A10" s="448" t="s">
        <v>533</v>
      </c>
      <c r="B10" s="449">
        <f>transport!B54</f>
        <v>39.479532990967371</v>
      </c>
      <c r="C10" s="449">
        <f>transport!C54</f>
        <v>0</v>
      </c>
      <c r="D10" s="449">
        <f>transport!D54</f>
        <v>0</v>
      </c>
      <c r="E10" s="449">
        <f>transport!E54</f>
        <v>0</v>
      </c>
      <c r="F10" s="449">
        <f>transport!F54</f>
        <v>0</v>
      </c>
      <c r="G10" s="449">
        <f>transport!G54</f>
        <v>2471.5381202219742</v>
      </c>
      <c r="H10" s="449">
        <f>transport!H54</f>
        <v>0</v>
      </c>
      <c r="I10" s="449">
        <f>transport!I54</f>
        <v>0</v>
      </c>
      <c r="J10" s="449">
        <f>transport!J54</f>
        <v>0</v>
      </c>
      <c r="K10" s="449">
        <f>transport!K54</f>
        <v>0</v>
      </c>
      <c r="L10" s="449">
        <f>transport!L54</f>
        <v>0</v>
      </c>
      <c r="M10" s="449">
        <f>transport!M54</f>
        <v>141.91024630226624</v>
      </c>
      <c r="N10" s="449">
        <f>transport!N54</f>
        <v>0</v>
      </c>
      <c r="O10" s="449">
        <f>transport!O54</f>
        <v>0</v>
      </c>
      <c r="P10" s="450">
        <f>transport!P54</f>
        <v>0</v>
      </c>
      <c r="Q10" s="448">
        <f t="shared" si="0"/>
        <v>2652.9278995152081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599.93381776468198</v>
      </c>
      <c r="C14" s="456"/>
      <c r="D14" s="456">
        <f>'SEAP template'!E25</f>
        <v>3438.8913807005902</v>
      </c>
      <c r="E14" s="456"/>
      <c r="F14" s="456"/>
      <c r="G14" s="456"/>
      <c r="H14" s="456"/>
      <c r="I14" s="456"/>
      <c r="J14" s="456"/>
      <c r="K14" s="456"/>
      <c r="L14" s="456"/>
      <c r="M14" s="456"/>
      <c r="N14" s="456"/>
      <c r="O14" s="456"/>
      <c r="P14" s="457"/>
      <c r="Q14" s="448">
        <f t="shared" si="0"/>
        <v>4038.825198465272</v>
      </c>
    </row>
    <row r="15" spans="1:17" s="460" customFormat="1">
      <c r="A15" s="458" t="s">
        <v>537</v>
      </c>
      <c r="B15" s="459">
        <f ca="1">SUM(B4:B14)</f>
        <v>100322.15978040345</v>
      </c>
      <c r="C15" s="459">
        <f t="shared" ref="C15:Q15" ca="1" si="1">SUM(C4:C14)</f>
        <v>7270.7142857142862</v>
      </c>
      <c r="D15" s="459">
        <f t="shared" ca="1" si="1"/>
        <v>157848.63640849877</v>
      </c>
      <c r="E15" s="459">
        <f t="shared" si="1"/>
        <v>1876.638216527082</v>
      </c>
      <c r="F15" s="459">
        <f t="shared" ca="1" si="1"/>
        <v>39302.199837319422</v>
      </c>
      <c r="G15" s="459">
        <f t="shared" si="1"/>
        <v>72559.566248001967</v>
      </c>
      <c r="H15" s="459">
        <f t="shared" si="1"/>
        <v>18417.122442671538</v>
      </c>
      <c r="I15" s="459">
        <f t="shared" si="1"/>
        <v>0</v>
      </c>
      <c r="J15" s="459">
        <f t="shared" si="1"/>
        <v>682.7176692359036</v>
      </c>
      <c r="K15" s="459">
        <f t="shared" si="1"/>
        <v>0</v>
      </c>
      <c r="L15" s="459">
        <f t="shared" ca="1" si="1"/>
        <v>0</v>
      </c>
      <c r="M15" s="459">
        <f t="shared" si="1"/>
        <v>5471.8569911888571</v>
      </c>
      <c r="N15" s="459">
        <f t="shared" ca="1" si="1"/>
        <v>11881.394636335936</v>
      </c>
      <c r="O15" s="459">
        <f t="shared" si="1"/>
        <v>325.11860884896748</v>
      </c>
      <c r="P15" s="459">
        <f t="shared" si="1"/>
        <v>1337.2901991482777</v>
      </c>
      <c r="Q15" s="459">
        <f t="shared" ca="1" si="1"/>
        <v>417295.41532389441</v>
      </c>
    </row>
    <row r="17" spans="1:17">
      <c r="A17" s="461" t="s">
        <v>538</v>
      </c>
      <c r="B17" s="778">
        <f ca="1">huishoudens!B10</f>
        <v>0.14673984650236835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3966.6514643677565</v>
      </c>
      <c r="C22" s="449">
        <f t="shared" ref="C22:C32" ca="1" si="3">C4*$C$17</f>
        <v>0</v>
      </c>
      <c r="D22" s="449">
        <f t="shared" ref="D22:D32" si="4">D4*$D$17</f>
        <v>14229.946794268795</v>
      </c>
      <c r="E22" s="449">
        <f t="shared" ref="E22:E32" si="5">E4*$E$17</f>
        <v>248.92039725103189</v>
      </c>
      <c r="F22" s="449">
        <f t="shared" ref="F22:F32" si="6">F4*$F$17</f>
        <v>6413.8821012751687</v>
      </c>
      <c r="G22" s="449">
        <f t="shared" ref="G22:G32" si="7">G4*$G$17</f>
        <v>0</v>
      </c>
      <c r="H22" s="449">
        <f t="shared" ref="H22:H32" si="8">H4*$H$17</f>
        <v>0</v>
      </c>
      <c r="I22" s="449">
        <f t="shared" ref="I22:I32" si="9">I4*$I$17</f>
        <v>0</v>
      </c>
      <c r="J22" s="449">
        <f t="shared" ref="J22:J32" si="10">J4*$J$17</f>
        <v>48.4640791174808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24907.864836280234</v>
      </c>
    </row>
    <row r="23" spans="1:17">
      <c r="A23" s="448" t="s">
        <v>155</v>
      </c>
      <c r="B23" s="449">
        <f t="shared" ca="1" si="2"/>
        <v>3700.9776051394447</v>
      </c>
      <c r="C23" s="449">
        <f t="shared" ca="1" si="3"/>
        <v>0</v>
      </c>
      <c r="D23" s="449">
        <f t="shared" ca="1" si="4"/>
        <v>7724.6657066162625</v>
      </c>
      <c r="E23" s="449">
        <f t="shared" si="5"/>
        <v>18.890866362761315</v>
      </c>
      <c r="F23" s="449">
        <f t="shared" ca="1" si="6"/>
        <v>1051.004379183616</v>
      </c>
      <c r="G23" s="449">
        <f t="shared" si="7"/>
        <v>0</v>
      </c>
      <c r="H23" s="449">
        <f t="shared" si="8"/>
        <v>0</v>
      </c>
      <c r="I23" s="449">
        <f t="shared" si="9"/>
        <v>0</v>
      </c>
      <c r="J23" s="449">
        <f t="shared" si="10"/>
        <v>9.368373061208031E-3</v>
      </c>
      <c r="K23" s="449">
        <f t="shared" si="11"/>
        <v>0</v>
      </c>
      <c r="L23" s="449">
        <f t="shared" ca="1" si="12"/>
        <v>0</v>
      </c>
      <c r="M23" s="449">
        <f t="shared" si="13"/>
        <v>0</v>
      </c>
      <c r="N23" s="449">
        <f t="shared" ca="1" si="14"/>
        <v>0</v>
      </c>
      <c r="O23" s="449">
        <f t="shared" si="15"/>
        <v>0</v>
      </c>
      <c r="P23" s="450">
        <f t="shared" si="16"/>
        <v>0</v>
      </c>
      <c r="Q23" s="448">
        <f t="shared" ref="Q23:Q31" ca="1" si="17">SUM(B23:P23)</f>
        <v>12495.547925675144</v>
      </c>
    </row>
    <row r="24" spans="1:17">
      <c r="A24" s="448" t="s">
        <v>193</v>
      </c>
      <c r="B24" s="449">
        <f t="shared" ca="1" si="2"/>
        <v>76.008452431143255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76.008452431143255</v>
      </c>
    </row>
    <row r="25" spans="1:17">
      <c r="A25" s="448" t="s">
        <v>111</v>
      </c>
      <c r="B25" s="449">
        <f t="shared" ca="1" si="2"/>
        <v>212.19635770042572</v>
      </c>
      <c r="C25" s="449">
        <f t="shared" ca="1" si="3"/>
        <v>0</v>
      </c>
      <c r="D25" s="449">
        <f t="shared" si="4"/>
        <v>837.00743780659343</v>
      </c>
      <c r="E25" s="449">
        <f t="shared" si="5"/>
        <v>9.4018733522263851</v>
      </c>
      <c r="F25" s="449">
        <f t="shared" si="6"/>
        <v>1222.1968821361268</v>
      </c>
      <c r="G25" s="449">
        <f t="shared" si="7"/>
        <v>0</v>
      </c>
      <c r="H25" s="449">
        <f t="shared" si="8"/>
        <v>0</v>
      </c>
      <c r="I25" s="449">
        <f t="shared" si="9"/>
        <v>0</v>
      </c>
      <c r="J25" s="449">
        <f t="shared" si="10"/>
        <v>130.16249190608553</v>
      </c>
      <c r="K25" s="449">
        <f t="shared" si="11"/>
        <v>0</v>
      </c>
      <c r="L25" s="449">
        <f t="shared" si="12"/>
        <v>0</v>
      </c>
      <c r="M25" s="449">
        <f t="shared" si="13"/>
        <v>0</v>
      </c>
      <c r="N25" s="449">
        <f t="shared" si="14"/>
        <v>0</v>
      </c>
      <c r="O25" s="449">
        <f t="shared" si="15"/>
        <v>0</v>
      </c>
      <c r="P25" s="450">
        <f t="shared" si="16"/>
        <v>0</v>
      </c>
      <c r="Q25" s="448">
        <f t="shared" ca="1" si="17"/>
        <v>2410.9650429014578</v>
      </c>
    </row>
    <row r="26" spans="1:17">
      <c r="A26" s="448" t="s">
        <v>617</v>
      </c>
      <c r="B26" s="449">
        <f t="shared" ca="1" si="2"/>
        <v>6639.6413314051679</v>
      </c>
      <c r="C26" s="449">
        <f t="shared" ca="1" si="3"/>
        <v>0</v>
      </c>
      <c r="D26" s="449">
        <f t="shared" si="4"/>
        <v>8323.3563893943865</v>
      </c>
      <c r="E26" s="449">
        <f t="shared" si="5"/>
        <v>114.89459038288059</v>
      </c>
      <c r="F26" s="449">
        <f t="shared" si="6"/>
        <v>1806.6039939693749</v>
      </c>
      <c r="G26" s="449">
        <f t="shared" si="7"/>
        <v>0</v>
      </c>
      <c r="H26" s="449">
        <f t="shared" si="8"/>
        <v>0</v>
      </c>
      <c r="I26" s="449">
        <f t="shared" si="9"/>
        <v>0</v>
      </c>
      <c r="J26" s="449">
        <f t="shared" si="10"/>
        <v>63.046115512882302</v>
      </c>
      <c r="K26" s="449">
        <f t="shared" si="11"/>
        <v>0</v>
      </c>
      <c r="L26" s="449">
        <f t="shared" si="12"/>
        <v>0</v>
      </c>
      <c r="M26" s="449">
        <f t="shared" si="13"/>
        <v>0</v>
      </c>
      <c r="N26" s="449">
        <f t="shared" si="14"/>
        <v>0</v>
      </c>
      <c r="O26" s="449">
        <f t="shared" si="15"/>
        <v>0</v>
      </c>
      <c r="P26" s="450">
        <f t="shared" si="16"/>
        <v>0</v>
      </c>
      <c r="Q26" s="448">
        <f t="shared" ca="1" si="17"/>
        <v>16947.542420664693</v>
      </c>
    </row>
    <row r="27" spans="1:17" s="454" customFormat="1">
      <c r="A27" s="452" t="s">
        <v>543</v>
      </c>
      <c r="B27" s="772">
        <f t="shared" ca="1" si="2"/>
        <v>31.955698977086087</v>
      </c>
      <c r="C27" s="453">
        <f t="shared" ca="1" si="3"/>
        <v>0</v>
      </c>
      <c r="D27" s="453">
        <f t="shared" si="4"/>
        <v>75.792167529193435</v>
      </c>
      <c r="E27" s="453">
        <f t="shared" si="5"/>
        <v>33.889147802747424</v>
      </c>
      <c r="F27" s="453">
        <f t="shared" si="6"/>
        <v>0</v>
      </c>
      <c r="G27" s="453">
        <f t="shared" si="7"/>
        <v>18713.503510117258</v>
      </c>
      <c r="H27" s="453">
        <f t="shared" si="8"/>
        <v>4585.8634882252127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23441.004012651498</v>
      </c>
    </row>
    <row r="28" spans="1:17" ht="16.5" customHeight="1">
      <c r="A28" s="448" t="s">
        <v>533</v>
      </c>
      <c r="B28" s="449">
        <f t="shared" ca="1" si="2"/>
        <v>5.7932206110797395</v>
      </c>
      <c r="C28" s="449">
        <f t="shared" ca="1" si="3"/>
        <v>0</v>
      </c>
      <c r="D28" s="449">
        <f t="shared" si="4"/>
        <v>0</v>
      </c>
      <c r="E28" s="449">
        <f t="shared" si="5"/>
        <v>0</v>
      </c>
      <c r="F28" s="449">
        <f t="shared" si="6"/>
        <v>0</v>
      </c>
      <c r="G28" s="449">
        <f t="shared" si="7"/>
        <v>659.90067809926711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665.69389871034684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88.034196330369255</v>
      </c>
      <c r="C32" s="449">
        <f t="shared" ca="1" si="3"/>
        <v>0</v>
      </c>
      <c r="D32" s="449">
        <f t="shared" si="4"/>
        <v>694.65605890151926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782.6902552318885</v>
      </c>
    </row>
    <row r="33" spans="1:17" s="460" customFormat="1">
      <c r="A33" s="458" t="s">
        <v>537</v>
      </c>
      <c r="B33" s="459">
        <f ca="1">SUM(B22:B32)</f>
        <v>14721.258326962472</v>
      </c>
      <c r="C33" s="459">
        <f t="shared" ref="C33:Q33" ca="1" si="19">SUM(C22:C32)</f>
        <v>0</v>
      </c>
      <c r="D33" s="459">
        <f t="shared" ca="1" si="19"/>
        <v>31885.424554516754</v>
      </c>
      <c r="E33" s="459">
        <f t="shared" si="19"/>
        <v>425.9968751516476</v>
      </c>
      <c r="F33" s="459">
        <f t="shared" ca="1" si="19"/>
        <v>10493.687356564285</v>
      </c>
      <c r="G33" s="459">
        <f t="shared" si="19"/>
        <v>19373.404188216526</v>
      </c>
      <c r="H33" s="459">
        <f t="shared" si="19"/>
        <v>4585.8634882252127</v>
      </c>
      <c r="I33" s="459">
        <f t="shared" si="19"/>
        <v>0</v>
      </c>
      <c r="J33" s="459">
        <f t="shared" si="19"/>
        <v>241.68205490950984</v>
      </c>
      <c r="K33" s="459">
        <f t="shared" si="19"/>
        <v>0</v>
      </c>
      <c r="L33" s="459">
        <f t="shared" ca="1" si="19"/>
        <v>0</v>
      </c>
      <c r="M33" s="459">
        <f t="shared" si="19"/>
        <v>0</v>
      </c>
      <c r="N33" s="459">
        <f t="shared" ca="1" si="19"/>
        <v>0</v>
      </c>
      <c r="O33" s="459">
        <f t="shared" si="19"/>
        <v>0</v>
      </c>
      <c r="P33" s="459">
        <f t="shared" si="19"/>
        <v>0</v>
      </c>
      <c r="Q33" s="459">
        <f t="shared" ca="1" si="19"/>
        <v>81727.316844546411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11277.631151613989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5089.5</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5987.6470588235297</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17343</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49551.428571428572</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33710.13115161399</v>
      </c>
      <c r="C10" s="1018">
        <f>SUM(C4:C9)</f>
        <v>0</v>
      </c>
      <c r="D10" s="1018">
        <f t="shared" ref="D10:H10" si="0">SUM(D8:D9)</f>
        <v>0</v>
      </c>
      <c r="E10" s="1018">
        <f t="shared" si="0"/>
        <v>0</v>
      </c>
      <c r="F10" s="1018">
        <f t="shared" si="0"/>
        <v>0</v>
      </c>
      <c r="G10" s="1018">
        <f t="shared" si="0"/>
        <v>0</v>
      </c>
      <c r="H10" s="1018">
        <f t="shared" si="0"/>
        <v>0</v>
      </c>
      <c r="I10" s="1018">
        <f>SUM(I8:I9)</f>
        <v>0</v>
      </c>
      <c r="J10" s="1018">
        <f>SUM(J8:J9)</f>
        <v>55539.075630252104</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0.14673984650236835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7270.7142857142862</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8553.7815126050427</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7270.7142857142862</v>
      </c>
      <c r="C20" s="1018">
        <f>SUM(C17:C19)</f>
        <v>0</v>
      </c>
      <c r="D20" s="1018">
        <f t="shared" ref="D20:H20" si="2">SUM(D17:D19)</f>
        <v>0</v>
      </c>
      <c r="E20" s="1018">
        <f t="shared" si="2"/>
        <v>0</v>
      </c>
      <c r="F20" s="1018">
        <f t="shared" si="2"/>
        <v>0</v>
      </c>
      <c r="G20" s="1018">
        <f t="shared" si="2"/>
        <v>0</v>
      </c>
      <c r="H20" s="1018">
        <f t="shared" si="2"/>
        <v>0</v>
      </c>
      <c r="I20" s="1018">
        <f>SUM(I17:I19)</f>
        <v>0</v>
      </c>
      <c r="J20" s="1018">
        <f>SUM(J17:J19)</f>
        <v>8553.7815126050427</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0.14673984650236835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0.14673984650236835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0.14673984650236835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6328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2343.5700000000002</v>
      </c>
      <c r="C14" s="326"/>
      <c r="D14" s="326"/>
      <c r="E14" s="326"/>
      <c r="F14" s="326"/>
    </row>
    <row r="15" spans="1:6">
      <c r="A15" s="1312" t="s">
        <v>183</v>
      </c>
      <c r="B15" s="1313">
        <v>1025</v>
      </c>
      <c r="C15" s="326"/>
      <c r="D15" s="326"/>
      <c r="E15" s="326"/>
      <c r="F15" s="326"/>
    </row>
    <row r="16" spans="1:6">
      <c r="A16" s="1312" t="s">
        <v>6</v>
      </c>
      <c r="B16" s="1313">
        <v>2183</v>
      </c>
      <c r="C16" s="326"/>
      <c r="D16" s="326"/>
      <c r="E16" s="326"/>
      <c r="F16" s="326"/>
    </row>
    <row r="17" spans="1:6">
      <c r="A17" s="1312" t="s">
        <v>7</v>
      </c>
      <c r="B17" s="1313">
        <v>425</v>
      </c>
      <c r="C17" s="326"/>
      <c r="D17" s="326"/>
      <c r="E17" s="326"/>
      <c r="F17" s="326"/>
    </row>
    <row r="18" spans="1:6">
      <c r="A18" s="1312" t="s">
        <v>8</v>
      </c>
      <c r="B18" s="1313">
        <v>1372</v>
      </c>
      <c r="C18" s="326"/>
      <c r="D18" s="326"/>
      <c r="E18" s="326"/>
      <c r="F18" s="326"/>
    </row>
    <row r="19" spans="1:6">
      <c r="A19" s="1312" t="s">
        <v>9</v>
      </c>
      <c r="B19" s="1313">
        <v>1250</v>
      </c>
      <c r="C19" s="326"/>
      <c r="D19" s="326"/>
      <c r="E19" s="326"/>
      <c r="F19" s="326"/>
    </row>
    <row r="20" spans="1:6">
      <c r="A20" s="1312" t="s">
        <v>10</v>
      </c>
      <c r="B20" s="1313">
        <v>913</v>
      </c>
      <c r="C20" s="326"/>
      <c r="D20" s="326"/>
      <c r="E20" s="326"/>
      <c r="F20" s="326"/>
    </row>
    <row r="21" spans="1:6">
      <c r="A21" s="1312" t="s">
        <v>11</v>
      </c>
      <c r="B21" s="1313">
        <v>1101</v>
      </c>
      <c r="C21" s="326"/>
      <c r="D21" s="326"/>
      <c r="E21" s="326"/>
      <c r="F21" s="326"/>
    </row>
    <row r="22" spans="1:6">
      <c r="A22" s="1312" t="s">
        <v>12</v>
      </c>
      <c r="B22" s="1313">
        <v>7407</v>
      </c>
      <c r="C22" s="326"/>
      <c r="D22" s="326"/>
      <c r="E22" s="326"/>
      <c r="F22" s="326"/>
    </row>
    <row r="23" spans="1:6">
      <c r="A23" s="1312" t="s">
        <v>13</v>
      </c>
      <c r="B23" s="1313">
        <v>121</v>
      </c>
      <c r="C23" s="326"/>
      <c r="D23" s="326"/>
      <c r="E23" s="326"/>
      <c r="F23" s="326"/>
    </row>
    <row r="24" spans="1:6">
      <c r="A24" s="1312" t="s">
        <v>14</v>
      </c>
      <c r="B24" s="1313">
        <v>5</v>
      </c>
      <c r="C24" s="326"/>
      <c r="D24" s="326"/>
      <c r="E24" s="326"/>
      <c r="F24" s="326"/>
    </row>
    <row r="25" spans="1:6">
      <c r="A25" s="1312" t="s">
        <v>15</v>
      </c>
      <c r="B25" s="1313">
        <v>460</v>
      </c>
      <c r="C25" s="326"/>
      <c r="D25" s="326"/>
      <c r="E25" s="326"/>
      <c r="F25" s="326"/>
    </row>
    <row r="26" spans="1:6">
      <c r="A26" s="1312" t="s">
        <v>16</v>
      </c>
      <c r="B26" s="1313">
        <v>308</v>
      </c>
      <c r="C26" s="326"/>
      <c r="D26" s="326"/>
      <c r="E26" s="326"/>
      <c r="F26" s="326"/>
    </row>
    <row r="27" spans="1:6">
      <c r="A27" s="1312" t="s">
        <v>17</v>
      </c>
      <c r="B27" s="1313">
        <v>33</v>
      </c>
      <c r="C27" s="326"/>
      <c r="D27" s="326"/>
      <c r="E27" s="326"/>
      <c r="F27" s="326"/>
    </row>
    <row r="28" spans="1:6" s="43" customFormat="1">
      <c r="A28" s="1314" t="s">
        <v>18</v>
      </c>
      <c r="B28" s="1315">
        <v>179518</v>
      </c>
      <c r="C28" s="332"/>
      <c r="D28" s="332"/>
      <c r="E28" s="332"/>
      <c r="F28" s="332"/>
    </row>
    <row r="29" spans="1:6">
      <c r="A29" s="1314" t="s">
        <v>684</v>
      </c>
      <c r="B29" s="1315">
        <v>269</v>
      </c>
      <c r="C29" s="332"/>
      <c r="D29" s="332"/>
      <c r="E29" s="332"/>
      <c r="F29" s="332"/>
    </row>
    <row r="30" spans="1:6">
      <c r="A30" s="1307" t="s">
        <v>685</v>
      </c>
      <c r="B30" s="1316">
        <v>63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18880.506923090001</v>
      </c>
    </row>
    <row r="37" spans="1:6">
      <c r="A37" s="1312" t="s">
        <v>24</v>
      </c>
      <c r="B37" s="1312" t="s">
        <v>27</v>
      </c>
      <c r="C37" s="1313">
        <v>0</v>
      </c>
      <c r="D37" s="1313">
        <v>0</v>
      </c>
      <c r="E37" s="1313">
        <v>0</v>
      </c>
      <c r="F37" s="1313">
        <v>0</v>
      </c>
    </row>
    <row r="38" spans="1:6">
      <c r="A38" s="1312" t="s">
        <v>24</v>
      </c>
      <c r="B38" s="1312" t="s">
        <v>28</v>
      </c>
      <c r="C38" s="1313">
        <v>1</v>
      </c>
      <c r="D38" s="1313">
        <v>72614.520042666001</v>
      </c>
      <c r="E38" s="1313">
        <v>1</v>
      </c>
      <c r="F38" s="1313">
        <v>8536.8073836568001</v>
      </c>
    </row>
    <row r="39" spans="1:6">
      <c r="A39" s="1312" t="s">
        <v>29</v>
      </c>
      <c r="B39" s="1312" t="s">
        <v>30</v>
      </c>
      <c r="C39" s="1313">
        <v>4730</v>
      </c>
      <c r="D39" s="1313">
        <v>78012492.978678301</v>
      </c>
      <c r="E39" s="1313">
        <v>6094</v>
      </c>
      <c r="F39" s="1313">
        <v>21887329.350255899</v>
      </c>
    </row>
    <row r="40" spans="1:6">
      <c r="A40" s="1312" t="s">
        <v>29</v>
      </c>
      <c r="B40" s="1312" t="s">
        <v>28</v>
      </c>
      <c r="C40" s="1313">
        <v>0</v>
      </c>
      <c r="D40" s="1313">
        <v>0</v>
      </c>
      <c r="E40" s="1313">
        <v>0</v>
      </c>
      <c r="F40" s="1313">
        <v>0</v>
      </c>
    </row>
    <row r="41" spans="1:6">
      <c r="A41" s="1312" t="s">
        <v>31</v>
      </c>
      <c r="B41" s="1312" t="s">
        <v>32</v>
      </c>
      <c r="C41" s="1313">
        <v>86</v>
      </c>
      <c r="D41" s="1313">
        <v>2429333.7481189598</v>
      </c>
      <c r="E41" s="1313">
        <v>183</v>
      </c>
      <c r="F41" s="1313">
        <v>7352248.96658222</v>
      </c>
    </row>
    <row r="42" spans="1:6">
      <c r="A42" s="1312" t="s">
        <v>31</v>
      </c>
      <c r="B42" s="1312" t="s">
        <v>33</v>
      </c>
      <c r="C42" s="1313">
        <v>0</v>
      </c>
      <c r="D42" s="1313">
        <v>0</v>
      </c>
      <c r="E42" s="1313">
        <v>5</v>
      </c>
      <c r="F42" s="1313">
        <v>1365652.2448170499</v>
      </c>
    </row>
    <row r="43" spans="1:6">
      <c r="A43" s="1312" t="s">
        <v>31</v>
      </c>
      <c r="B43" s="1312" t="s">
        <v>34</v>
      </c>
      <c r="C43" s="1313">
        <v>0</v>
      </c>
      <c r="D43" s="1313">
        <v>0</v>
      </c>
      <c r="E43" s="1313">
        <v>0</v>
      </c>
      <c r="F43" s="1313">
        <v>0</v>
      </c>
    </row>
    <row r="44" spans="1:6">
      <c r="A44" s="1312" t="s">
        <v>31</v>
      </c>
      <c r="B44" s="1312" t="s">
        <v>35</v>
      </c>
      <c r="C44" s="1313">
        <v>17</v>
      </c>
      <c r="D44" s="1313">
        <v>4811689.5218780302</v>
      </c>
      <c r="E44" s="1313">
        <v>30</v>
      </c>
      <c r="F44" s="1313">
        <v>14907381.8841515</v>
      </c>
    </row>
    <row r="45" spans="1:6">
      <c r="A45" s="1312" t="s">
        <v>31</v>
      </c>
      <c r="B45" s="1312" t="s">
        <v>36</v>
      </c>
      <c r="C45" s="1313">
        <v>3</v>
      </c>
      <c r="D45" s="1313">
        <v>29141909.671882499</v>
      </c>
      <c r="E45" s="1313">
        <v>6</v>
      </c>
      <c r="F45" s="1313">
        <v>4619342.3574210396</v>
      </c>
    </row>
    <row r="46" spans="1:6">
      <c r="A46" s="1312" t="s">
        <v>31</v>
      </c>
      <c r="B46" s="1312" t="s">
        <v>37</v>
      </c>
      <c r="C46" s="1313">
        <v>0</v>
      </c>
      <c r="D46" s="1313">
        <v>0</v>
      </c>
      <c r="E46" s="1313">
        <v>0</v>
      </c>
      <c r="F46" s="1313">
        <v>0</v>
      </c>
    </row>
    <row r="47" spans="1:6">
      <c r="A47" s="1312" t="s">
        <v>31</v>
      </c>
      <c r="B47" s="1312" t="s">
        <v>38</v>
      </c>
      <c r="C47" s="1313">
        <v>7</v>
      </c>
      <c r="D47" s="1313">
        <v>181916.472493601</v>
      </c>
      <c r="E47" s="1313">
        <v>9</v>
      </c>
      <c r="F47" s="1313">
        <v>302134.82391720801</v>
      </c>
    </row>
    <row r="48" spans="1:6">
      <c r="A48" s="1312" t="s">
        <v>31</v>
      </c>
      <c r="B48" s="1312" t="s">
        <v>28</v>
      </c>
      <c r="C48" s="1313">
        <v>2</v>
      </c>
      <c r="D48" s="1313">
        <v>208852.01062906499</v>
      </c>
      <c r="E48" s="1313">
        <v>1</v>
      </c>
      <c r="F48" s="1313">
        <v>94896.945798949993</v>
      </c>
    </row>
    <row r="49" spans="1:6">
      <c r="A49" s="1312" t="s">
        <v>31</v>
      </c>
      <c r="B49" s="1312" t="s">
        <v>39</v>
      </c>
      <c r="C49" s="1313">
        <v>0</v>
      </c>
      <c r="D49" s="1313">
        <v>0</v>
      </c>
      <c r="E49" s="1313">
        <v>3</v>
      </c>
      <c r="F49" s="1313">
        <v>30058.662192301301</v>
      </c>
    </row>
    <row r="50" spans="1:6">
      <c r="A50" s="1312" t="s">
        <v>31</v>
      </c>
      <c r="B50" s="1312" t="s">
        <v>40</v>
      </c>
      <c r="C50" s="1313">
        <v>17</v>
      </c>
      <c r="D50" s="1313">
        <v>8857233.9027523305</v>
      </c>
      <c r="E50" s="1313">
        <v>17</v>
      </c>
      <c r="F50" s="1313">
        <v>16575989.422607601</v>
      </c>
    </row>
    <row r="51" spans="1:6">
      <c r="A51" s="1312" t="s">
        <v>41</v>
      </c>
      <c r="B51" s="1312" t="s">
        <v>42</v>
      </c>
      <c r="C51" s="1313">
        <v>7</v>
      </c>
      <c r="D51" s="1313">
        <v>4588705.6226582099</v>
      </c>
      <c r="E51" s="1313">
        <v>79</v>
      </c>
      <c r="F51" s="1313">
        <v>1446071.82546699</v>
      </c>
    </row>
    <row r="52" spans="1:6">
      <c r="A52" s="1312" t="s">
        <v>41</v>
      </c>
      <c r="B52" s="1312" t="s">
        <v>28</v>
      </c>
      <c r="C52" s="1313">
        <v>0</v>
      </c>
      <c r="D52" s="1313">
        <v>0</v>
      </c>
      <c r="E52" s="1313">
        <v>0</v>
      </c>
      <c r="F52" s="1313">
        <v>0</v>
      </c>
    </row>
    <row r="53" spans="1:6">
      <c r="A53" s="1312" t="s">
        <v>43</v>
      </c>
      <c r="B53" s="1312" t="s">
        <v>44</v>
      </c>
      <c r="C53" s="1313">
        <v>84</v>
      </c>
      <c r="D53" s="1313">
        <v>3438891.3807005901</v>
      </c>
      <c r="E53" s="1313">
        <v>198</v>
      </c>
      <c r="F53" s="1313">
        <v>599933.817764682</v>
      </c>
    </row>
    <row r="54" spans="1:6">
      <c r="A54" s="1312" t="s">
        <v>45</v>
      </c>
      <c r="B54" s="1312" t="s">
        <v>46</v>
      </c>
      <c r="C54" s="1313">
        <v>0</v>
      </c>
      <c r="D54" s="1313">
        <v>0</v>
      </c>
      <c r="E54" s="1313">
        <v>1</v>
      </c>
      <c r="F54" s="1313">
        <v>517981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53</v>
      </c>
      <c r="D57" s="1313">
        <v>2498111.6559795402</v>
      </c>
      <c r="E57" s="1313">
        <v>104</v>
      </c>
      <c r="F57" s="1313">
        <v>2616559.2570084198</v>
      </c>
    </row>
    <row r="58" spans="1:6">
      <c r="A58" s="1312" t="s">
        <v>48</v>
      </c>
      <c r="B58" s="1312" t="s">
        <v>50</v>
      </c>
      <c r="C58" s="1313">
        <v>46</v>
      </c>
      <c r="D58" s="1313">
        <v>13494387.925674999</v>
      </c>
      <c r="E58" s="1313">
        <v>55</v>
      </c>
      <c r="F58" s="1313">
        <v>1850768.9854486899</v>
      </c>
    </row>
    <row r="59" spans="1:6">
      <c r="A59" s="1312" t="s">
        <v>48</v>
      </c>
      <c r="B59" s="1312" t="s">
        <v>51</v>
      </c>
      <c r="C59" s="1313">
        <v>116</v>
      </c>
      <c r="D59" s="1313">
        <v>5816164.9418461602</v>
      </c>
      <c r="E59" s="1313">
        <v>212</v>
      </c>
      <c r="F59" s="1313">
        <v>6015157.1863775803</v>
      </c>
    </row>
    <row r="60" spans="1:6">
      <c r="A60" s="1312" t="s">
        <v>48</v>
      </c>
      <c r="B60" s="1312" t="s">
        <v>52</v>
      </c>
      <c r="C60" s="1313">
        <v>75</v>
      </c>
      <c r="D60" s="1313">
        <v>8217316.61864183</v>
      </c>
      <c r="E60" s="1313">
        <v>89</v>
      </c>
      <c r="F60" s="1313">
        <v>3527390.3894752502</v>
      </c>
    </row>
    <row r="61" spans="1:6">
      <c r="A61" s="1312" t="s">
        <v>48</v>
      </c>
      <c r="B61" s="1312" t="s">
        <v>53</v>
      </c>
      <c r="C61" s="1313">
        <v>223</v>
      </c>
      <c r="D61" s="1313">
        <v>8981801.8218683098</v>
      </c>
      <c r="E61" s="1313">
        <v>380</v>
      </c>
      <c r="F61" s="1313">
        <v>5096859.7595041404</v>
      </c>
    </row>
    <row r="62" spans="1:6">
      <c r="A62" s="1312" t="s">
        <v>48</v>
      </c>
      <c r="B62" s="1312" t="s">
        <v>54</v>
      </c>
      <c r="C62" s="1313">
        <v>21</v>
      </c>
      <c r="D62" s="1313">
        <v>3340964.9204680799</v>
      </c>
      <c r="E62" s="1313">
        <v>24</v>
      </c>
      <c r="F62" s="1313">
        <v>1025118.35811028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11</v>
      </c>
      <c r="F66" s="1313">
        <v>238622.264863633</v>
      </c>
    </row>
    <row r="67" spans="1:6">
      <c r="A67" s="1314" t="s">
        <v>55</v>
      </c>
      <c r="B67" s="1314" t="s">
        <v>58</v>
      </c>
      <c r="C67" s="1313">
        <v>0</v>
      </c>
      <c r="D67" s="1313">
        <v>0</v>
      </c>
      <c r="E67" s="1313">
        <v>0</v>
      </c>
      <c r="F67" s="1313">
        <v>0</v>
      </c>
    </row>
    <row r="68" spans="1:6">
      <c r="A68" s="1307" t="s">
        <v>55</v>
      </c>
      <c r="B68" s="1307" t="s">
        <v>59</v>
      </c>
      <c r="C68" s="1316">
        <v>10</v>
      </c>
      <c r="D68" s="1316">
        <v>611597.035281947</v>
      </c>
      <c r="E68" s="1316">
        <v>18</v>
      </c>
      <c r="F68" s="1316">
        <v>334105.88427944802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91330183</v>
      </c>
      <c r="E73" s="447"/>
      <c r="F73" s="326"/>
    </row>
    <row r="74" spans="1:6">
      <c r="A74" s="1312" t="s">
        <v>63</v>
      </c>
      <c r="B74" s="1312" t="s">
        <v>638</v>
      </c>
      <c r="C74" s="1326" t="s">
        <v>640</v>
      </c>
      <c r="D74" s="1327">
        <v>8198462.3602415286</v>
      </c>
      <c r="E74" s="447"/>
      <c r="F74" s="326"/>
    </row>
    <row r="75" spans="1:6">
      <c r="A75" s="1312" t="s">
        <v>64</v>
      </c>
      <c r="B75" s="1312" t="s">
        <v>637</v>
      </c>
      <c r="C75" s="1326" t="s">
        <v>641</v>
      </c>
      <c r="D75" s="1327">
        <v>10934010</v>
      </c>
      <c r="E75" s="447"/>
      <c r="F75" s="326"/>
    </row>
    <row r="76" spans="1:6">
      <c r="A76" s="1312" t="s">
        <v>64</v>
      </c>
      <c r="B76" s="1312" t="s">
        <v>638</v>
      </c>
      <c r="C76" s="1326" t="s">
        <v>642</v>
      </c>
      <c r="D76" s="1327">
        <v>226049.36024152901</v>
      </c>
      <c r="E76" s="447"/>
      <c r="F76" s="326"/>
    </row>
    <row r="77" spans="1:6">
      <c r="A77" s="1312" t="s">
        <v>65</v>
      </c>
      <c r="B77" s="1312" t="s">
        <v>637</v>
      </c>
      <c r="C77" s="1326" t="s">
        <v>643</v>
      </c>
      <c r="D77" s="1327">
        <v>5492039</v>
      </c>
      <c r="E77" s="447"/>
      <c r="F77" s="326"/>
    </row>
    <row r="78" spans="1:6">
      <c r="A78" s="1307" t="s">
        <v>65</v>
      </c>
      <c r="B78" s="1307" t="s">
        <v>638</v>
      </c>
      <c r="C78" s="1307" t="s">
        <v>644</v>
      </c>
      <c r="D78" s="1328">
        <v>1309526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736379.27951694198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5144.533902400126</v>
      </c>
      <c r="C91" s="326"/>
      <c r="D91" s="326"/>
      <c r="E91" s="326"/>
      <c r="F91" s="326"/>
    </row>
    <row r="92" spans="1:6">
      <c r="A92" s="1307" t="s">
        <v>68</v>
      </c>
      <c r="B92" s="1308">
        <v>6133.0972492138626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3064</v>
      </c>
      <c r="C97" s="326"/>
      <c r="D97" s="326"/>
      <c r="E97" s="326"/>
      <c r="F97" s="326"/>
    </row>
    <row r="98" spans="1:6">
      <c r="A98" s="1312" t="s">
        <v>71</v>
      </c>
      <c r="B98" s="1313">
        <v>2</v>
      </c>
      <c r="C98" s="326"/>
      <c r="D98" s="326"/>
      <c r="E98" s="326"/>
      <c r="F98" s="326"/>
    </row>
    <row r="99" spans="1:6">
      <c r="A99" s="1312" t="s">
        <v>72</v>
      </c>
      <c r="B99" s="1313">
        <v>56</v>
      </c>
      <c r="C99" s="326"/>
      <c r="D99" s="326"/>
      <c r="E99" s="326"/>
      <c r="F99" s="326"/>
    </row>
    <row r="100" spans="1:6">
      <c r="A100" s="1312" t="s">
        <v>73</v>
      </c>
      <c r="B100" s="1313">
        <v>513</v>
      </c>
      <c r="C100" s="326"/>
      <c r="D100" s="326"/>
      <c r="E100" s="326"/>
      <c r="F100" s="326"/>
    </row>
    <row r="101" spans="1:6">
      <c r="A101" s="1312" t="s">
        <v>74</v>
      </c>
      <c r="B101" s="1313">
        <v>115</v>
      </c>
      <c r="C101" s="326"/>
      <c r="D101" s="326"/>
      <c r="E101" s="326"/>
      <c r="F101" s="326"/>
    </row>
    <row r="102" spans="1:6">
      <c r="A102" s="1312" t="s">
        <v>75</v>
      </c>
      <c r="B102" s="1313">
        <v>55</v>
      </c>
      <c r="C102" s="326"/>
      <c r="D102" s="326"/>
      <c r="E102" s="326"/>
      <c r="F102" s="326"/>
    </row>
    <row r="103" spans="1:6">
      <c r="A103" s="1312" t="s">
        <v>76</v>
      </c>
      <c r="B103" s="1313">
        <v>102</v>
      </c>
      <c r="C103" s="326"/>
      <c r="D103" s="326"/>
      <c r="E103" s="326"/>
      <c r="F103" s="326"/>
    </row>
    <row r="104" spans="1:6">
      <c r="A104" s="1312" t="s">
        <v>77</v>
      </c>
      <c r="B104" s="1313">
        <v>1072</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78</v>
      </c>
      <c r="C123" s="1313">
        <v>31</v>
      </c>
      <c r="D123" s="326"/>
      <c r="E123" s="326"/>
      <c r="F123" s="326"/>
    </row>
    <row r="124" spans="1:6" s="43" customFormat="1">
      <c r="A124" s="1314" t="s">
        <v>88</v>
      </c>
      <c r="B124" s="1335">
        <v>3</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123</v>
      </c>
      <c r="C129" s="326"/>
      <c r="D129" s="326"/>
      <c r="E129" s="326"/>
      <c r="F129" s="326"/>
    </row>
    <row r="130" spans="1:6">
      <c r="A130" s="1312" t="s">
        <v>290</v>
      </c>
      <c r="B130" s="1313">
        <v>4</v>
      </c>
      <c r="C130" s="326"/>
      <c r="D130" s="326"/>
      <c r="E130" s="326"/>
      <c r="F130" s="326"/>
    </row>
    <row r="131" spans="1:6">
      <c r="A131" s="1312" t="s">
        <v>291</v>
      </c>
      <c r="B131" s="1313">
        <v>3</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100322.15978040345</v>
      </c>
      <c r="C3" s="43" t="s">
        <v>169</v>
      </c>
      <c r="D3" s="43"/>
      <c r="E3" s="154"/>
      <c r="F3" s="43"/>
      <c r="G3" s="43"/>
      <c r="H3" s="43"/>
      <c r="I3" s="43"/>
      <c r="J3" s="43"/>
      <c r="K3" s="96"/>
    </row>
    <row r="4" spans="1:11">
      <c r="A4" s="354" t="s">
        <v>170</v>
      </c>
      <c r="B4" s="49">
        <f>IF(ISERROR('SEAP template'!B78+'SEAP template'!C78),0,'SEAP template'!B78+'SEAP template'!C78)</f>
        <v>33710.13115161399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0.14673984650236835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7270.7142857142862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517.98099999999999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517.98099999999999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0.14673984650236835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76.008452431143255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21887.329350255899</v>
      </c>
      <c r="C5" s="17">
        <f>IF(ISERROR('Eigen informatie GS &amp; warmtenet'!B59),0,'Eigen informatie GS &amp; warmtenet'!B59)</f>
        <v>0</v>
      </c>
      <c r="D5" s="30">
        <f>(SUM(HH_hh_gas_kWh,HH_rest_gas_kWh)/1000)*0.903</f>
        <v>70445.281159746504</v>
      </c>
      <c r="E5" s="17">
        <f>B32*B41</f>
        <v>1096.5656266565281</v>
      </c>
      <c r="F5" s="17">
        <f>B36*B45</f>
        <v>24022.030341854563</v>
      </c>
      <c r="G5" s="18"/>
      <c r="H5" s="17"/>
      <c r="I5" s="17"/>
      <c r="J5" s="17">
        <f>B35*B44+C35*C44</f>
        <v>136.90417829796837</v>
      </c>
      <c r="K5" s="17"/>
      <c r="L5" s="17"/>
      <c r="M5" s="17"/>
      <c r="N5" s="17">
        <f>B34*B43+C34*C43</f>
        <v>8067.9153548797776</v>
      </c>
      <c r="O5" s="17">
        <f>B52*B53*B54</f>
        <v>305.52956578560287</v>
      </c>
      <c r="P5" s="17">
        <f>B60*B61*B62/1000-B60*B61*B62/1000/B63</f>
        <v>1127.1336459222975</v>
      </c>
    </row>
    <row r="6" spans="1:16">
      <c r="A6" s="16" t="s">
        <v>603</v>
      </c>
      <c r="B6" s="780">
        <f>kWh_PV_kleiner_dan_10kW</f>
        <v>5144.533902400126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27031.863252656025</v>
      </c>
      <c r="C8" s="21">
        <f>C5</f>
        <v>0</v>
      </c>
      <c r="D8" s="21">
        <f>D5</f>
        <v>70445.281159746504</v>
      </c>
      <c r="E8" s="21">
        <f>E5</f>
        <v>1096.5656266565281</v>
      </c>
      <c r="F8" s="21">
        <f>F5</f>
        <v>24022.030341854563</v>
      </c>
      <c r="G8" s="21"/>
      <c r="H8" s="21"/>
      <c r="I8" s="21"/>
      <c r="J8" s="21">
        <f>J5</f>
        <v>136.90417829796837</v>
      </c>
      <c r="K8" s="21"/>
      <c r="L8" s="21">
        <f>L5</f>
        <v>0</v>
      </c>
      <c r="M8" s="21">
        <f>M5</f>
        <v>0</v>
      </c>
      <c r="N8" s="21">
        <f>N5</f>
        <v>8067.9153548797776</v>
      </c>
      <c r="O8" s="21">
        <f>O5</f>
        <v>305.52956578560287</v>
      </c>
      <c r="P8" s="21">
        <f>P5</f>
        <v>1127.1336459222975</v>
      </c>
    </row>
    <row r="9" spans="1:16">
      <c r="B9" s="19"/>
      <c r="C9" s="19"/>
      <c r="D9" s="254"/>
      <c r="E9" s="19"/>
      <c r="F9" s="19"/>
      <c r="G9" s="19"/>
      <c r="H9" s="19"/>
      <c r="I9" s="19"/>
      <c r="J9" s="19"/>
      <c r="K9" s="19"/>
      <c r="L9" s="19"/>
      <c r="M9" s="19"/>
      <c r="N9" s="19"/>
      <c r="O9" s="19"/>
      <c r="P9" s="19"/>
    </row>
    <row r="10" spans="1:16">
      <c r="A10" s="24" t="s">
        <v>213</v>
      </c>
      <c r="B10" s="25">
        <f ca="1">'EF ele_warmte'!B12</f>
        <v>0.14673984650236835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3966.6514643677565</v>
      </c>
      <c r="C12" s="23">
        <f ca="1">C10*C8</f>
        <v>0</v>
      </c>
      <c r="D12" s="23">
        <f>D8*D10</f>
        <v>14229.946794268795</v>
      </c>
      <c r="E12" s="23">
        <f>E10*E8</f>
        <v>248.92039725103189</v>
      </c>
      <c r="F12" s="23">
        <f>F10*F8</f>
        <v>6413.8821012751687</v>
      </c>
      <c r="G12" s="23"/>
      <c r="H12" s="23"/>
      <c r="I12" s="23"/>
      <c r="J12" s="23">
        <f>J10*J8</f>
        <v>48.4640791174808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6328</v>
      </c>
      <c r="C26" s="36"/>
      <c r="D26" s="225"/>
    </row>
    <row r="27" spans="1:5" s="15" customFormat="1">
      <c r="A27" s="227" t="s">
        <v>866</v>
      </c>
      <c r="B27" s="37">
        <f>SUM(HH_hh_gas_aantal,HH_rest_gas_aantal)</f>
        <v>4730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4493.5</v>
      </c>
      <c r="C31" s="34" t="s">
        <v>110</v>
      </c>
      <c r="D31" s="171"/>
    </row>
    <row r="32" spans="1:5">
      <c r="A32" s="168" t="s">
        <v>72</v>
      </c>
      <c r="B32" s="33">
        <f>IF((B21*($B$26-($B$27-0.05*$B$27)-$B$60))&lt;0,0,(B21*($B$26-($B$27-0.05*$B$27)-$B$60)))</f>
        <v>27.424405743772191</v>
      </c>
      <c r="C32" s="34" t="s">
        <v>110</v>
      </c>
      <c r="D32" s="171"/>
    </row>
    <row r="33" spans="1:6">
      <c r="A33" s="168" t="s">
        <v>73</v>
      </c>
      <c r="B33" s="33">
        <f>IF((B22*($B$26-($B$27-0.05*$B$27)-$B$60))&lt;0,0,B22*($B$26-($B$27-0.05*$B$27)-$B$60))</f>
        <v>445.31803464713352</v>
      </c>
      <c r="C33" s="34" t="s">
        <v>110</v>
      </c>
      <c r="D33" s="171"/>
    </row>
    <row r="34" spans="1:6">
      <c r="A34" s="168" t="s">
        <v>74</v>
      </c>
      <c r="B34" s="33">
        <f>IF((B24*($B$26-($B$27-0.05*$B$27)-$B$60))&lt;0,0,B24*($B$26-($B$27-0.05*$B$27)-$B$60))</f>
        <v>85.373426694465422</v>
      </c>
      <c r="C34" s="33">
        <f>B26*C24</f>
        <v>1296.6447870958116</v>
      </c>
      <c r="D34" s="230"/>
    </row>
    <row r="35" spans="1:6">
      <c r="A35" s="168" t="s">
        <v>76</v>
      </c>
      <c r="B35" s="33">
        <f>IF((B19*($B$26-($B$27-0.05*$B$27)-$B$60))&lt;0,0,B19*($B$26-($B$27-0.05*$B$27)-$B$60))</f>
        <v>11.921323795244893</v>
      </c>
      <c r="C35" s="33">
        <f>B35/2</f>
        <v>5.9606618976224466</v>
      </c>
      <c r="D35" s="230"/>
    </row>
    <row r="36" spans="1:6">
      <c r="A36" s="168" t="s">
        <v>77</v>
      </c>
      <c r="B36" s="33">
        <f>IF((B18*($B$26-($B$27-0.05*$B$27)-$B$60))&lt;0,0,B18*($B$26-($B$27-0.05*$B$27)-$B$60))</f>
        <v>1157.4628091193836</v>
      </c>
      <c r="C36" s="34" t="s">
        <v>110</v>
      </c>
      <c r="D36" s="171"/>
    </row>
    <row r="37" spans="1:6">
      <c r="A37" s="168" t="s">
        <v>78</v>
      </c>
      <c r="B37" s="33">
        <f>B60</f>
        <v>107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20131.853935924362</v>
      </c>
      <c r="C5" s="17">
        <f>IF(ISERROR('Eigen informatie GS &amp; warmtenet'!B60),0,'Eigen informatie GS &amp; warmtenet'!B60)</f>
        <v>0</v>
      </c>
      <c r="D5" s="30">
        <f>SUM(D6:D12)</f>
        <v>38240.919339684464</v>
      </c>
      <c r="E5" s="17">
        <f>SUM(E6:E12)</f>
        <v>83.219675606878042</v>
      </c>
      <c r="F5" s="17">
        <f>SUM(F6:F12)</f>
        <v>3936.3459894517455</v>
      </c>
      <c r="G5" s="18"/>
      <c r="H5" s="17"/>
      <c r="I5" s="17"/>
      <c r="J5" s="17">
        <f>SUM(J6:J12)</f>
        <v>2.6464330681378618E-2</v>
      </c>
      <c r="K5" s="17"/>
      <c r="L5" s="17"/>
      <c r="M5" s="17"/>
      <c r="N5" s="17">
        <f>SUM(N6:N12)</f>
        <v>1027.4813234446585</v>
      </c>
      <c r="O5" s="17">
        <f>B38*B39*B40</f>
        <v>19.589043063364617</v>
      </c>
      <c r="P5" s="17">
        <f>B46*B47*B48/1000-B46*B47*B48/1000/B49</f>
        <v>210.15655322598008</v>
      </c>
      <c r="R5" s="32"/>
    </row>
    <row r="6" spans="1:18">
      <c r="A6" s="32" t="s">
        <v>53</v>
      </c>
      <c r="B6" s="37">
        <f>B26</f>
        <v>5096.8597595041401</v>
      </c>
      <c r="C6" s="33"/>
      <c r="D6" s="37">
        <f>IF(ISERROR(TER_kantoor_gas_kWh/1000),0,TER_kantoor_gas_kWh/1000)*0.903</f>
        <v>8110.5670451470842</v>
      </c>
      <c r="E6" s="33">
        <f>$C$26*'E Balans VL '!I12/100/3.6*1000000</f>
        <v>1.214431452391062</v>
      </c>
      <c r="F6" s="33">
        <f>$C$26*('E Balans VL '!L12+'E Balans VL '!N12)/100/3.6*1000000</f>
        <v>442.71219971031371</v>
      </c>
      <c r="G6" s="34"/>
      <c r="H6" s="33"/>
      <c r="I6" s="33"/>
      <c r="J6" s="33">
        <f>$C$26*('E Balans VL '!D12+'E Balans VL '!E12)/100/3.6*1000000</f>
        <v>0</v>
      </c>
      <c r="K6" s="33"/>
      <c r="L6" s="33"/>
      <c r="M6" s="33"/>
      <c r="N6" s="33">
        <f>$C$26*'E Balans VL '!Y12/100/3.6*1000000</f>
        <v>6.8126661202721737</v>
      </c>
      <c r="O6" s="33"/>
      <c r="P6" s="33"/>
      <c r="R6" s="32"/>
    </row>
    <row r="7" spans="1:18">
      <c r="A7" s="32" t="s">
        <v>52</v>
      </c>
      <c r="B7" s="37">
        <f t="shared" ref="B7:B12" si="0">B27</f>
        <v>3527.3903894752502</v>
      </c>
      <c r="C7" s="33"/>
      <c r="D7" s="37">
        <f>IF(ISERROR(TER_horeca_gas_kWh/1000),0,TER_horeca_gas_kWh/1000)*0.903</f>
        <v>7420.2369066335723</v>
      </c>
      <c r="E7" s="33">
        <f>$C$27*'E Balans VL '!I9/100/3.6*1000000</f>
        <v>0</v>
      </c>
      <c r="F7" s="33">
        <f>$C$27*('E Balans VL '!L9+'E Balans VL '!N9)/100/3.6*1000000</f>
        <v>287.41848009504145</v>
      </c>
      <c r="G7" s="34"/>
      <c r="H7" s="33"/>
      <c r="I7" s="33"/>
      <c r="J7" s="33">
        <f>$C$27*('E Balans VL '!D9+'E Balans VL '!E9)/100/3.6*1000000</f>
        <v>0</v>
      </c>
      <c r="K7" s="33"/>
      <c r="L7" s="33"/>
      <c r="M7" s="33"/>
      <c r="N7" s="33">
        <f>$C$27*'E Balans VL '!Y9/100/3.6*1000000</f>
        <v>0.97702146722045136</v>
      </c>
      <c r="O7" s="33"/>
      <c r="P7" s="33"/>
      <c r="R7" s="32"/>
    </row>
    <row r="8" spans="1:18">
      <c r="A8" s="6" t="s">
        <v>51</v>
      </c>
      <c r="B8" s="37">
        <f t="shared" si="0"/>
        <v>6015.1571863775807</v>
      </c>
      <c r="C8" s="33"/>
      <c r="D8" s="37">
        <f>IF(ISERROR(TER_handel_gas_kWh/1000),0,TER_handel_gas_kWh/1000)*0.903</f>
        <v>5251.9969424870824</v>
      </c>
      <c r="E8" s="33">
        <f>$C$28*'E Balans VL '!I13/100/3.6*1000000</f>
        <v>48.082848298018924</v>
      </c>
      <c r="F8" s="33">
        <f>$C$28*('E Balans VL '!L13+'E Balans VL '!N13)/100/3.6*1000000</f>
        <v>597.5684740678895</v>
      </c>
      <c r="G8" s="34"/>
      <c r="H8" s="33"/>
      <c r="I8" s="33"/>
      <c r="J8" s="33">
        <f>$C$28*('E Balans VL '!D13+'E Balans VL '!E13)/100/3.6*1000000</f>
        <v>0</v>
      </c>
      <c r="K8" s="33"/>
      <c r="L8" s="33"/>
      <c r="M8" s="33"/>
      <c r="N8" s="33">
        <f>$C$28*'E Balans VL '!Y13/100/3.6*1000000</f>
        <v>2.2470192551005526</v>
      </c>
      <c r="O8" s="33"/>
      <c r="P8" s="33"/>
      <c r="R8" s="32"/>
    </row>
    <row r="9" spans="1:18">
      <c r="A9" s="32" t="s">
        <v>50</v>
      </c>
      <c r="B9" s="37">
        <f t="shared" si="0"/>
        <v>1850.7689854486898</v>
      </c>
      <c r="C9" s="33"/>
      <c r="D9" s="37">
        <f>IF(ISERROR(TER_gezond_gas_kWh/1000),0,TER_gezond_gas_kWh/1000)*0.903</f>
        <v>12185.432296884524</v>
      </c>
      <c r="E9" s="33">
        <f>$C$29*'E Balans VL '!I10/100/3.6*1000000</f>
        <v>0</v>
      </c>
      <c r="F9" s="33">
        <f>$C$29*('E Balans VL '!L10+'E Balans VL '!N10)/100/3.6*1000000</f>
        <v>168.72775259361094</v>
      </c>
      <c r="G9" s="34"/>
      <c r="H9" s="33"/>
      <c r="I9" s="33"/>
      <c r="J9" s="33">
        <f>$C$29*('E Balans VL '!D10+'E Balans VL '!E10)/100/3.6*1000000</f>
        <v>0</v>
      </c>
      <c r="K9" s="33"/>
      <c r="L9" s="33"/>
      <c r="M9" s="33"/>
      <c r="N9" s="33">
        <f>$C$29*'E Balans VL '!Y10/100/3.6*1000000</f>
        <v>13.527462698414967</v>
      </c>
      <c r="O9" s="33"/>
      <c r="P9" s="33"/>
      <c r="R9" s="32"/>
    </row>
    <row r="10" spans="1:18">
      <c r="A10" s="32" t="s">
        <v>49</v>
      </c>
      <c r="B10" s="37">
        <f t="shared" si="0"/>
        <v>2616.55925700842</v>
      </c>
      <c r="C10" s="33"/>
      <c r="D10" s="37">
        <f>IF(ISERROR(TER_ander_gas_kWh/1000),0,TER_ander_gas_kWh/1000)*0.903</f>
        <v>2255.7948253495247</v>
      </c>
      <c r="E10" s="33">
        <f>$C$30*'E Balans VL '!I14/100/3.6*1000000</f>
        <v>33.922395856468057</v>
      </c>
      <c r="F10" s="33">
        <f>$C$30*('E Balans VL '!L14+'E Balans VL '!N14)/100/3.6*1000000</f>
        <v>2399.7522105717717</v>
      </c>
      <c r="G10" s="34"/>
      <c r="H10" s="33"/>
      <c r="I10" s="33"/>
      <c r="J10" s="33">
        <f>$C$30*('E Balans VL '!D14+'E Balans VL '!E14)/100/3.6*1000000</f>
        <v>2.6464330681378618E-2</v>
      </c>
      <c r="K10" s="33"/>
      <c r="L10" s="33"/>
      <c r="M10" s="33"/>
      <c r="N10" s="33">
        <f>$C$30*'E Balans VL '!Y14/100/3.6*1000000</f>
        <v>1000.6888029150708</v>
      </c>
      <c r="O10" s="33"/>
      <c r="P10" s="33"/>
      <c r="R10" s="32"/>
    </row>
    <row r="11" spans="1:18">
      <c r="A11" s="32" t="s">
        <v>54</v>
      </c>
      <c r="B11" s="37">
        <f t="shared" si="0"/>
        <v>1025.11835811028</v>
      </c>
      <c r="C11" s="33"/>
      <c r="D11" s="37">
        <f>IF(ISERROR(TER_onderwijs_gas_kWh/1000),0,TER_onderwijs_gas_kWh/1000)*0.903</f>
        <v>3016.8913231826764</v>
      </c>
      <c r="E11" s="33">
        <f>$C$31*'E Balans VL '!I11/100/3.6*1000000</f>
        <v>0</v>
      </c>
      <c r="F11" s="33">
        <f>$C$31*('E Balans VL '!L11+'E Balans VL '!N11)/100/3.6*1000000</f>
        <v>40.166872413118284</v>
      </c>
      <c r="G11" s="34"/>
      <c r="H11" s="33"/>
      <c r="I11" s="33"/>
      <c r="J11" s="33">
        <f>$C$31*('E Balans VL '!D11+'E Balans VL '!E11)/100/3.6*1000000</f>
        <v>0</v>
      </c>
      <c r="K11" s="33"/>
      <c r="L11" s="33"/>
      <c r="M11" s="33"/>
      <c r="N11" s="33">
        <f>$C$31*'E Balans VL '!Y11/100/3.6*1000000</f>
        <v>3.2283509885794008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5089.5</v>
      </c>
      <c r="C13" s="243">
        <f ca="1">'lokale energieproductie'!O38+'lokale energieproductie'!O31</f>
        <v>7270.7142857142862</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-14541.428571428572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25221.353935924362</v>
      </c>
      <c r="C16" s="21">
        <f t="shared" ca="1" si="1"/>
        <v>7270.7142857142862</v>
      </c>
      <c r="D16" s="21">
        <f t="shared" ca="1" si="1"/>
        <v>38240.919339684464</v>
      </c>
      <c r="E16" s="21">
        <f t="shared" si="1"/>
        <v>83.219675606878042</v>
      </c>
      <c r="F16" s="21">
        <f t="shared" ca="1" si="1"/>
        <v>3936.3459894517455</v>
      </c>
      <c r="G16" s="21">
        <f t="shared" si="1"/>
        <v>0</v>
      </c>
      <c r="H16" s="21">
        <f t="shared" si="1"/>
        <v>0</v>
      </c>
      <c r="I16" s="21">
        <f t="shared" si="1"/>
        <v>0</v>
      </c>
      <c r="J16" s="21">
        <f t="shared" si="1"/>
        <v>2.6464330681378618E-2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0.14673984650236835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3700.9776051394447</v>
      </c>
      <c r="C20" s="23">
        <f t="shared" ref="C20:P20" ca="1" si="2">C16*C18</f>
        <v>0</v>
      </c>
      <c r="D20" s="23">
        <f t="shared" ca="1" si="2"/>
        <v>7724.6657066162625</v>
      </c>
      <c r="E20" s="23">
        <f t="shared" si="2"/>
        <v>18.890866362761315</v>
      </c>
      <c r="F20" s="23">
        <f t="shared" ca="1" si="2"/>
        <v>1051.004379183616</v>
      </c>
      <c r="G20" s="23">
        <f t="shared" si="2"/>
        <v>0</v>
      </c>
      <c r="H20" s="23">
        <f t="shared" si="2"/>
        <v>0</v>
      </c>
      <c r="I20" s="23">
        <f t="shared" si="2"/>
        <v>0</v>
      </c>
      <c r="J20" s="23">
        <f t="shared" si="2"/>
        <v>9.368373061208031E-3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5096.8597595041401</v>
      </c>
      <c r="C26" s="39">
        <f>IF(ISERROR(B26*3.6/1000000/'E Balans VL '!Z12*100),0,B26*3.6/1000000/'E Balans VL '!Z12*100)</f>
        <v>0.1462284268596441</v>
      </c>
      <c r="D26" s="233" t="s">
        <v>841</v>
      </c>
      <c r="F26" s="6"/>
    </row>
    <row r="27" spans="1:18" ht="30">
      <c r="A27" s="228" t="s">
        <v>52</v>
      </c>
      <c r="B27" s="33">
        <f>IF(ISERROR(TER_horeca_ele_kWh/1000),0,TER_horeca_ele_kWh/1000)</f>
        <v>3527.3903894752502</v>
      </c>
      <c r="C27" s="39">
        <f>IF(ISERROR(B27*3.6/1000000/'E Balans VL '!Z9*100),0,B27*3.6/1000000/'E Balans VL '!Z9*100)</f>
        <v>0.25841786875458889</v>
      </c>
      <c r="D27" s="233" t="s">
        <v>841</v>
      </c>
      <c r="F27" s="6"/>
    </row>
    <row r="28" spans="1:18" ht="30">
      <c r="A28" s="168" t="s">
        <v>51</v>
      </c>
      <c r="B28" s="33">
        <f>IF(ISERROR(TER_handel_ele_kWh/1000),0,TER_handel_ele_kWh/1000)</f>
        <v>6015.1571863775807</v>
      </c>
      <c r="C28" s="39">
        <f>IF(ISERROR(B28*3.6/1000000/'E Balans VL '!Z13*100),0,B28*3.6/1000000/'E Balans VL '!Z13*100)</f>
        <v>0.18587343055143654</v>
      </c>
      <c r="D28" s="233" t="s">
        <v>841</v>
      </c>
      <c r="F28" s="6"/>
    </row>
    <row r="29" spans="1:18" ht="30">
      <c r="A29" s="228" t="s">
        <v>50</v>
      </c>
      <c r="B29" s="33">
        <f>IF(ISERROR(TER_gezond_ele_kWh/1000),0,TER_gezond_ele_kWh/1000)</f>
        <v>1850.7689854486898</v>
      </c>
      <c r="C29" s="39">
        <f>IF(ISERROR(B29*3.6/1000000/'E Balans VL '!Z10*100),0,B29*3.6/1000000/'E Balans VL '!Z10*100)</f>
        <v>0.18138674086917619</v>
      </c>
      <c r="D29" s="233" t="s">
        <v>841</v>
      </c>
      <c r="F29" s="6"/>
    </row>
    <row r="30" spans="1:18" ht="30">
      <c r="A30" s="228" t="s">
        <v>49</v>
      </c>
      <c r="B30" s="33">
        <f>IF(ISERROR(TER_ander_ele_kWh/1000),0,TER_ander_ele_kWh/1000)</f>
        <v>2616.55925700842</v>
      </c>
      <c r="C30" s="39">
        <f>IF(ISERROR(B30*3.6/1000000/'E Balans VL '!Z14*100),0,B30*3.6/1000000/'E Balans VL '!Z14*100)</f>
        <v>0.10838633726161892</v>
      </c>
      <c r="D30" s="233" t="s">
        <v>841</v>
      </c>
      <c r="F30" s="6"/>
    </row>
    <row r="31" spans="1:18" ht="30">
      <c r="A31" s="228" t="s">
        <v>54</v>
      </c>
      <c r="B31" s="33">
        <f>IF(ISERROR(TER_onderwijs_ele_kWh/1000),0,TER_onderwijs_ele_kWh/1000)</f>
        <v>1025.11835811028</v>
      </c>
      <c r="C31" s="39">
        <f>IF(ISERROR(B31*3.6/1000000/'E Balans VL '!Z11*100),0,B31*3.6/1000000/'E Balans VL '!Z11*100)</f>
        <v>0.31498770516330493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45247.705307487871</v>
      </c>
      <c r="C5" s="17">
        <f>IF(ISERROR('Eigen informatie GS &amp; warmtenet'!B61),0,'Eigen informatie GS &amp; warmtenet'!B61)</f>
        <v>0</v>
      </c>
      <c r="D5" s="30">
        <f>SUM(D6:D15)</f>
        <v>41204.734600962307</v>
      </c>
      <c r="E5" s="17">
        <f>SUM(E6:E15)</f>
        <v>506.14356996863694</v>
      </c>
      <c r="F5" s="17">
        <f>SUM(F6:F15)</f>
        <v>6766.3070935182577</v>
      </c>
      <c r="G5" s="18"/>
      <c r="H5" s="17"/>
      <c r="I5" s="17"/>
      <c r="J5" s="17">
        <f>SUM(J6:J15)</f>
        <v>178.09637150531725</v>
      </c>
      <c r="K5" s="17"/>
      <c r="L5" s="17"/>
      <c r="M5" s="17"/>
      <c r="N5" s="17">
        <f>SUM(N6:N15)</f>
        <v>3813.479281456157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14907.3818841515</v>
      </c>
      <c r="C8" s="33"/>
      <c r="D8" s="37">
        <f>IF( ISERROR(IND_metaal_Gas_kWH/1000),0,IND_metaal_Gas_kWH/1000)*0.903</f>
        <v>4344.9556382558612</v>
      </c>
      <c r="E8" s="33">
        <f>C30*'E Balans VL '!I18/100/3.6*1000000</f>
        <v>81.262463568102945</v>
      </c>
      <c r="F8" s="33">
        <f>C30*'E Balans VL '!L18/100/3.6*1000000+C30*'E Balans VL '!N18/100/3.6*1000000</f>
        <v>960.03653200545762</v>
      </c>
      <c r="G8" s="34"/>
      <c r="H8" s="33"/>
      <c r="I8" s="33"/>
      <c r="J8" s="40">
        <f>C30*'E Balans VL '!D18/100/3.6*1000000+C30*'E Balans VL '!E18/100/3.6*1000000</f>
        <v>12.210964141829939</v>
      </c>
      <c r="K8" s="33"/>
      <c r="L8" s="33"/>
      <c r="M8" s="33"/>
      <c r="N8" s="33">
        <f>C30*'E Balans VL '!Y18/100/3.6*1000000</f>
        <v>322.06413485539457</v>
      </c>
      <c r="O8" s="33"/>
      <c r="P8" s="33"/>
      <c r="R8" s="32"/>
    </row>
    <row r="9" spans="1:18">
      <c r="A9" s="6" t="s">
        <v>32</v>
      </c>
      <c r="B9" s="37">
        <f t="shared" si="0"/>
        <v>7352.2489665822204</v>
      </c>
      <c r="C9" s="33"/>
      <c r="D9" s="37">
        <f>IF( ISERROR(IND_andere_gas_kWh/1000),0,IND_andere_gas_kWh/1000)*0.903</f>
        <v>2193.6883745514206</v>
      </c>
      <c r="E9" s="33">
        <f>C31*'E Balans VL '!I19/100/3.6*1000000</f>
        <v>23.734311756211607</v>
      </c>
      <c r="F9" s="33">
        <f>C31*'E Balans VL '!L19/100/3.6*1000000+C31*'E Balans VL '!N19/100/3.6*1000000</f>
        <v>4754.0218973980172</v>
      </c>
      <c r="G9" s="34"/>
      <c r="H9" s="33"/>
      <c r="I9" s="33"/>
      <c r="J9" s="40">
        <f>C31*'E Balans VL '!D19/100/3.6*1000000+C31*'E Balans VL '!E19/100/3.6*1000000</f>
        <v>0</v>
      </c>
      <c r="K9" s="33"/>
      <c r="L9" s="33"/>
      <c r="M9" s="33"/>
      <c r="N9" s="33">
        <f>C31*'E Balans VL '!Y19/100/3.6*1000000</f>
        <v>297.09588814723156</v>
      </c>
      <c r="O9" s="33"/>
      <c r="P9" s="33"/>
      <c r="R9" s="32"/>
    </row>
    <row r="10" spans="1:18">
      <c r="A10" s="6" t="s">
        <v>40</v>
      </c>
      <c r="B10" s="37">
        <f t="shared" si="0"/>
        <v>16575.989422607599</v>
      </c>
      <c r="C10" s="33"/>
      <c r="D10" s="37">
        <f>IF( ISERROR(IND_voed_gas_kWh/1000),0,IND_voed_gas_kWh/1000)*0.903</f>
        <v>7998.0822141853541</v>
      </c>
      <c r="E10" s="33">
        <f>C32*'E Balans VL '!I20/100/3.6*1000000</f>
        <v>34.747336166513008</v>
      </c>
      <c r="F10" s="33">
        <f>C32*'E Balans VL '!L20/100/3.6*1000000+C32*'E Balans VL '!N20/100/3.6*1000000</f>
        <v>322.95755853558455</v>
      </c>
      <c r="G10" s="34"/>
      <c r="H10" s="33"/>
      <c r="I10" s="33"/>
      <c r="J10" s="40">
        <f>C32*'E Balans VL '!D20/100/3.6*1000000+C32*'E Balans VL '!E20/100/3.6*1000000</f>
        <v>0</v>
      </c>
      <c r="K10" s="33"/>
      <c r="L10" s="33"/>
      <c r="M10" s="33"/>
      <c r="N10" s="33">
        <f>C32*'E Balans VL '!Y20/100/3.6*1000000</f>
        <v>659.34690385352496</v>
      </c>
      <c r="O10" s="33"/>
      <c r="P10" s="33"/>
      <c r="R10" s="32"/>
    </row>
    <row r="11" spans="1:18">
      <c r="A11" s="6" t="s">
        <v>39</v>
      </c>
      <c r="B11" s="37">
        <f t="shared" si="0"/>
        <v>30.058662192301302</v>
      </c>
      <c r="C11" s="33"/>
      <c r="D11" s="37">
        <f>IF( ISERROR(IND_textiel_gas_kWh/1000),0,IND_textiel_gas_kWh/1000)*0.903</f>
        <v>0</v>
      </c>
      <c r="E11" s="33">
        <f>C33*'E Balans VL '!I21/100/3.6*1000000</f>
        <v>2.5828504844189595E-2</v>
      </c>
      <c r="F11" s="33">
        <f>C33*'E Balans VL '!L21/100/3.6*1000000+C33*'E Balans VL '!N21/100/3.6*1000000</f>
        <v>0.63021105021042578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4619.3423574210392</v>
      </c>
      <c r="C12" s="33"/>
      <c r="D12" s="37">
        <f>IF( ISERROR(IND_min_gas_kWh/1000),0,IND_min_gas_kWh/1000)*0.903</f>
        <v>26315.144433709898</v>
      </c>
      <c r="E12" s="33">
        <f>C34*'E Balans VL '!I22/100/3.6*1000000</f>
        <v>75.595809694705693</v>
      </c>
      <c r="F12" s="33">
        <f>C34*'E Balans VL '!L22/100/3.6*1000000+C34*'E Balans VL '!N22/100/3.6*1000000</f>
        <v>705.07021760395901</v>
      </c>
      <c r="G12" s="34"/>
      <c r="H12" s="33"/>
      <c r="I12" s="33"/>
      <c r="J12" s="40">
        <f>C34*'E Balans VL '!D22/100/3.6*1000000+C34*'E Balans VL '!E22/100/3.6*1000000</f>
        <v>165.31039853719011</v>
      </c>
      <c r="K12" s="33"/>
      <c r="L12" s="33"/>
      <c r="M12" s="33"/>
      <c r="N12" s="33">
        <f>C34*'E Balans VL '!Y22/100/3.6*1000000</f>
        <v>2531.4976521583026</v>
      </c>
      <c r="O12" s="33"/>
      <c r="P12" s="33"/>
      <c r="R12" s="32"/>
    </row>
    <row r="13" spans="1:18">
      <c r="A13" s="6" t="s">
        <v>38</v>
      </c>
      <c r="B13" s="37">
        <f t="shared" si="0"/>
        <v>302.134823917208</v>
      </c>
      <c r="C13" s="33"/>
      <c r="D13" s="37">
        <f>IF( ISERROR(IND_papier_gas_kWh/1000),0,IND_papier_gas_kWh/1000)*0.903</f>
        <v>164.2705746617217</v>
      </c>
      <c r="E13" s="33">
        <f>C35*'E Balans VL '!I23/100/3.6*1000000</f>
        <v>0</v>
      </c>
      <c r="F13" s="33">
        <f>C35*'E Balans VL '!L23/100/3.6*1000000+C35*'E Balans VL '!N23/100/3.6*1000000</f>
        <v>4.0471912193642878E-2</v>
      </c>
      <c r="G13" s="34"/>
      <c r="H13" s="33"/>
      <c r="I13" s="33"/>
      <c r="J13" s="40">
        <f>C35*'E Balans VL '!D23/100/3.6*1000000+C35*'E Balans VL '!E23/100/3.6*1000000</f>
        <v>5.9764169194258851E-2</v>
      </c>
      <c r="K13" s="33"/>
      <c r="L13" s="33"/>
      <c r="M13" s="33"/>
      <c r="N13" s="33">
        <f>C35*'E Balans VL '!Y23/100/3.6*1000000</f>
        <v>0</v>
      </c>
      <c r="O13" s="33"/>
      <c r="P13" s="33"/>
      <c r="R13" s="32"/>
    </row>
    <row r="14" spans="1:18">
      <c r="A14" s="6" t="s">
        <v>33</v>
      </c>
      <c r="B14" s="37">
        <f t="shared" si="0"/>
        <v>1365.6522448170499</v>
      </c>
      <c r="C14" s="33"/>
      <c r="D14" s="37">
        <f>IF( ISERROR(IND_chemie_gas_kWh/1000),0,IND_chemie_gas_kWh/1000)*0.903</f>
        <v>0</v>
      </c>
      <c r="E14" s="33">
        <f>C36*'E Balans VL '!I24/100/3.6*1000000</f>
        <v>285.1910009185961</v>
      </c>
      <c r="F14" s="33">
        <f>C36*'E Balans VL '!L24/100/3.6*1000000+C36*'E Balans VL '!N24/100/3.6*1000000</f>
        <v>9.0733409323008036</v>
      </c>
      <c r="G14" s="34"/>
      <c r="H14" s="33"/>
      <c r="I14" s="33"/>
      <c r="J14" s="40">
        <f>C36*'E Balans VL '!D24/100/3.6*1000000+C36*'E Balans VL '!E24/100/3.6*1000000</f>
        <v>0</v>
      </c>
      <c r="K14" s="33"/>
      <c r="L14" s="33"/>
      <c r="M14" s="33"/>
      <c r="N14" s="33">
        <f>C36*'E Balans VL '!Y24/100/3.6*1000000</f>
        <v>0.47654884792837232</v>
      </c>
      <c r="O14" s="33"/>
      <c r="P14" s="33"/>
      <c r="R14" s="32"/>
    </row>
    <row r="15" spans="1:18">
      <c r="A15" s="6" t="s">
        <v>265</v>
      </c>
      <c r="B15" s="37">
        <f t="shared" si="0"/>
        <v>94.89694579895</v>
      </c>
      <c r="C15" s="33"/>
      <c r="D15" s="37">
        <f>IF( ISERROR(IND_rest_gas_kWh/1000),0,IND_rest_gas_kWh/1000)*0.903</f>
        <v>188.59336559804569</v>
      </c>
      <c r="E15" s="33">
        <f>C37*'E Balans VL '!I15/100/3.6*1000000</f>
        <v>5.5868193596634379</v>
      </c>
      <c r="F15" s="33">
        <f>C37*'E Balans VL '!L15/100/3.6*1000000+C37*'E Balans VL '!N15/100/3.6*1000000</f>
        <v>14.476864080535282</v>
      </c>
      <c r="G15" s="34"/>
      <c r="H15" s="33"/>
      <c r="I15" s="33"/>
      <c r="J15" s="40">
        <f>C37*'E Balans VL '!D15/100/3.6*1000000+C37*'E Balans VL '!E15/100/3.6*1000000</f>
        <v>0.51524465710293399</v>
      </c>
      <c r="K15" s="33"/>
      <c r="L15" s="33"/>
      <c r="M15" s="33"/>
      <c r="N15" s="33">
        <f>C37*'E Balans VL '!Y15/100/3.6*1000000</f>
        <v>2.9981535937748864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45247.705307487871</v>
      </c>
      <c r="C18" s="21">
        <f>C5+C16</f>
        <v>0</v>
      </c>
      <c r="D18" s="21">
        <f>MAX((D5+D16),0)</f>
        <v>41204.734600962307</v>
      </c>
      <c r="E18" s="21">
        <f>MAX((E5+E16),0)</f>
        <v>506.14356996863694</v>
      </c>
      <c r="F18" s="21">
        <f>MAX((F5+F16),0)</f>
        <v>6766.3070935182577</v>
      </c>
      <c r="G18" s="21"/>
      <c r="H18" s="21"/>
      <c r="I18" s="21"/>
      <c r="J18" s="21">
        <f>MAX((J5+J16),0)</f>
        <v>178.09637150531725</v>
      </c>
      <c r="K18" s="21"/>
      <c r="L18" s="21">
        <f>MAX((L5+L16),0)</f>
        <v>0</v>
      </c>
      <c r="M18" s="21"/>
      <c r="N18" s="21">
        <f>MAX((N5+N16),0)</f>
        <v>3813.479281456157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0.14673984650236835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6639.6413314051679</v>
      </c>
      <c r="C22" s="23">
        <f ca="1">C18*C20</f>
        <v>0</v>
      </c>
      <c r="D22" s="23">
        <f>D18*D20</f>
        <v>8323.3563893943865</v>
      </c>
      <c r="E22" s="23">
        <f>E18*E20</f>
        <v>114.89459038288059</v>
      </c>
      <c r="F22" s="23">
        <f>F18*F20</f>
        <v>1806.6039939693749</v>
      </c>
      <c r="G22" s="23"/>
      <c r="H22" s="23"/>
      <c r="I22" s="23"/>
      <c r="J22" s="23">
        <f>J18*J20</f>
        <v>63.046115512882302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14907.3818841515</v>
      </c>
      <c r="C30" s="39">
        <f>IF(ISERROR(B30*3.6/1000000/'E Balans VL '!Z18*100),0,B30*3.6/1000000/'E Balans VL '!Z18*100)</f>
        <v>0.89768166041633479</v>
      </c>
      <c r="D30" s="233" t="s">
        <v>841</v>
      </c>
    </row>
    <row r="31" spans="1:18" ht="30">
      <c r="A31" s="6" t="s">
        <v>32</v>
      </c>
      <c r="B31" s="37">
        <f>IF( ISERROR(IND_ander_ele_kWh/1000),0,IND_ander_ele_kWh/1000)</f>
        <v>7352.2489665822204</v>
      </c>
      <c r="C31" s="39">
        <f>IF(ISERROR(B31*3.6/1000000/'E Balans VL '!Z19*100),0,B31*3.6/1000000/'E Balans VL '!Z19*100)</f>
        <v>0.29954584380556193</v>
      </c>
      <c r="D31" s="233" t="s">
        <v>841</v>
      </c>
    </row>
    <row r="32" spans="1:18" ht="30">
      <c r="A32" s="168" t="s">
        <v>40</v>
      </c>
      <c r="B32" s="37">
        <f>IF( ISERROR(IND_voed_ele_kWh/1000),0,IND_voed_ele_kWh/1000)</f>
        <v>16575.989422607599</v>
      </c>
      <c r="C32" s="39">
        <f>IF(ISERROR(B32*3.6/1000000/'E Balans VL '!Z20*100),0,B32*3.6/1000000/'E Balans VL '!Z20*100)</f>
        <v>0.47927856097353683</v>
      </c>
      <c r="D32" s="233" t="s">
        <v>841</v>
      </c>
    </row>
    <row r="33" spans="1:5" ht="30">
      <c r="A33" s="168" t="s">
        <v>39</v>
      </c>
      <c r="B33" s="37">
        <f>IF( ISERROR(IND_textiel_ele_kWh/1000),0,IND_textiel_ele_kWh/1000)</f>
        <v>30.058662192301302</v>
      </c>
      <c r="C33" s="39">
        <f>IF(ISERROR(B33*3.6/1000000/'E Balans VL '!Z21*100),0,B33*3.6/1000000/'E Balans VL '!Z21*100)</f>
        <v>4.9432545156343722E-3</v>
      </c>
      <c r="D33" s="233" t="s">
        <v>841</v>
      </c>
    </row>
    <row r="34" spans="1:5" ht="30">
      <c r="A34" s="168" t="s">
        <v>36</v>
      </c>
      <c r="B34" s="37">
        <f>IF( ISERROR(IND_min_ele_kWh/1000),0,IND_min_ele_kWh/1000)</f>
        <v>4619.3423574210392</v>
      </c>
      <c r="C34" s="39">
        <f>IF(ISERROR(B34*3.6/1000000/'E Balans VL '!Z22*100),0,B34*3.6/1000000/'E Balans VL '!Z22*100)</f>
        <v>1.9724162625410442</v>
      </c>
      <c r="D34" s="233" t="s">
        <v>841</v>
      </c>
    </row>
    <row r="35" spans="1:5" ht="30">
      <c r="A35" s="168" t="s">
        <v>38</v>
      </c>
      <c r="B35" s="37">
        <f>IF( ISERROR(IND_papier_ele_kWh/1000),0,IND_papier_ele_kWh/1000)</f>
        <v>302.134823917208</v>
      </c>
      <c r="C35" s="39">
        <f>IF(ISERROR(B35*3.6/1000000/'E Balans VL '!Z22*100),0,B35*3.6/1000000/'E Balans VL '!Z22*100)</f>
        <v>0.1290087623007411</v>
      </c>
      <c r="D35" s="233" t="s">
        <v>841</v>
      </c>
    </row>
    <row r="36" spans="1:5" ht="30">
      <c r="A36" s="168" t="s">
        <v>33</v>
      </c>
      <c r="B36" s="37">
        <f>IF( ISERROR(IND_chemie_ele_kWh/1000),0,IND_chemie_ele_kWh/1000)</f>
        <v>1365.6522448170499</v>
      </c>
      <c r="C36" s="39">
        <f>IF(ISERROR(B36*3.6/1000000/'E Balans VL '!Z24*100),0,B36*3.6/1000000/'E Balans VL '!Z24*100)</f>
        <v>4.1439030254641303E-2</v>
      </c>
      <c r="D36" s="233" t="s">
        <v>841</v>
      </c>
    </row>
    <row r="37" spans="1:5" ht="30">
      <c r="A37" s="168" t="s">
        <v>265</v>
      </c>
      <c r="B37" s="37">
        <f>IF( ISERROR(IND_rest_ele_kWh/1000),0,IND_rest_ele_kWh/1000)</f>
        <v>94.89694579895</v>
      </c>
      <c r="C37" s="39">
        <f>IF(ISERROR(B37*3.6/1000000/'E Balans VL '!Z15*100),0,B37*3.6/1000000/'E Balans VL '!Z15*100)</f>
        <v>7.7917580200317026E-4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1446.07182546699</v>
      </c>
      <c r="C5" s="17">
        <f>'Eigen informatie GS &amp; warmtenet'!B62</f>
        <v>0</v>
      </c>
      <c r="D5" s="30">
        <f>IF(ISERROR(SUM(LB_lb_gas_kWh,LB_rest_gas_kWh)/1000),0,SUM(LB_lb_gas_kWh,LB_rest_gas_kWh)/1000)*0.903</f>
        <v>4143.6011772603633</v>
      </c>
      <c r="E5" s="17">
        <f>B17*'E Balans VL '!I25/3.6*1000000/100</f>
        <v>41.417944282935615</v>
      </c>
      <c r="F5" s="17">
        <f>B17*('E Balans VL '!L25/3.6*1000000+'E Balans VL '!N25/3.6*1000000)/100</f>
        <v>4577.5164124948569</v>
      </c>
      <c r="G5" s="18"/>
      <c r="H5" s="17"/>
      <c r="I5" s="17"/>
      <c r="J5" s="17">
        <f>('E Balans VL '!D25+'E Balans VL '!E25)/3.6*1000000*landbouw!B17/100</f>
        <v>367.69065510193656</v>
      </c>
      <c r="K5" s="17"/>
      <c r="L5" s="17">
        <f>L6*(-1)</f>
        <v>0</v>
      </c>
      <c r="M5" s="17"/>
      <c r="N5" s="17">
        <f>N6*(-1)</f>
        <v>49551.428571428572</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-49551.428571428572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1446.07182546699</v>
      </c>
      <c r="C8" s="21">
        <f>C5+C6</f>
        <v>0</v>
      </c>
      <c r="D8" s="21">
        <f>MAX((D5+D6),0)</f>
        <v>4143.6011772603633</v>
      </c>
      <c r="E8" s="21">
        <f>MAX((E5+E6),0)</f>
        <v>41.417944282935615</v>
      </c>
      <c r="F8" s="21">
        <f>MAX((F5+F6),0)</f>
        <v>4577.5164124948569</v>
      </c>
      <c r="G8" s="21"/>
      <c r="H8" s="21"/>
      <c r="I8" s="21"/>
      <c r="J8" s="21">
        <f>MAX((J5+J6),0)</f>
        <v>367.69065510193656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0.14673984650236835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212.19635770042572</v>
      </c>
      <c r="C12" s="23">
        <f ca="1">C8*C10</f>
        <v>0</v>
      </c>
      <c r="D12" s="23">
        <f>D8*D10</f>
        <v>837.00743780659343</v>
      </c>
      <c r="E12" s="23">
        <f>E8*E10</f>
        <v>9.4018733522263851</v>
      </c>
      <c r="F12" s="23">
        <f>F8*F10</f>
        <v>1222.1968821361268</v>
      </c>
      <c r="G12" s="23"/>
      <c r="H12" s="23"/>
      <c r="I12" s="23"/>
      <c r="J12" s="23">
        <f>J8*J10</f>
        <v>130.16249190608553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0.20024814296513574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490.671874229803</v>
      </c>
      <c r="C26" s="243">
        <f>B26*'GWP N2O_CH4'!B5</f>
        <v>10304.109358825863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137.90163151453694</v>
      </c>
      <c r="C27" s="243">
        <f>B27*'GWP N2O_CH4'!B5</f>
        <v>2895.934261805276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6.9314016345774228</v>
      </c>
      <c r="C28" s="243">
        <f>B28*'GWP N2O_CH4'!B4</f>
        <v>2148.7345067190013</v>
      </c>
      <c r="D28" s="50"/>
    </row>
    <row r="29" spans="1:4">
      <c r="A29" s="41" t="s">
        <v>272</v>
      </c>
      <c r="B29" s="243">
        <f>B34*'ha_N2O bodem landbouw'!B4</f>
        <v>15.284066257518393</v>
      </c>
      <c r="C29" s="243">
        <f>B29*'GWP N2O_CH4'!B4</f>
        <v>4738.0605398307016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3.4722663105301024E-3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7.8397598920517601E-4</v>
      </c>
      <c r="C5" s="434" t="s">
        <v>210</v>
      </c>
      <c r="D5" s="419">
        <f>SUM(D6:D11)</f>
        <v>1.3507515005202789E-3</v>
      </c>
      <c r="E5" s="419">
        <f>SUM(E6:E11)</f>
        <v>5.3744904004357139E-4</v>
      </c>
      <c r="F5" s="432" t="s">
        <v>210</v>
      </c>
      <c r="G5" s="419">
        <f>SUM(G6:G11)</f>
        <v>0.252316901260008</v>
      </c>
      <c r="H5" s="419">
        <f>SUM(H6:H11)</f>
        <v>6.6301640793617542E-2</v>
      </c>
      <c r="I5" s="434" t="s">
        <v>210</v>
      </c>
      <c r="J5" s="434" t="s">
        <v>210</v>
      </c>
      <c r="K5" s="434" t="s">
        <v>210</v>
      </c>
      <c r="L5" s="434" t="s">
        <v>210</v>
      </c>
      <c r="M5" s="419">
        <f>SUM(M6:M11)</f>
        <v>1.918780828159173E-2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6.4042600348147166E-4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1.0677734811647788E-3</v>
      </c>
      <c r="E6" s="886">
        <f>vkm_GW_PW*SUMIFS(TableVerdeelsleutelVkm[LPG],TableVerdeelsleutelVkm[Voertuigtype],"Lichte voertuigen")*SUMIFS(TableECFTransport[EnergieConsumptieFactor (PJ per km)],TableECFTransport[Index],CONCATENATE($A6,"_LPG_LPG"))</f>
        <v>4.2332875660625697E-4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0.12722092556491238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5.2365480382734961E-2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1.1017096388634065E-2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1.9946718096274137E-6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7.9070047796679643E-2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5.834225027119802E-7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4.5400684256329199E-3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9.5671870538404356E-5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2.1846224088271435E-4</v>
      </c>
      <c r="E8" s="422">
        <f>vkm_NGW_PW*SUMIFS(TableVerdeelsleutelVkm[LPG],TableVerdeelsleutelVkm[Voertuigtype],"Lichte voertuigen")*SUMIFS(TableECFTransport[EnergieConsumptieFactor (PJ per km)],TableECFTransport[Index],CONCATENATE($A8,"_LPG_LPG"))</f>
        <v>8.2929391354262627E-5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2.2828809612468283E-2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1.0613733838369192E-2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2.0632204579473742E-3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5.4997421058453986E-8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2.8074982648983622E-3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1.9416479888621121E-8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1.6120171041053124E-4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4.5509840528206173E-5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6.451577847278572E-5</v>
      </c>
      <c r="E10" s="422">
        <f>vkm_SW_PW*SUMIFS(TableVerdeelsleutelVkm[LPG],TableVerdeelsleutelVkm[Voertuigtype],"Lichte voertuigen")*SUMIFS(TableECFTransport[EnergieConsumptieFactor (PJ per km)],TableECFTransport[Index],CONCATENATE($A10,"_LPG_LPG"))</f>
        <v>3.1190892083051849E-5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8.5041027601925473E-3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3.321727816586701E-3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7.2377441529922703E-4</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3.1860542640793392E-7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1.1885517260856786E-2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9.5916944089275109E-8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6.8244688366761105E-4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217.77110811254889</v>
      </c>
      <c r="C14" s="21"/>
      <c r="D14" s="21">
        <f t="shared" ref="D14:M14" si="0">((D5)*10^9/3600)+D12</f>
        <v>375.2087501445219</v>
      </c>
      <c r="E14" s="21">
        <f t="shared" si="0"/>
        <v>149.29140001210317</v>
      </c>
      <c r="F14" s="21"/>
      <c r="G14" s="21">
        <f t="shared" si="0"/>
        <v>70088.028127779995</v>
      </c>
      <c r="H14" s="21">
        <f t="shared" si="0"/>
        <v>18417.122442671538</v>
      </c>
      <c r="I14" s="21"/>
      <c r="J14" s="21"/>
      <c r="K14" s="21"/>
      <c r="L14" s="21"/>
      <c r="M14" s="21">
        <f t="shared" si="0"/>
        <v>5329.9467448865907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0.14673984650236835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31.955698977086087</v>
      </c>
      <c r="C18" s="23"/>
      <c r="D18" s="23">
        <f t="shared" ref="D18:M18" si="1">D14*D16</f>
        <v>75.792167529193435</v>
      </c>
      <c r="E18" s="23">
        <f t="shared" si="1"/>
        <v>33.889147802747424</v>
      </c>
      <c r="F18" s="23"/>
      <c r="G18" s="23">
        <f t="shared" si="1"/>
        <v>18713.503510117258</v>
      </c>
      <c r="H18" s="23">
        <f t="shared" si="1"/>
        <v>4585.8634882252127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1.4212631876748253E-4</v>
      </c>
      <c r="C50" s="315">
        <f t="shared" ref="C50:P50" si="2">SUM(C51:C52)</f>
        <v>0</v>
      </c>
      <c r="D50" s="315">
        <f t="shared" si="2"/>
        <v>0</v>
      </c>
      <c r="E50" s="315">
        <f t="shared" si="2"/>
        <v>0</v>
      </c>
      <c r="F50" s="315">
        <f t="shared" si="2"/>
        <v>0</v>
      </c>
      <c r="G50" s="315">
        <f t="shared" si="2"/>
        <v>8.8975372327991069E-3</v>
      </c>
      <c r="H50" s="315">
        <f t="shared" si="2"/>
        <v>0</v>
      </c>
      <c r="I50" s="315">
        <f t="shared" si="2"/>
        <v>0</v>
      </c>
      <c r="J50" s="315">
        <f t="shared" si="2"/>
        <v>0</v>
      </c>
      <c r="K50" s="315">
        <f t="shared" si="2"/>
        <v>0</v>
      </c>
      <c r="L50" s="315">
        <f t="shared" si="2"/>
        <v>0</v>
      </c>
      <c r="M50" s="315">
        <f t="shared" si="2"/>
        <v>5.108768866881585E-4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1.4212631876748253E-4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8.8975372327991069E-3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5.108768866881585E-4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39.479532990967371</v>
      </c>
      <c r="C54" s="21">
        <f t="shared" ref="C54:P54" si="3">(C50)*10^9/3600</f>
        <v>0</v>
      </c>
      <c r="D54" s="21">
        <f t="shared" si="3"/>
        <v>0</v>
      </c>
      <c r="E54" s="21">
        <f t="shared" si="3"/>
        <v>0</v>
      </c>
      <c r="F54" s="21">
        <f t="shared" si="3"/>
        <v>0</v>
      </c>
      <c r="G54" s="21">
        <f t="shared" si="3"/>
        <v>2471.5381202219742</v>
      </c>
      <c r="H54" s="21">
        <f t="shared" si="3"/>
        <v>0</v>
      </c>
      <c r="I54" s="21">
        <f t="shared" si="3"/>
        <v>0</v>
      </c>
      <c r="J54" s="21">
        <f t="shared" si="3"/>
        <v>0</v>
      </c>
      <c r="K54" s="21">
        <f t="shared" si="3"/>
        <v>0</v>
      </c>
      <c r="L54" s="21">
        <f t="shared" si="3"/>
        <v>0</v>
      </c>
      <c r="M54" s="21">
        <f t="shared" si="3"/>
        <v>141.91024630226624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0.14673984650236835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5.7932206110797395</v>
      </c>
      <c r="C58" s="23">
        <f t="shared" ref="C58:P58" ca="1" si="4">C54*C56</f>
        <v>0</v>
      </c>
      <c r="D58" s="23">
        <f t="shared" si="4"/>
        <v>0</v>
      </c>
      <c r="E58" s="23">
        <f t="shared" si="4"/>
        <v>0</v>
      </c>
      <c r="F58" s="23">
        <f t="shared" si="4"/>
        <v>0</v>
      </c>
      <c r="G58" s="23">
        <f t="shared" si="4"/>
        <v>659.90067809926711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11277.631151613989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5089.5</v>
      </c>
      <c r="C8" s="545">
        <f>B48</f>
        <v>0</v>
      </c>
      <c r="D8" s="546"/>
      <c r="E8" s="546">
        <f>E48</f>
        <v>0</v>
      </c>
      <c r="F8" s="547"/>
      <c r="G8" s="548"/>
      <c r="H8" s="546">
        <f>I48</f>
        <v>0</v>
      </c>
      <c r="I8" s="546">
        <f>G48+F48</f>
        <v>0</v>
      </c>
      <c r="J8" s="546">
        <f>H48+D48+C48</f>
        <v>5987.6470588235297</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17343</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33710.13115161399</v>
      </c>
      <c r="C10" s="560">
        <f t="shared" ref="C10:L10" si="0">SUM(C8:C9)</f>
        <v>0</v>
      </c>
      <c r="D10" s="560">
        <f t="shared" si="0"/>
        <v>0</v>
      </c>
      <c r="E10" s="560">
        <f t="shared" si="0"/>
        <v>0</v>
      </c>
      <c r="F10" s="560">
        <f t="shared" si="0"/>
        <v>0</v>
      </c>
      <c r="G10" s="560">
        <f t="shared" si="0"/>
        <v>0</v>
      </c>
      <c r="H10" s="560">
        <f t="shared" si="0"/>
        <v>0</v>
      </c>
      <c r="I10" s="560">
        <f t="shared" si="0"/>
        <v>0</v>
      </c>
      <c r="J10" s="560">
        <f t="shared" si="0"/>
        <v>55539.075630252104</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7270.7142857142862</v>
      </c>
      <c r="C17" s="576">
        <f>B49</f>
        <v>0</v>
      </c>
      <c r="D17" s="577"/>
      <c r="E17" s="577">
        <f>E49</f>
        <v>0</v>
      </c>
      <c r="F17" s="578"/>
      <c r="G17" s="579"/>
      <c r="H17" s="576">
        <f>I49</f>
        <v>0</v>
      </c>
      <c r="I17" s="577">
        <f>G49+F49</f>
        <v>0</v>
      </c>
      <c r="J17" s="577">
        <f>H49+D49+C49</f>
        <v>8553.7815126050427</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7270.7142857142862</v>
      </c>
      <c r="C20" s="559">
        <f>SUM(C17:C19)</f>
        <v>0</v>
      </c>
      <c r="D20" s="559">
        <f t="shared" ref="D20:L20" si="1">SUM(D17:D19)</f>
        <v>0</v>
      </c>
      <c r="E20" s="559">
        <f t="shared" si="1"/>
        <v>0</v>
      </c>
      <c r="F20" s="559">
        <f t="shared" si="1"/>
        <v>0</v>
      </c>
      <c r="G20" s="559">
        <f t="shared" si="1"/>
        <v>0</v>
      </c>
      <c r="H20" s="559">
        <f t="shared" si="1"/>
        <v>0</v>
      </c>
      <c r="I20" s="559">
        <f t="shared" si="1"/>
        <v>0</v>
      </c>
      <c r="J20" s="559">
        <f t="shared" si="1"/>
        <v>8553.7815126050427</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63.75">
      <c r="A28" s="589"/>
      <c r="B28" s="787">
        <v>11057</v>
      </c>
      <c r="C28" s="787">
        <v>2390</v>
      </c>
      <c r="D28" s="637" t="s">
        <v>874</v>
      </c>
      <c r="E28" s="636" t="s">
        <v>875</v>
      </c>
      <c r="F28" s="636" t="s">
        <v>876</v>
      </c>
      <c r="G28" s="636" t="s">
        <v>877</v>
      </c>
      <c r="H28" s="636" t="s">
        <v>878</v>
      </c>
      <c r="I28" s="636" t="s">
        <v>875</v>
      </c>
      <c r="J28" s="786">
        <v>40029</v>
      </c>
      <c r="K28" s="786">
        <v>39022</v>
      </c>
      <c r="L28" s="636" t="s">
        <v>879</v>
      </c>
      <c r="M28" s="636">
        <v>1131</v>
      </c>
      <c r="N28" s="636">
        <v>5089.5</v>
      </c>
      <c r="O28" s="636">
        <v>7270.7142857142862</v>
      </c>
      <c r="P28" s="636">
        <v>0</v>
      </c>
      <c r="Q28" s="636">
        <v>14541.428571428572</v>
      </c>
      <c r="R28" s="636">
        <v>0</v>
      </c>
      <c r="S28" s="636">
        <v>0</v>
      </c>
      <c r="T28" s="636">
        <v>0</v>
      </c>
      <c r="U28" s="636">
        <v>0</v>
      </c>
      <c r="V28" s="636">
        <v>0</v>
      </c>
      <c r="W28" s="636">
        <v>0</v>
      </c>
      <c r="X28" s="636">
        <v>1600</v>
      </c>
      <c r="Y28" s="636" t="s">
        <v>49</v>
      </c>
      <c r="Z28" s="638" t="s">
        <v>155</v>
      </c>
    </row>
    <row r="29" spans="1:26" s="570" customFormat="1">
      <c r="A29" s="592" t="s">
        <v>275</v>
      </c>
      <c r="B29" s="593"/>
      <c r="C29" s="593"/>
      <c r="D29" s="593"/>
      <c r="E29" s="593"/>
      <c r="F29" s="593"/>
      <c r="G29" s="593"/>
      <c r="H29" s="593"/>
      <c r="I29" s="593"/>
      <c r="J29" s="593"/>
      <c r="K29" s="593"/>
      <c r="L29" s="594"/>
      <c r="M29" s="594">
        <f>SUM(M28:M28)</f>
        <v>1131</v>
      </c>
      <c r="N29" s="594">
        <f>SUM(N28:N28)</f>
        <v>5089.5</v>
      </c>
      <c r="O29" s="594">
        <f>SUM(O28:O28)</f>
        <v>7270.7142857142862</v>
      </c>
      <c r="P29" s="594">
        <f>SUM(P28:P28)</f>
        <v>0</v>
      </c>
      <c r="Q29" s="594">
        <f>SUM(Q28:Q28)</f>
        <v>14541.428571428572</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1131</v>
      </c>
      <c r="N31" s="594">
        <f ca="1">SUMIF($Z$28:AD28,"tertiair",N28:N28)</f>
        <v>5089.5</v>
      </c>
      <c r="O31" s="594">
        <f ca="1">SUMIF($Z$28:AE28,"tertiair",O28:O28)</f>
        <v>7270.7142857142862</v>
      </c>
      <c r="P31" s="594">
        <f ca="1">SUMIF($Z$28:AF28,"tertiair",P28:P28)</f>
        <v>0</v>
      </c>
      <c r="Q31" s="594">
        <f ca="1">SUMIF($Z$28:AG28,"tertiair",Q28:Q28)</f>
        <v>14541.428571428572</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38.25">
      <c r="A35" s="591"/>
      <c r="B35" s="787">
        <v>11057</v>
      </c>
      <c r="C35" s="787">
        <v>2390</v>
      </c>
      <c r="D35" s="639" t="s">
        <v>880</v>
      </c>
      <c r="E35" s="639" t="s">
        <v>881</v>
      </c>
      <c r="F35" s="639" t="s">
        <v>882</v>
      </c>
      <c r="G35" s="639" t="s">
        <v>883</v>
      </c>
      <c r="H35" s="639" t="s">
        <v>884</v>
      </c>
      <c r="I35" s="639" t="s">
        <v>881</v>
      </c>
      <c r="J35" s="786">
        <v>39859</v>
      </c>
      <c r="K35" s="786">
        <v>38018</v>
      </c>
      <c r="L35" s="639" t="s">
        <v>885</v>
      </c>
      <c r="M35" s="639">
        <v>3854</v>
      </c>
      <c r="N35" s="639">
        <v>17343</v>
      </c>
      <c r="O35" s="639">
        <v>0</v>
      </c>
      <c r="P35" s="639">
        <v>0</v>
      </c>
      <c r="Q35" s="639">
        <v>49551.428571428572</v>
      </c>
      <c r="R35" s="639">
        <v>0</v>
      </c>
      <c r="S35" s="639">
        <v>0</v>
      </c>
      <c r="T35" s="639">
        <v>0</v>
      </c>
      <c r="U35" s="639">
        <v>0</v>
      </c>
      <c r="V35" s="639">
        <v>0</v>
      </c>
      <c r="W35" s="639">
        <v>0</v>
      </c>
      <c r="X35" s="639">
        <v>10</v>
      </c>
      <c r="Y35" s="639" t="s">
        <v>111</v>
      </c>
      <c r="Z35" s="640" t="s">
        <v>111</v>
      </c>
    </row>
    <row r="36" spans="1:27" s="570" customFormat="1">
      <c r="A36" s="592" t="s">
        <v>275</v>
      </c>
      <c r="B36" s="593"/>
      <c r="C36" s="593"/>
      <c r="D36" s="593"/>
      <c r="E36" s="593"/>
      <c r="F36" s="593"/>
      <c r="G36" s="593"/>
      <c r="H36" s="593"/>
      <c r="I36" s="593"/>
      <c r="J36" s="593"/>
      <c r="K36" s="593"/>
      <c r="L36" s="594"/>
      <c r="M36" s="594">
        <f>SUM(M35:M35)</f>
        <v>3854</v>
      </c>
      <c r="N36" s="594">
        <f>SUM(N35:N35)</f>
        <v>17343</v>
      </c>
      <c r="O36" s="594">
        <f>SUM(O35:O35)</f>
        <v>0</v>
      </c>
      <c r="P36" s="594">
        <f>SUM(P35:P35)</f>
        <v>0</v>
      </c>
      <c r="Q36" s="594">
        <f>SUM(Q35:Q35)</f>
        <v>49551.428571428572</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3854</v>
      </c>
      <c r="N39" s="599">
        <f>SUMIF($Z$35:$Z$37,"landbouw",N35:N37)</f>
        <v>17343</v>
      </c>
      <c r="O39" s="599">
        <f>SUMIF($Z$35:$Z$37,"landbouw",O35:O37)</f>
        <v>0</v>
      </c>
      <c r="P39" s="599">
        <f>SUMIF($Z$35:$Z$37,"landbouw",P35:P37)</f>
        <v>0</v>
      </c>
      <c r="Q39" s="599">
        <f>SUMIF($Z$35:$Z$37,"landbouw",Q35:Q37)</f>
        <v>49551.428571428572</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5987.6470588235297</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8553.7815126050427</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2021-06-29T14:12:18Z</dcterms:modified>
</cp:coreProperties>
</file>