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5" i="13"/>
  <c r="B34" i="13"/>
  <c r="B33" i="13"/>
  <c r="B32" i="13"/>
  <c r="B36"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7" i="19"/>
  <c r="C19" i="19" s="1"/>
  <c r="D39" i="14" s="1"/>
  <c r="C56" i="22"/>
  <c r="C58" i="22" s="1"/>
  <c r="D49" i="14" s="1"/>
  <c r="D52" i="14" s="1"/>
  <c r="C20" i="16"/>
  <c r="C22" i="16" s="1"/>
  <c r="D43" i="14" s="1"/>
  <c r="C10" i="17"/>
  <c r="C12" i="17" s="1"/>
  <c r="D54" i="14" s="1"/>
  <c r="D56" i="14" s="1"/>
  <c r="C18" i="15"/>
  <c r="C20" i="15" s="1"/>
  <c r="D40" i="14" s="1"/>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<sst xmlns="http://schemas.openxmlformats.org/spreadsheetml/2006/main" count="2463" uniqueCount="891">
  <si>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</si>
  <si>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</si>
  <si>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</si>
  <si>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</si>
  <si>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</si>
  <si>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</si>
  <si>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</si>
  <si>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</si>
  <si>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</si>
  <si>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</si>
  <si>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</si>
  <si>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</si>
  <si>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</si>
  <si>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</si>
  <si>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</si>
  <si>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</si>
  <si>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</si>
  <si>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</si>
  <si>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</si>
  <si>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</si>
  <si>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</si>
  <si>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</si>
  <si>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</si>
  <si>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</si>
  <si>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</si>
  <si>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</si>
  <si>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</si>
  <si>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</si>
  <si>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</si>
  <si>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</si>
  <si>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</si>
  <si>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</si>
  <si>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</si>
  <si>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</si>
  <si>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</si>
  <si>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</si>
  <si>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</si>
  <si>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</si>
  <si>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</si>
  <si>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</si>
  <si>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</si>
  <si>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</si>
  <si>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</si>
  <si>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</si>
  <si>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</si>
  <si>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</si>
  <si>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</si>
  <si>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</si>
  <si>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</si>
  <si>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</si>
  <si>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</si>
  <si>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</si>
  <si>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</si>
  <si>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</si>
  <si>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</si>
  <si>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</si>
  <si>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</si>
  <si>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</si>
  <si>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</si>
  <si>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</si>
  <si>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</si>
  <si>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</si>
  <si>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</si>
  <si>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</si>
  <si>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</si>
  <si>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</si>
  <si>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</si>
  <si>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</si>
  <si>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</si>
  <si>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</si>
  <si>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</si>
  <si>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</si>
  <si>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</si>
  <si>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</si>
  <si>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</si>
  <si>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</si>
  <si>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</si>
  <si>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</si>
  <si>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</si>
  <si>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</si>
  <si>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</si>
  <si>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</si>
  <si>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</si>
  <si>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</si>
  <si>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</si>
  <si>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</si>
  <si>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</si>
  <si>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</si>
  <si>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</si>
  <si>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</si>
  <si>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</si>
  <si>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</si>
  <si>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</si>
  <si>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</si>
  <si>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</si>
  <si>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</si>
  <si>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</si>
  <si>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</si>
  <si>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</si>
  <si>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</si>
  <si>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</si>
  <si>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</si>
  <si>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</si>
  <si>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</si>
  <si>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</si>
  <si>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</si>
  <si>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</si>
  <si>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</si>
  <si>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</si>
  <si>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</si>
  <si>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</si>
  <si>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</si>
  <si>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</si>
  <si>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</si>
  <si>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</si>
  <si>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</si>
  <si>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</si>
  <si>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</si>
  <si>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</si>
  <si>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</si>
  <si>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</si>
  <si>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</si>
  <si>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</si>
  <si>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</si>
  <si>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</si>
  <si>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</si>
  <si>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</si>
  <si>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</si>
  <si>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</si>
  <si>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</si>
  <si>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</si>
  <si>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</si>
  <si>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</si>
  <si>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</si>
  <si>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</si>
  <si>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</si>
  <si>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</si>
  <si>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</si>
  <si>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</si>
  <si>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</si>
  <si>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</si>
  <si>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</si>
  <si>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</si>
  <si>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</si>
  <si>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</si>
  <si>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</si>
  <si>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</si>
  <si>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</si>
  <si>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</si>
  <si>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</si>
  <si>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</si>
  <si>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</si>
  <si>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</si>
  <si>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</si>
  <si>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</si>
  <si>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</si>
  <si>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</si>
  <si>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</si>
  <si>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</si>
  <si>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</si>
  <si>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</si>
  <si>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</si>
  <si>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</si>
  <si>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</si>
  <si>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</si>
  <si>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</si>
  <si>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</si>
  <si>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</si>
  <si>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</si>
  <si>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</si>
  <si>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</si>
  <si>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</si>
  <si>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</si>
  <si>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</si>
  <si>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</si>
  <si>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</si>
  <si>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</si>
  <si>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</si>
  <si>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</si>
  <si>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</si>
  <si>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</si>
  <si>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</si>
  <si>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</si>
  <si>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</si>
  <si>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</si>
  <si>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</si>
  <si>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</si>
  <si>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</si>
  <si>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</si>
  <si>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</si>
  <si>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</si>
  <si>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</si>
  <si>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</si>
  <si>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</si>
  <si>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</si>
  <si>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</si>
  <si>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</si>
  <si>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</si>
  <si>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</si>
  <si>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</si>
  <si>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</si>
  <si>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</si>
  <si>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</si>
  <si>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</si>
  <si>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</si>
  <si>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</si>
  <si>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</si>
  <si>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</si>
  <si>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</si>
  <si>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</si>
  <si>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</si>
  <si>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</si>
  <si>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</si>
  <si>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</si>
  <si>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</si>
  <si>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</si>
  <si>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</si>
  <si>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</si>
  <si>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</si>
  <si>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</si>
  <si>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</si>
  <si>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</si>
  <si>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</si>
  <si>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</si>
  <si>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</si>
  <si>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</si>
  <si>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</si>
  <si>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</si>
  <si>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</si>
  <si>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</si>
  <si>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</si>
  <si>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</si>
  <si>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</si>
  <si>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</si>
  <si>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</si>
  <si>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</si>
  <si>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</si>
  <si>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</si>
  <si>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</si>
  <si>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</si>
  <si>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</si>
  <si>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</si>
  <si>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</si>
  <si>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</si>
  <si>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</si>
  <si>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</si>
  <si>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</si>
  <si>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</si>
  <si>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</si>
  <si>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</si>
  <si>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</si>
  <si>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</si>
  <si>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</si>
  <si>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</si>
  <si>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</si>
  <si>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</si>
  <si>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</si>
  <si>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</si>
  <si>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</si>
  <si>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</si>
  <si>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</si>
  <si>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</si>
  <si>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</si>
  <si>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</si>
  <si>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</si>
  <si>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</si>
  <si>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</si>
  <si>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</si>
  <si>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</si>
  <si>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</si>
  <si>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</si>
  <si>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</si>
  <si>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</si>
  <si>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</si>
  <si>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</si>
  <si>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</si>
  <si>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</si>
  <si>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</si>
  <si>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</si>
  <si>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</si>
  <si>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</si>
  <si>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</si>
  <si>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</si>
  <si>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</si>
  <si>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</si>
  <si>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</si>
  <si>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</si>
  <si>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</si>
  <si>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</si>
  <si>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</si>
  <si>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</si>
  <si>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</si>
  <si>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</si>
  <si>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</si>
  <si>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</si>
  <si>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</si>
  <si>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</si>
  <si>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</si>
  <si>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</si>
  <si>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</si>
  <si>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</si>
  <si>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</si>
  <si>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</si>
  <si>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</si>
  <si>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</si>
  <si>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</si>
  <si>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</si>
  <si>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</si>
  <si>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</si>
  <si>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</si>
  <si>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</si>
  <si>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</si>
  <si>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</si>
  <si>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</si>
  <si>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</si>
  <si>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</si>
  <si>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</si>
  <si>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</si>
  <si>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</si>
  <si>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</si>
  <si>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</si>
  <si>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</si>
  <si>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</si>
  <si>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</si>
  <si>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</si>
  <si>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</si>
  <si>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</si>
  <si>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</si>
  <si>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</si>
  <si>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</si>
  <si>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</si>
  <si>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</si>
  <si>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</si>
  <si>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</si>
  <si>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</si>
  <si>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</si>
  <si>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</si>
  <si>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</si>
  <si>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</si>
  <si>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</si>
  <si>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</si>
  <si>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</si>
  <si>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</si>
  <si>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</si>
  <si>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</si>
  <si>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</si>
  <si>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</si>
  <si>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</si>
  <si>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</si>
  <si>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</si>
  <si>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</si>
  <si>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</si>
  <si>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</si>
  <si>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</si>
  <si>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</si>
  <si>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</si>
  <si>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</si>
  <si>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</si>
  <si>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</si>
  <si>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</si>
  <si>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</si>
  <si>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</si>
  <si>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</si>
  <si>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</si>
  <si>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</si>
  <si>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</si>
  <si>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</si>
  <si>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</si>
  <si>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</si>
  <si>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</si>
  <si>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</si>
  <si>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</si>
  <si>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</si>
  <si>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</si>
  <si>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</si>
  <si>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</si>
  <si>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</si>
  <si>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</si>
  <si>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</si>
  <si>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</si>
  <si>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</si>
  <si>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</si>
  <si>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</si>
  <si>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</si>
  <si>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</si>
  <si>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</si>
  <si>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</si>
  <si>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</si>
  <si>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</si>
  <si>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</si>
  <si>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</si>
  <si>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</si>
  <si>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</si>
  <si>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</si>
  <si>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</si>
  <si>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</si>
  <si>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</si>
  <si>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</si>
  <si>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</si>
  <si>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</si>
  <si>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</si>
  <si>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</si>
  <si>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</si>
  <si>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</si>
  <si>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</si>
  <si>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</si>
  <si>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</si>
  <si>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</si>
  <si>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</si>
  <si>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</si>
  <si>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</si>
  <si>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</si>
  <si>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</si>
  <si>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</si>
  <si>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</si>
  <si>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</si>
  <si>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</si>
  <si>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</si>
  <si>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</si>
  <si>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</si>
  <si>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</si>
  <si>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</si>
  <si>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</si>
  <si>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</si>
  <si>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</si>
  <si>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</si>
  <si>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</si>
  <si>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</si>
  <si>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</si>
  <si>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</si>
  <si>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</si>
  <si>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</si>
  <si>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</si>
  <si>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</si>
  <si>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</si>
  <si>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</si>
  <si>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</si>
  <si>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</si>
  <si>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</si>
  <si>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</si>
  <si>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</si>
  <si>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</si>
  <si>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</si>
  <si>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</si>
  <si>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</si>
  <si>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</si>
  <si>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</si>
  <si>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</si>
  <si>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</si>
  <si>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</si>
  <si>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</si>
  <si>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</si>
  <si>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</si>
  <si>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</si>
  <si>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</si>
  <si>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</si>
  <si>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</si>
  <si>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</si>
  <si>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</si>
  <si>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</si>
  <si>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</si>
  <si>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</si>
  <si>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</si>
  <si>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</si>
  <si>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</si>
  <si>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</si>
  <si>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</si>
  <si>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</si>
  <si>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</si>
  <si>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</si>
  <si>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</si>
  <si>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</si>
  <si>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</si>
  <si>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</si>
  <si>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</si>
  <si>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</si>
  <si>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</si>
  <si>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</si>
  <si>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</si>
  <si>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</si>
  <si>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</si>
  <si>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</si>
  <si>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</si>
  <si>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</si>
  <si>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</si>
  <si>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</si>
  <si>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</si>
  <si>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</si>
  <si>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</si>
  <si>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</si>
  <si>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</si>
  <si>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</si>
  <si>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</si>
  <si>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</si>
  <si>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</si>
  <si>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</si>
  <si>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</si>
  <si>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</si>
  <si>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</si>
  <si>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</si>
  <si>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</si>
  <si>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</si>
  <si>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</si>
  <si>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</si>
  <si>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</si>
  <si>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</si>
  <si>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</si>
  <si>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</si>
  <si>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</si>
  <si>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</si>
  <si>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</si>
  <si>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</si>
  <si>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</si>
  <si>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</si>
  <si>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</si>
  <si>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</si>
  <si>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</si>
  <si>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</si>
  <si>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</si>
  <si>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</si>
  <si>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</si>
  <si>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</si>
  <si>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</si>
  <si>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</si>
  <si>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</si>
  <si>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</si>
  <si>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</si>
  <si>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</si>
  <si>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</si>
  <si>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</si>
  <si>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</si>
  <si>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</si>
  <si>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</si>
  <si>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</si>
  <si>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</si>
  <si>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</si>
  <si>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</si>
  <si>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</si>
  <si>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</si>
  <si>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</si>
  <si>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</si>
  <si>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</si>
  <si>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</si>
  <si>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</si>
  <si>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</si>
  <si>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</si>
  <si>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</si>
  <si>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</si>
  <si>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</si>
  <si>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</si>
  <si>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</si>
  <si>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</si>
  <si>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</si>
  <si>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</si>
  <si>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</si>
  <si>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</si>
  <si>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</si>
  <si>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</si>
  <si>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</si>
  <si>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</si>
  <si>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</si>
  <si>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</si>
  <si>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</si>
  <si>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</si>
  <si>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</si>
  <si>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</si>
  <si>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</si>
  <si>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</si>
  <si>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</si>
  <si>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</si>
  <si>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</si>
  <si>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</si>
  <si>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</si>
  <si>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</si>
  <si>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</si>
  <si>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</si>
  <si>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</si>
  <si>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</si>
  <si>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</si>
  <si>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</si>
  <si>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</si>
  <si>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</si>
  <si>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</si>
  <si>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</si>
  <si>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</si>
  <si>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</si>
  <si>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</si>
  <si>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</si>
  <si>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</si>
  <si>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</si>
  <si>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</si>
  <si>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</si>
  <si>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</si>
  <si>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</si>
  <si>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</si>
  <si>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</si>
  <si>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</si>
  <si>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</si>
  <si>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</si>
  <si>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</si>
  <si>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</si>
  <si>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</si>
  <si>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</si>
  <si>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</si>
  <si>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</si>
  <si>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</si>
  <si>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</si>
  <si>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</si>
  <si>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</si>
  <si>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</si>
  <si>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</si>
  <si>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</si>
  <si>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</si>
  <si>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</si>
  <si>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</si>
  <si>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</si>
  <si>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</si>
  <si>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</si>
  <si>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</si>
  <si>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</si>
  <si>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</si>
  <si>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</si>
  <si>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</si>
  <si>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</si>
  <si>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</si>
  <si>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</si>
  <si>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</si>
  <si>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</si>
  <si>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</si>
  <si>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</si>
  <si>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</si>
  <si>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</si>
  <si>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</si>
  <si>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</si>
  <si>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</si>
  <si>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</si>
  <si>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</si>
  <si>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</si>
  <si>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</si>
  <si>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</si>
  <si>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</si>
  <si>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</si>
  <si>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</si>
  <si>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</si>
  <si>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</si>
  <si>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</si>
  <si>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</si>
  <si>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</si>
  <si>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</si>
  <si>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</si>
  <si>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</si>
  <si>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</si>
  <si>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</si>
  <si>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</si>
  <si>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</si>
  <si>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</si>
  <si>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</si>
  <si>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</si>
  <si>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</si>
  <si>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</si>
  <si>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</si>
  <si>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</si>
  <si>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</si>
  <si>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</si>
  <si>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</si>
  <si>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</si>
  <si>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</si>
  <si>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</si>
  <si>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</si>
  <si>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</si>
  <si>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</si>
  <si>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</si>
  <si>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</si>
  <si>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</si>
  <si>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</si>
  <si>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</si>
  <si>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</si>
  <si>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</si>
  <si>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</si>
  <si>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</si>
  <si>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</si>
  <si>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</si>
  <si>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</si>
  <si>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</si>
  <si>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</si>
  <si>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</si>
  <si>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</si>
  <si>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</si>
  <si>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</si>
  <si>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</si>
  <si>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</si>
  <si>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</si>
  <si>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</si>
  <si>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</si>
  <si>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</si>
  <si>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</si>
  <si>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</si>
  <si>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</si>
  <si>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</si>
  <si>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</si>
  <si>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</si>
  <si>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</si>
  <si>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</si>
  <si>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</si>
  <si>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</si>
  <si>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</si>
  <si>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</si>
  <si>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</si>
  <si>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</si>
  <si>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</si>
  <si>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</si>
  <si>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</si>
  <si>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</si>
  <si>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</si>
  <si>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</si>
  <si>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</si>
  <si>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</si>
  <si>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</si>
  <si>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</si>
  <si>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</si>
  <si>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</si>
  <si>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</si>
  <si>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</si>
  <si>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</si>
  <si>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</si>
  <si>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</si>
  <si>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</si>
  <si>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</si>
  <si>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</si>
  <si>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</si>
  <si>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</si>
  <si>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</si>
  <si>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</si>
  <si>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</si>
  <si>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</si>
  <si>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</si>
  <si>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</si>
  <si>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</si>
  <si>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</si>
  <si>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</si>
  <si>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</si>
  <si>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</si>
  <si>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</si>
  <si>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</si>
  <si>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</si>
  <si>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</si>
  <si>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</si>
  <si>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</si>
  <si>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</si>
  <si>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</si>
  <si>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</si>
  <si>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</si>
  <si>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</si>
  <si>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</si>
  <si>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</si>
  <si>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</si>
  <si>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</si>
  <si>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</si>
  <si>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</si>
  <si>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</si>
  <si>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</si>
  <si>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</si>
  <si>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</si>
  <si>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</si>
  <si>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</si>
  <si>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</si>
  <si>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</si>
  <si>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</si>
  <si>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</si>
  <si>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</si>
  <si>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</si>
  <si>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</si>
  <si>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</si>
  <si>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</si>
  <si>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</si>
  <si>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</si>
  <si>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</si>
  <si>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</si>
  <si>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</si>
  <si>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</si>
  <si>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</si>
  <si>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</si>
  <si>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</si>
  <si>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</si>
  <si>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</si>
  <si>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</si>
  <si>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</si>
  <si>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</si>
  <si>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</si>
  <si>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</si>
  <si>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</si>
  <si>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</si>
  <si>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</si>
  <si>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</si>
  <si>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</si>
  <si>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</si>
  <si>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</si>
  <si>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</si>
  <si>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</si>
  <si>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</si>
  <si>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</si>
  <si>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</si>
  <si>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</si>
  <si>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</si>
  <si>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</si>
  <si>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</si>
  <si>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</si>
  <si>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</si>
  <si>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</si>
  <si>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</si>
  <si>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</si>
  <si>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</si>
  <si>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</si>
  <si>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</si>
  <si>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</si>
  <si>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</si>
  <si>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</si>
  <si>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</si>
  <si>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</si>
  <si>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</si>
  <si>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</si>
  <si>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</si>
  <si>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</si>
  <si>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</si>
  <si>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</si>
  <si>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</si>
  <si>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</si>
  <si>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</si>
  <si>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</si>
  <si>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</si>
  <si>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</si>
  <si>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</si>
  <si>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</si>
  <si>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</si>
  <si>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</si>
  <si>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</si>
  <si>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</si>
  <si>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</si>
  <si>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</si>
  <si>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</si>
  <si>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</si>
  <si>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</si>
  <si>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</si>
  <si>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</si>
  <si>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</si>
  <si>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</si>
  <si>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</si>
  <si>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</si>
  <si>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</si>
  <si>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</si>
  <si>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</si>
  <si>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</si>
  <si>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</si>
  <si>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</si>
  <si>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</si>
  <si>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</si>
  <si>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</si>
  <si>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</si>
  <si>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</si>
  <si>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</si>
  <si>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</si>
  <si>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</si>
  <si>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</si>
  <si>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</si>
  <si>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</si>
  <si>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</si>
  <si>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</si>
  <si>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</si>
  <si>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</si>
  <si>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</si>
  <si>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11024</t>
  </si>
  <si>
    <t>KONTICH</t>
  </si>
  <si>
    <t>referentietaak LNE (2017); Jaarverslag De Lijn</t>
  </si>
  <si>
    <t>waterkracht</t>
  </si>
  <si>
    <t>Eric Van Den Eynde</t>
  </si>
  <si>
    <t>Pierstraat 350, 2550 Kontich</t>
  </si>
  <si>
    <t>WKK-0096 Eric Van Den Eynde</t>
  </si>
  <si>
    <t>interne verbrandingsmotor</t>
  </si>
  <si>
    <t>WKK interne verbrandinsgmotor (gas)</t>
  </si>
  <si>
    <t>IVEKA (via EANDIS)</t>
  </si>
  <si>
    <t>Groeikracht De Boskapel NV</t>
  </si>
  <si>
    <t>Lerenveld 1C, 2550 Kontich</t>
  </si>
  <si>
    <t>WKK-0138 Groeikracht De Boskapel</t>
  </si>
  <si>
    <t>Boskapelweg 1, 2550 Kontich</t>
  </si>
  <si>
    <t>IVEKA</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</si>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</sst>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172444.33020369866</c:v>
                </c:pt>
                <c:pt idx="1">
                  <c:v>90567.504930761628</c:v>
                </c:pt>
                <c:pt idx="2">
                  <c:v>1357.2950000000001</c:v>
                </c:pt>
                <c:pt idx="3">
                  <c:v>51546.063082992354</c:v>
                </c:pt>
                <c:pt idx="4">
                  <c:v>23099.301817206997</c:v>
                </c:pt>
                <c:pt idx="5">
                  <c:v>412656.66363676311</c:v>
                </c:pt>
                <c:pt idx="6">
                  <c:v>1862.2754404905584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172444.33020369866</c:v>
                </c:pt>
                <c:pt idx="1">
                  <c:v>90567.504930761628</c:v>
                </c:pt>
                <c:pt idx="2">
                  <c:v>1357.2950000000001</c:v>
                </c:pt>
                <c:pt idx="3">
                  <c:v>51546.063082992354</c:v>
                </c:pt>
                <c:pt idx="4">
                  <c:v>23099.301817206997</c:v>
                </c:pt>
                <c:pt idx="5">
                  <c:v>412656.66363676311</c:v>
                </c:pt>
                <c:pt idx="6">
                  <c:v>1862.2754404905584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34144.089564753936</c:v>
                </c:pt>
                <c:pt idx="1">
                  <c:v>19239.993159526111</c:v>
                </c:pt>
                <c:pt idx="2">
                  <c:v>279.06073579646949</c:v>
                </c:pt>
                <c:pt idx="3">
                  <c:v>12415.03199321636</c:v>
                </c:pt>
                <c:pt idx="4">
                  <c:v>4862.8803533326491</c:v>
                </c:pt>
                <c:pt idx="5">
                  <c:v>102606.22149292727</c:v>
                </c:pt>
                <c:pt idx="6">
                  <c:v>468.92829198581683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34144.089564753936</c:v>
                </c:pt>
                <c:pt idx="1">
                  <c:v>19239.993159526111</c:v>
                </c:pt>
                <c:pt idx="2">
                  <c:v>279.06073579646949</c:v>
                </c:pt>
                <c:pt idx="3">
                  <c:v>12415.03199321636</c:v>
                </c:pt>
                <c:pt idx="4">
                  <c:v>4862.8803533326491</c:v>
                </c:pt>
                <c:pt idx="5">
                  <c:v>102606.22149292727</c:v>
                </c:pt>
                <c:pt idx="6">
                  <c:v>468.92829198581683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11024</v>
      </c>
      <c r="B6" s="386"/>
      <c r="C6" s="387"/>
    </row>
    <row r="7" spans="1:7" s="384" customFormat="1" ht="15.75" customHeight="1">
      <c r="A7" s="388" t="str">
        <f>txtMunicipality</f>
        <v>KONTICH</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52564.947800835391</v>
      </c>
      <c r="D10" s="683">
        <f ca="1">tertiair!C16</f>
        <v>18392.142857142859</v>
      </c>
      <c r="E10" s="683">
        <f ca="1">tertiair!D16</f>
        <v>14148.611156706262</v>
      </c>
      <c r="F10" s="683">
        <f>tertiair!E16</f>
        <v>167.44351151566957</v>
      </c>
      <c r="G10" s="683">
        <f ca="1">tertiair!F16</f>
        <v>5411.3786959627259</v>
      </c>
      <c r="H10" s="683">
        <f>tertiair!G16</f>
        <v>0</v>
      </c>
      <c r="I10" s="683">
        <f>tertiair!H16</f>
        <v>0</v>
      </c>
      <c r="J10" s="683">
        <f>tertiair!I16</f>
        <v>0</v>
      </c>
      <c r="K10" s="683">
        <f>tertiair!J16</f>
        <v>2.3465069431665694E-2</v>
      </c>
      <c r="L10" s="683">
        <f>tertiair!K16</f>
        <v>0</v>
      </c>
      <c r="M10" s="683">
        <f ca="1">tertiair!L16</f>
        <v>0</v>
      </c>
      <c r="N10" s="683">
        <f>tertiair!M16</f>
        <v>0</v>
      </c>
      <c r="O10" s="683">
        <f ca="1">tertiair!N16</f>
        <v>925.01761369031999</v>
      </c>
      <c r="P10" s="683">
        <f>tertiair!O16</f>
        <v>0</v>
      </c>
      <c r="Q10" s="684">
        <f>tertiair!P16</f>
        <v>315.23482983897009</v>
      </c>
      <c r="R10" s="686">
        <f ca="1">SUM(C10:Q10)</f>
        <v>91924.799930761626</v>
      </c>
      <c r="S10" s="67"/>
    </row>
    <row r="11" spans="1:19" s="445" customFormat="1">
      <c r="A11" s="804" t="s">
        <v>220</v>
      </c>
      <c r="B11" s="809"/>
      <c r="C11" s="683">
        <f>huishoudens!B8</f>
        <v>35421.50485685256</v>
      </c>
      <c r="D11" s="683">
        <f>huishoudens!C8</f>
        <v>0</v>
      </c>
      <c r="E11" s="683">
        <f>huishoudens!D8</f>
        <v>99462.750712468449</v>
      </c>
      <c r="F11" s="683">
        <f>huishoudens!E8</f>
        <v>1106.1506576044378</v>
      </c>
      <c r="G11" s="683">
        <f>huishoudens!F8</f>
        <v>24232.005831383951</v>
      </c>
      <c r="H11" s="683">
        <f>huishoudens!G8</f>
        <v>0</v>
      </c>
      <c r="I11" s="683">
        <f>huishoudens!H8</f>
        <v>0</v>
      </c>
      <c r="J11" s="683">
        <f>huishoudens!I8</f>
        <v>0</v>
      </c>
      <c r="K11" s="683">
        <f>huishoudens!J8</f>
        <v>138.10085157860479</v>
      </c>
      <c r="L11" s="683">
        <f>huishoudens!K8</f>
        <v>0</v>
      </c>
      <c r="M11" s="683">
        <f>huishoudens!L8</f>
        <v>0</v>
      </c>
      <c r="N11" s="683">
        <f>huishoudens!M8</f>
        <v>0</v>
      </c>
      <c r="O11" s="683">
        <f>huishoudens!N8</f>
        <v>10836.514526028006</v>
      </c>
      <c r="P11" s="683">
        <f>huishoudens!O8</f>
        <v>372.98414524476198</v>
      </c>
      <c r="Q11" s="684">
        <f>huishoudens!P8</f>
        <v>874.31862253785675</v>
      </c>
      <c r="R11" s="686">
        <f>SUM(C11:Q11)</f>
        <v>172444.33020369866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10558.498815607185</v>
      </c>
      <c r="D13" s="683">
        <f>industrie!C18</f>
        <v>0</v>
      </c>
      <c r="E13" s="683">
        <f>industrie!D18</f>
        <v>8453.8942401418681</v>
      </c>
      <c r="F13" s="683">
        <f>industrie!E18</f>
        <v>72.314943170555992</v>
      </c>
      <c r="G13" s="683">
        <f>industrie!F18</f>
        <v>3619.8659484078526</v>
      </c>
      <c r="H13" s="683">
        <f>industrie!G18</f>
        <v>0</v>
      </c>
      <c r="I13" s="683">
        <f>industrie!H18</f>
        <v>0</v>
      </c>
      <c r="J13" s="683">
        <f>industrie!I18</f>
        <v>0</v>
      </c>
      <c r="K13" s="683">
        <f>industrie!J18</f>
        <v>4.0671889605444118</v>
      </c>
      <c r="L13" s="683">
        <f>industrie!K18</f>
        <v>0</v>
      </c>
      <c r="M13" s="683">
        <f>industrie!L18</f>
        <v>0</v>
      </c>
      <c r="N13" s="683">
        <f>industrie!M18</f>
        <v>0</v>
      </c>
      <c r="O13" s="683">
        <f>industrie!N18</f>
        <v>390.66068091898984</v>
      </c>
      <c r="P13" s="683">
        <f>industrie!O18</f>
        <v>0</v>
      </c>
      <c r="Q13" s="684">
        <f>industrie!P18</f>
        <v>0</v>
      </c>
      <c r="R13" s="686">
        <f>SUM(C13:Q13)</f>
        <v>23099.301817206997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98544.951473295136</v>
      </c>
      <c r="D16" s="719">
        <f t="shared" ref="D16:R16" ca="1" si="0">SUM(D9:D15)</f>
        <v>18392.142857142859</v>
      </c>
      <c r="E16" s="719">
        <f t="shared" ca="1" si="0"/>
        <v>122065.25610931657</v>
      </c>
      <c r="F16" s="719">
        <f t="shared" si="0"/>
        <v>1345.9091122906634</v>
      </c>
      <c r="G16" s="719">
        <f t="shared" ca="1" si="0"/>
        <v>33263.250475754525</v>
      </c>
      <c r="H16" s="719">
        <f t="shared" si="0"/>
        <v>0</v>
      </c>
      <c r="I16" s="719">
        <f t="shared" si="0"/>
        <v>0</v>
      </c>
      <c r="J16" s="719">
        <f t="shared" si="0"/>
        <v>0</v>
      </c>
      <c r="K16" s="719">
        <f t="shared" si="0"/>
        <v>142.19150560858085</v>
      </c>
      <c r="L16" s="719">
        <f t="shared" si="0"/>
        <v>0</v>
      </c>
      <c r="M16" s="719">
        <f t="shared" ca="1" si="0"/>
        <v>0</v>
      </c>
      <c r="N16" s="719">
        <f t="shared" si="0"/>
        <v>0</v>
      </c>
      <c r="O16" s="719">
        <f t="shared" ca="1" si="0"/>
        <v>12152.192820637316</v>
      </c>
      <c r="P16" s="719">
        <f t="shared" si="0"/>
        <v>372.98414524476198</v>
      </c>
      <c r="Q16" s="719">
        <f t="shared" si="0"/>
        <v>1189.553452376827</v>
      </c>
      <c r="R16" s="719">
        <f t="shared" ca="1" si="0"/>
        <v>287468.4319516673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27.713442459009361</v>
      </c>
      <c r="D19" s="683">
        <f>transport!C54</f>
        <v>0</v>
      </c>
      <c r="E19" s="683">
        <f>transport!D54</f>
        <v>0</v>
      </c>
      <c r="F19" s="683">
        <f>transport!E54</f>
        <v>0</v>
      </c>
      <c r="G19" s="683">
        <f>transport!F54</f>
        <v>0</v>
      </c>
      <c r="H19" s="683">
        <f>transport!G54</f>
        <v>1734.9452815384359</v>
      </c>
      <c r="I19" s="683">
        <f>transport!H54</f>
        <v>0</v>
      </c>
      <c r="J19" s="683">
        <f>transport!I54</f>
        <v>0</v>
      </c>
      <c r="K19" s="683">
        <f>transport!J54</f>
        <v>0</v>
      </c>
      <c r="L19" s="683">
        <f>transport!K54</f>
        <v>0</v>
      </c>
      <c r="M19" s="683">
        <f>transport!L54</f>
        <v>0</v>
      </c>
      <c r="N19" s="683">
        <f>transport!M54</f>
        <v>99.616716493113103</v>
      </c>
      <c r="O19" s="683">
        <f>transport!N54</f>
        <v>0</v>
      </c>
      <c r="P19" s="683">
        <f>transport!O54</f>
        <v>0</v>
      </c>
      <c r="Q19" s="684">
        <f>transport!P54</f>
        <v>0</v>
      </c>
      <c r="R19" s="686">
        <f>SUM(C19:Q19)</f>
        <v>1862.2754404905584</v>
      </c>
      <c r="S19" s="67"/>
    </row>
    <row r="20" spans="1:19" s="445" customFormat="1">
      <c r="A20" s="804" t="s">
        <v>302</v>
      </c>
      <c r="B20" s="809"/>
      <c r="C20" s="683">
        <f>transport!B14</f>
        <v>864.98121207161728</v>
      </c>
      <c r="D20" s="683">
        <f>transport!C14</f>
        <v>0</v>
      </c>
      <c r="E20" s="683">
        <f>transport!D14</f>
        <v>1363.0808577532787</v>
      </c>
      <c r="F20" s="683">
        <f>transport!E14</f>
        <v>598.42168183147703</v>
      </c>
      <c r="G20" s="683">
        <f>transport!F14</f>
        <v>0</v>
      </c>
      <c r="H20" s="683">
        <f>transport!G14</f>
        <v>318221.07592579303</v>
      </c>
      <c r="I20" s="683">
        <f>transport!H14</f>
        <v>68482.60829424941</v>
      </c>
      <c r="J20" s="683">
        <f>transport!I14</f>
        <v>0</v>
      </c>
      <c r="K20" s="683">
        <f>transport!J14</f>
        <v>0</v>
      </c>
      <c r="L20" s="683">
        <f>transport!K14</f>
        <v>0</v>
      </c>
      <c r="M20" s="683">
        <f>transport!L14</f>
        <v>0</v>
      </c>
      <c r="N20" s="683">
        <f>transport!M14</f>
        <v>23126.495665064329</v>
      </c>
      <c r="O20" s="683">
        <f>transport!N14</f>
        <v>0</v>
      </c>
      <c r="P20" s="683">
        <f>transport!O14</f>
        <v>0</v>
      </c>
      <c r="Q20" s="684">
        <f>transport!P14</f>
        <v>0</v>
      </c>
      <c r="R20" s="686">
        <f>SUM(C20:Q20)</f>
        <v>412656.66363676311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892.69465453062662</v>
      </c>
      <c r="D22" s="807">
        <f t="shared" ref="D22:R22" si="1">SUM(D18:D21)</f>
        <v>0</v>
      </c>
      <c r="E22" s="807">
        <f t="shared" si="1"/>
        <v>1363.0808577532787</v>
      </c>
      <c r="F22" s="807">
        <f t="shared" si="1"/>
        <v>598.42168183147703</v>
      </c>
      <c r="G22" s="807">
        <f t="shared" si="1"/>
        <v>0</v>
      </c>
      <c r="H22" s="807">
        <f t="shared" si="1"/>
        <v>319956.02120733145</v>
      </c>
      <c r="I22" s="807">
        <f t="shared" si="1"/>
        <v>68482.60829424941</v>
      </c>
      <c r="J22" s="807">
        <f t="shared" si="1"/>
        <v>0</v>
      </c>
      <c r="K22" s="807">
        <f t="shared" si="1"/>
        <v>0</v>
      </c>
      <c r="L22" s="807">
        <f t="shared" si="1"/>
        <v>0</v>
      </c>
      <c r="M22" s="807">
        <f t="shared" si="1"/>
        <v>0</v>
      </c>
      <c r="N22" s="807">
        <f t="shared" si="1"/>
        <v>23226.112381557443</v>
      </c>
      <c r="O22" s="807">
        <f t="shared" si="1"/>
        <v>0</v>
      </c>
      <c r="P22" s="807">
        <f t="shared" si="1"/>
        <v>0</v>
      </c>
      <c r="Q22" s="807">
        <f t="shared" si="1"/>
        <v>0</v>
      </c>
      <c r="R22" s="807">
        <f t="shared" si="1"/>
        <v>414518.93907725369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1834.4410318330602</v>
      </c>
      <c r="D24" s="683">
        <f>+landbouw!C8</f>
        <v>43385.747104247108</v>
      </c>
      <c r="E24" s="683">
        <f>+landbouw!D8</f>
        <v>0</v>
      </c>
      <c r="F24" s="683">
        <f>+landbouw!E8</f>
        <v>52.541495594284363</v>
      </c>
      <c r="G24" s="683">
        <f>+landbouw!F8</f>
        <v>5806.8927027591271</v>
      </c>
      <c r="H24" s="683">
        <f>+landbouw!G8</f>
        <v>0</v>
      </c>
      <c r="I24" s="683">
        <f>+landbouw!H8</f>
        <v>0</v>
      </c>
      <c r="J24" s="683">
        <f>+landbouw!I8</f>
        <v>0</v>
      </c>
      <c r="K24" s="683">
        <f>+landbouw!J8</f>
        <v>466.44074855877034</v>
      </c>
      <c r="L24" s="683">
        <f>+landbouw!K8</f>
        <v>0</v>
      </c>
      <c r="M24" s="683">
        <f>+landbouw!L8</f>
        <v>0</v>
      </c>
      <c r="N24" s="683">
        <f>+landbouw!M8</f>
        <v>0</v>
      </c>
      <c r="O24" s="683">
        <f>+landbouw!N8</f>
        <v>0</v>
      </c>
      <c r="P24" s="683">
        <f>+landbouw!O8</f>
        <v>0</v>
      </c>
      <c r="Q24" s="684">
        <f>+landbouw!P8</f>
        <v>0</v>
      </c>
      <c r="R24" s="686">
        <f>SUM(C24:Q24)</f>
        <v>51546.063082992354</v>
      </c>
      <c r="S24" s="67"/>
    </row>
    <row r="25" spans="1:19" s="445" customFormat="1" ht="15" thickBot="1">
      <c r="A25" s="826" t="s">
        <v>696</v>
      </c>
      <c r="B25" s="939"/>
      <c r="C25" s="940">
        <f>IF(Onbekend_ele_kWh="---",0,Onbekend_ele_kWh)/1000+IF(REST_rest_ele_kWh="---",0,REST_rest_ele_kWh)/1000</f>
        <v>1226.0406121370102</v>
      </c>
      <c r="D25" s="940"/>
      <c r="E25" s="940">
        <f>IF(onbekend_gas_kWh="---",0,onbekend_gas_kWh)/1000+IF(REST_rest_gas_kWh="---",0,REST_rest_gas_kWh)/1000</f>
        <v>10079.431156660199</v>
      </c>
      <c r="F25" s="940"/>
      <c r="G25" s="940"/>
      <c r="H25" s="940"/>
      <c r="I25" s="940"/>
      <c r="J25" s="940"/>
      <c r="K25" s="940"/>
      <c r="L25" s="940"/>
      <c r="M25" s="940"/>
      <c r="N25" s="940"/>
      <c r="O25" s="940"/>
      <c r="P25" s="940"/>
      <c r="Q25" s="941"/>
      <c r="R25" s="686">
        <f>SUM(C25:Q25)</f>
        <v>11305.47176879721</v>
      </c>
      <c r="S25" s="67"/>
    </row>
    <row r="26" spans="1:19" s="445" customFormat="1" ht="15.75" thickBot="1">
      <c r="A26" s="691" t="s">
        <v>697</v>
      </c>
      <c r="B26" s="812"/>
      <c r="C26" s="807">
        <f>SUM(C24:C25)</f>
        <v>3060.4816439700703</v>
      </c>
      <c r="D26" s="807">
        <f t="shared" ref="D26:R26" si="2">SUM(D24:D25)</f>
        <v>43385.747104247108</v>
      </c>
      <c r="E26" s="807">
        <f t="shared" si="2"/>
        <v>10079.431156660199</v>
      </c>
      <c r="F26" s="807">
        <f t="shared" si="2"/>
        <v>52.541495594284363</v>
      </c>
      <c r="G26" s="807">
        <f t="shared" si="2"/>
        <v>5806.8927027591271</v>
      </c>
      <c r="H26" s="807">
        <f t="shared" si="2"/>
        <v>0</v>
      </c>
      <c r="I26" s="807">
        <f t="shared" si="2"/>
        <v>0</v>
      </c>
      <c r="J26" s="807">
        <f t="shared" si="2"/>
        <v>0</v>
      </c>
      <c r="K26" s="807">
        <f t="shared" si="2"/>
        <v>466.44074855877034</v>
      </c>
      <c r="L26" s="807">
        <f t="shared" si="2"/>
        <v>0</v>
      </c>
      <c r="M26" s="807">
        <f t="shared" si="2"/>
        <v>0</v>
      </c>
      <c r="N26" s="807">
        <f t="shared" si="2"/>
        <v>0</v>
      </c>
      <c r="O26" s="807">
        <f t="shared" si="2"/>
        <v>0</v>
      </c>
      <c r="P26" s="807">
        <f t="shared" si="2"/>
        <v>0</v>
      </c>
      <c r="Q26" s="807">
        <f t="shared" si="2"/>
        <v>0</v>
      </c>
      <c r="R26" s="807">
        <f t="shared" si="2"/>
        <v>62851.534851789562</v>
      </c>
      <c r="S26" s="67"/>
    </row>
    <row r="27" spans="1:19" s="445" customFormat="1" ht="17.25" thickTop="1" thickBot="1">
      <c r="A27" s="692" t="s">
        <v>115</v>
      </c>
      <c r="B27" s="799"/>
      <c r="C27" s="693">
        <f ca="1">C22+C16+C26</f>
        <v>102498.12777179583</v>
      </c>
      <c r="D27" s="693">
        <f t="shared" ref="D27:R27" ca="1" si="3">D22+D16+D26</f>
        <v>61777.88996138997</v>
      </c>
      <c r="E27" s="693">
        <f t="shared" ca="1" si="3"/>
        <v>133507.76812373006</v>
      </c>
      <c r="F27" s="693">
        <f t="shared" si="3"/>
        <v>1996.872289716425</v>
      </c>
      <c r="G27" s="693">
        <f t="shared" ca="1" si="3"/>
        <v>39070.143178513652</v>
      </c>
      <c r="H27" s="693">
        <f t="shared" si="3"/>
        <v>319956.02120733145</v>
      </c>
      <c r="I27" s="693">
        <f t="shared" si="3"/>
        <v>68482.60829424941</v>
      </c>
      <c r="J27" s="693">
        <f t="shared" si="3"/>
        <v>0</v>
      </c>
      <c r="K27" s="693">
        <f t="shared" si="3"/>
        <v>608.63225416735122</v>
      </c>
      <c r="L27" s="693">
        <f t="shared" si="3"/>
        <v>0</v>
      </c>
      <c r="M27" s="693">
        <f t="shared" ca="1" si="3"/>
        <v>0</v>
      </c>
      <c r="N27" s="693">
        <f t="shared" si="3"/>
        <v>23226.112381557443</v>
      </c>
      <c r="O27" s="693">
        <f t="shared" ca="1" si="3"/>
        <v>12152.192820637316</v>
      </c>
      <c r="P27" s="693">
        <f t="shared" si="3"/>
        <v>372.98414524476198</v>
      </c>
      <c r="Q27" s="693">
        <f t="shared" si="3"/>
        <v>1189.553452376827</v>
      </c>
      <c r="R27" s="693">
        <f t="shared" ca="1" si="3"/>
        <v>764838.90588071058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10807.387495278575</v>
      </c>
      <c r="D40" s="683">
        <f ca="1">tertiair!C20</f>
        <v>4370.7908508186529</v>
      </c>
      <c r="E40" s="683">
        <f ca="1">tertiair!D20</f>
        <v>2858.0194536546651</v>
      </c>
      <c r="F40" s="683">
        <f>tertiair!E20</f>
        <v>38.009677114056991</v>
      </c>
      <c r="G40" s="683">
        <f ca="1">tertiair!F20</f>
        <v>1444.8381118220479</v>
      </c>
      <c r="H40" s="683">
        <f>tertiair!G20</f>
        <v>0</v>
      </c>
      <c r="I40" s="683">
        <f>tertiair!H20</f>
        <v>0</v>
      </c>
      <c r="J40" s="683">
        <f>tertiair!I20</f>
        <v>0</v>
      </c>
      <c r="K40" s="683">
        <f>tertiair!J20</f>
        <v>8.306634578809655E-3</v>
      </c>
      <c r="L40" s="683">
        <f>tertiair!K20</f>
        <v>0</v>
      </c>
      <c r="M40" s="683">
        <f ca="1">tertiair!L20</f>
        <v>0</v>
      </c>
      <c r="N40" s="683">
        <f>tertiair!M20</f>
        <v>0</v>
      </c>
      <c r="O40" s="683">
        <f ca="1">tertiair!N20</f>
        <v>0</v>
      </c>
      <c r="P40" s="683">
        <f>tertiair!O20</f>
        <v>0</v>
      </c>
      <c r="Q40" s="766">
        <f>tertiair!P20</f>
        <v>0</v>
      </c>
      <c r="R40" s="845">
        <f t="shared" ca="1" si="4"/>
        <v>19519.053895322581</v>
      </c>
    </row>
    <row r="41" spans="1:18">
      <c r="A41" s="817" t="s">
        <v>220</v>
      </c>
      <c r="B41" s="824"/>
      <c r="C41" s="683">
        <f ca="1">huishoudens!B12</f>
        <v>7282.6844631207605</v>
      </c>
      <c r="D41" s="683">
        <f ca="1">huishoudens!C12</f>
        <v>0</v>
      </c>
      <c r="E41" s="683">
        <f>huishoudens!D12</f>
        <v>20091.475643918628</v>
      </c>
      <c r="F41" s="683">
        <f>huishoudens!E12</f>
        <v>251.09619927620739</v>
      </c>
      <c r="G41" s="683">
        <f>huishoudens!F12</f>
        <v>6469.9455569795155</v>
      </c>
      <c r="H41" s="683">
        <f>huishoudens!G12</f>
        <v>0</v>
      </c>
      <c r="I41" s="683">
        <f>huishoudens!H12</f>
        <v>0</v>
      </c>
      <c r="J41" s="683">
        <f>huishoudens!I12</f>
        <v>0</v>
      </c>
      <c r="K41" s="683">
        <f>huishoudens!J12</f>
        <v>48.887701458826093</v>
      </c>
      <c r="L41" s="683">
        <f>huishoudens!K12</f>
        <v>0</v>
      </c>
      <c r="M41" s="683">
        <f>huishoudens!L12</f>
        <v>0</v>
      </c>
      <c r="N41" s="683">
        <f>huishoudens!M12</f>
        <v>0</v>
      </c>
      <c r="O41" s="683">
        <f>huishoudens!N12</f>
        <v>0</v>
      </c>
      <c r="P41" s="683">
        <f>huishoudens!O12</f>
        <v>0</v>
      </c>
      <c r="Q41" s="766">
        <f>huishoudens!P12</f>
        <v>0</v>
      </c>
      <c r="R41" s="845">
        <f t="shared" ca="1" si="4"/>
        <v>34144.089564753936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2170.8342316073458</v>
      </c>
      <c r="D43" s="683">
        <f ca="1">industrie!C22</f>
        <v>0</v>
      </c>
      <c r="E43" s="683">
        <f>industrie!D22</f>
        <v>1707.6866365086576</v>
      </c>
      <c r="F43" s="683">
        <f>industrie!E22</f>
        <v>16.415492099716211</v>
      </c>
      <c r="G43" s="683">
        <f>industrie!F22</f>
        <v>966.50420822489673</v>
      </c>
      <c r="H43" s="683">
        <f>industrie!G22</f>
        <v>0</v>
      </c>
      <c r="I43" s="683">
        <f>industrie!H22</f>
        <v>0</v>
      </c>
      <c r="J43" s="683">
        <f>industrie!I22</f>
        <v>0</v>
      </c>
      <c r="K43" s="683">
        <f>industrie!J22</f>
        <v>1.4397848920327216</v>
      </c>
      <c r="L43" s="683">
        <f>industrie!K22</f>
        <v>0</v>
      </c>
      <c r="M43" s="683">
        <f>industrie!L22</f>
        <v>0</v>
      </c>
      <c r="N43" s="683">
        <f>industrie!M22</f>
        <v>0</v>
      </c>
      <c r="O43" s="683">
        <f>industrie!N22</f>
        <v>0</v>
      </c>
      <c r="P43" s="683">
        <f>industrie!O22</f>
        <v>0</v>
      </c>
      <c r="Q43" s="766">
        <f>industrie!P22</f>
        <v>0</v>
      </c>
      <c r="R43" s="844">
        <f t="shared" ca="1" si="4"/>
        <v>4862.8803533326491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20260.906190006681</v>
      </c>
      <c r="D46" s="719">
        <f t="shared" ref="D46:Q46" ca="1" si="5">SUM(D39:D45)</f>
        <v>4370.7908508186529</v>
      </c>
      <c r="E46" s="719">
        <f t="shared" ca="1" si="5"/>
        <v>24657.181734081951</v>
      </c>
      <c r="F46" s="719">
        <f t="shared" si="5"/>
        <v>305.5213684899806</v>
      </c>
      <c r="G46" s="719">
        <f t="shared" ca="1" si="5"/>
        <v>8881.2878770264597</v>
      </c>
      <c r="H46" s="719">
        <f t="shared" si="5"/>
        <v>0</v>
      </c>
      <c r="I46" s="719">
        <f t="shared" si="5"/>
        <v>0</v>
      </c>
      <c r="J46" s="719">
        <f t="shared" si="5"/>
        <v>0</v>
      </c>
      <c r="K46" s="719">
        <f t="shared" si="5"/>
        <v>50.335792985437621</v>
      </c>
      <c r="L46" s="719">
        <f t="shared" si="5"/>
        <v>0</v>
      </c>
      <c r="M46" s="719">
        <f t="shared" ca="1" si="5"/>
        <v>0</v>
      </c>
      <c r="N46" s="719">
        <f t="shared" si="5"/>
        <v>0</v>
      </c>
      <c r="O46" s="719">
        <f t="shared" ca="1" si="5"/>
        <v>0</v>
      </c>
      <c r="P46" s="719">
        <f t="shared" si="5"/>
        <v>0</v>
      </c>
      <c r="Q46" s="719">
        <f t="shared" si="5"/>
        <v>0</v>
      </c>
      <c r="R46" s="719">
        <f ca="1">SUM(R39:R45)</f>
        <v>58526.023813409171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5.697901815054407</v>
      </c>
      <c r="D49" s="683">
        <f ca="1">transport!C58</f>
        <v>0</v>
      </c>
      <c r="E49" s="683">
        <f>transport!D58</f>
        <v>0</v>
      </c>
      <c r="F49" s="683">
        <f>transport!E58</f>
        <v>0</v>
      </c>
      <c r="G49" s="683">
        <f>transport!F58</f>
        <v>0</v>
      </c>
      <c r="H49" s="683">
        <f>transport!G58</f>
        <v>463.2303901707624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468.92829198581683</v>
      </c>
    </row>
    <row r="50" spans="1:18">
      <c r="A50" s="820" t="s">
        <v>302</v>
      </c>
      <c r="B50" s="830"/>
      <c r="C50" s="689">
        <f ca="1">transport!B18</f>
        <v>177.84070043050886</v>
      </c>
      <c r="D50" s="689">
        <f>transport!C18</f>
        <v>0</v>
      </c>
      <c r="E50" s="689">
        <f>transport!D18</f>
        <v>275.34233326616231</v>
      </c>
      <c r="F50" s="689">
        <f>transport!E18</f>
        <v>135.8417217757453</v>
      </c>
      <c r="G50" s="689">
        <f>transport!F18</f>
        <v>0</v>
      </c>
      <c r="H50" s="689">
        <f>transport!G18</f>
        <v>84965.027272186751</v>
      </c>
      <c r="I50" s="689">
        <f>transport!H18</f>
        <v>17052.169465268104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102606.22149292727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183.53860224556325</v>
      </c>
      <c r="D52" s="719">
        <f t="shared" ref="D52:Q52" ca="1" si="6">SUM(D48:D51)</f>
        <v>0</v>
      </c>
      <c r="E52" s="719">
        <f t="shared" si="6"/>
        <v>275.34233326616231</v>
      </c>
      <c r="F52" s="719">
        <f t="shared" si="6"/>
        <v>135.8417217757453</v>
      </c>
      <c r="G52" s="719">
        <f t="shared" si="6"/>
        <v>0</v>
      </c>
      <c r="H52" s="719">
        <f t="shared" si="6"/>
        <v>85428.257662357515</v>
      </c>
      <c r="I52" s="719">
        <f t="shared" si="6"/>
        <v>17052.169465268104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103075.1497849131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377.16227063281633</v>
      </c>
      <c r="D54" s="689">
        <f ca="1">+landbouw!C12</f>
        <v>10310.382426457149</v>
      </c>
      <c r="E54" s="689">
        <f>+landbouw!D12</f>
        <v>0</v>
      </c>
      <c r="F54" s="689">
        <f>+landbouw!E12</f>
        <v>11.926919499902551</v>
      </c>
      <c r="G54" s="689">
        <f>+landbouw!F12</f>
        <v>1550.440351636687</v>
      </c>
      <c r="H54" s="689">
        <f>+landbouw!G12</f>
        <v>0</v>
      </c>
      <c r="I54" s="689">
        <f>+landbouw!H12</f>
        <v>0</v>
      </c>
      <c r="J54" s="689">
        <f>+landbouw!I12</f>
        <v>0</v>
      </c>
      <c r="K54" s="689">
        <f>+landbouw!J12</f>
        <v>165.1200249898047</v>
      </c>
      <c r="L54" s="689">
        <f>+landbouw!K12</f>
        <v>0</v>
      </c>
      <c r="M54" s="689">
        <f>+landbouw!L12</f>
        <v>0</v>
      </c>
      <c r="N54" s="689">
        <f>+landbouw!M12</f>
        <v>0</v>
      </c>
      <c r="O54" s="689">
        <f>+landbouw!N12</f>
        <v>0</v>
      </c>
      <c r="P54" s="689">
        <f>+landbouw!O12</f>
        <v>0</v>
      </c>
      <c r="Q54" s="690">
        <f>+landbouw!P12</f>
        <v>0</v>
      </c>
      <c r="R54" s="718">
        <f ca="1">SUM(C54:Q54)</f>
        <v>12415.03199321636</v>
      </c>
    </row>
    <row r="55" spans="1:18" ht="15" thickBot="1">
      <c r="A55" s="820" t="s">
        <v>696</v>
      </c>
      <c r="B55" s="830"/>
      <c r="C55" s="689">
        <f ca="1">C25*'EF ele_warmte'!B12</f>
        <v>252.07474818614074</v>
      </c>
      <c r="D55" s="689"/>
      <c r="E55" s="689">
        <f>E25*EF_CO2_aardgas</f>
        <v>2036.0450936453603</v>
      </c>
      <c r="F55" s="689"/>
      <c r="G55" s="689"/>
      <c r="H55" s="689"/>
      <c r="I55" s="689"/>
      <c r="J55" s="689"/>
      <c r="K55" s="689"/>
      <c r="L55" s="689"/>
      <c r="M55" s="689"/>
      <c r="N55" s="689"/>
      <c r="O55" s="689"/>
      <c r="P55" s="689"/>
      <c r="Q55" s="690"/>
      <c r="R55" s="718">
        <f ca="1">SUM(C55:Q55)</f>
        <v>2288.1198418315012</v>
      </c>
    </row>
    <row r="56" spans="1:18" ht="15.75" thickBot="1">
      <c r="A56" s="818" t="s">
        <v>697</v>
      </c>
      <c r="B56" s="831"/>
      <c r="C56" s="719">
        <f ca="1">SUM(C54:C55)</f>
        <v>629.23701881895704</v>
      </c>
      <c r="D56" s="719">
        <f t="shared" ref="D56:Q56" ca="1" si="7">SUM(D54:D55)</f>
        <v>10310.382426457149</v>
      </c>
      <c r="E56" s="719">
        <f t="shared" si="7"/>
        <v>2036.0450936453603</v>
      </c>
      <c r="F56" s="719">
        <f t="shared" si="7"/>
        <v>11.926919499902551</v>
      </c>
      <c r="G56" s="719">
        <f t="shared" si="7"/>
        <v>1550.440351636687</v>
      </c>
      <c r="H56" s="719">
        <f t="shared" si="7"/>
        <v>0</v>
      </c>
      <c r="I56" s="719">
        <f t="shared" si="7"/>
        <v>0</v>
      </c>
      <c r="J56" s="719">
        <f t="shared" si="7"/>
        <v>0</v>
      </c>
      <c r="K56" s="719">
        <f t="shared" si="7"/>
        <v>165.1200249898047</v>
      </c>
      <c r="L56" s="719">
        <f t="shared" si="7"/>
        <v>0</v>
      </c>
      <c r="M56" s="719">
        <f t="shared" si="7"/>
        <v>0</v>
      </c>
      <c r="N56" s="719">
        <f t="shared" si="7"/>
        <v>0</v>
      </c>
      <c r="O56" s="719">
        <f t="shared" si="7"/>
        <v>0</v>
      </c>
      <c r="P56" s="719">
        <f t="shared" si="7"/>
        <v>0</v>
      </c>
      <c r="Q56" s="720">
        <f t="shared" si="7"/>
        <v>0</v>
      </c>
      <c r="R56" s="721">
        <f ca="1">SUM(R54:R55)</f>
        <v>14703.151835047862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21073.681811071201</v>
      </c>
      <c r="D61" s="727">
        <f t="shared" ref="D61:Q61" ca="1" si="8">D46+D52+D56</f>
        <v>14681.173277275801</v>
      </c>
      <c r="E61" s="727">
        <f t="shared" ca="1" si="8"/>
        <v>26968.569160993473</v>
      </c>
      <c r="F61" s="727">
        <f t="shared" si="8"/>
        <v>453.29000976562844</v>
      </c>
      <c r="G61" s="727">
        <f t="shared" ca="1" si="8"/>
        <v>10431.728228663147</v>
      </c>
      <c r="H61" s="727">
        <f t="shared" si="8"/>
        <v>85428.257662357515</v>
      </c>
      <c r="I61" s="727">
        <f t="shared" si="8"/>
        <v>17052.169465268104</v>
      </c>
      <c r="J61" s="727">
        <f t="shared" si="8"/>
        <v>0</v>
      </c>
      <c r="K61" s="727">
        <f t="shared" si="8"/>
        <v>215.45581797524233</v>
      </c>
      <c r="L61" s="727">
        <f t="shared" si="8"/>
        <v>0</v>
      </c>
      <c r="M61" s="727">
        <f t="shared" ca="1" si="8"/>
        <v>0</v>
      </c>
      <c r="N61" s="727">
        <f t="shared" si="8"/>
        <v>0</v>
      </c>
      <c r="O61" s="727">
        <f t="shared" ca="1" si="8"/>
        <v>0</v>
      </c>
      <c r="P61" s="727">
        <f t="shared" si="8"/>
        <v>0</v>
      </c>
      <c r="Q61" s="727">
        <f t="shared" si="8"/>
        <v>0</v>
      </c>
      <c r="R61" s="727">
        <f ca="1">R46+R52+R56</f>
        <v>176304.32543337013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0.20560065114545437</v>
      </c>
      <c r="D63" s="773">
        <f t="shared" ca="1" si="9"/>
        <v>0.23764445963517467</v>
      </c>
      <c r="E63" s="965">
        <f t="shared" ca="1" si="9"/>
        <v>0.20200000000000001</v>
      </c>
      <c r="F63" s="773">
        <f t="shared" si="9"/>
        <v>0.22699999999999998</v>
      </c>
      <c r="G63" s="773">
        <f t="shared" ca="1" si="9"/>
        <v>0.26700000000000007</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10399.030593615345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43244.5</v>
      </c>
      <c r="D76" s="948">
        <f>'lokale energieproductie'!C8</f>
        <v>50875.32591432333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10276.815834693314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10399.030593615345</v>
      </c>
      <c r="C78" s="745">
        <f>SUM(C72:C77)</f>
        <v>43244.5</v>
      </c>
      <c r="D78" s="746">
        <f t="shared" ref="D78:H78" si="10">SUM(D76:D77)</f>
        <v>50875.32591432333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10276.815834693314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61777.889961389963</v>
      </c>
      <c r="D87" s="769">
        <f>'lokale energieproductie'!C17</f>
        <v>72679.075630078223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14681.173277275802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61777.889961389963</v>
      </c>
      <c r="D90" s="745">
        <f t="shared" ref="D90:H90" si="12">SUM(D87:D89)</f>
        <v>72679.075630078223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14681.173277275802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35421.50485685256</v>
      </c>
      <c r="C4" s="449">
        <f>huishoudens!C8</f>
        <v>0</v>
      </c>
      <c r="D4" s="449">
        <f>huishoudens!D8</f>
        <v>99462.750712468449</v>
      </c>
      <c r="E4" s="449">
        <f>huishoudens!E8</f>
        <v>1106.1506576044378</v>
      </c>
      <c r="F4" s="449">
        <f>huishoudens!F8</f>
        <v>24232.005831383951</v>
      </c>
      <c r="G4" s="449">
        <f>huishoudens!G8</f>
        <v>0</v>
      </c>
      <c r="H4" s="449">
        <f>huishoudens!H8</f>
        <v>0</v>
      </c>
      <c r="I4" s="449">
        <f>huishoudens!I8</f>
        <v>0</v>
      </c>
      <c r="J4" s="449">
        <f>huishoudens!J8</f>
        <v>138.10085157860479</v>
      </c>
      <c r="K4" s="449">
        <f>huishoudens!K8</f>
        <v>0</v>
      </c>
      <c r="L4" s="449">
        <f>huishoudens!L8</f>
        <v>0</v>
      </c>
      <c r="M4" s="449">
        <f>huishoudens!M8</f>
        <v>0</v>
      </c>
      <c r="N4" s="449">
        <f>huishoudens!N8</f>
        <v>10836.514526028006</v>
      </c>
      <c r="O4" s="449">
        <f>huishoudens!O8</f>
        <v>372.98414524476198</v>
      </c>
      <c r="P4" s="450">
        <f>huishoudens!P8</f>
        <v>874.31862253785675</v>
      </c>
      <c r="Q4" s="451">
        <f>SUM(B4:P4)</f>
        <v>172444.33020369866</v>
      </c>
    </row>
    <row r="5" spans="1:17">
      <c r="A5" s="448" t="s">
        <v>155</v>
      </c>
      <c r="B5" s="449">
        <f ca="1">tertiair!B16</f>
        <v>51207.652800835393</v>
      </c>
      <c r="C5" s="449">
        <f ca="1">tertiair!C16</f>
        <v>18392.142857142859</v>
      </c>
      <c r="D5" s="449">
        <f ca="1">tertiair!D16</f>
        <v>14148.611156706262</v>
      </c>
      <c r="E5" s="449">
        <f>tertiair!E16</f>
        <v>167.44351151566957</v>
      </c>
      <c r="F5" s="449">
        <f ca="1">tertiair!F16</f>
        <v>5411.3786959627259</v>
      </c>
      <c r="G5" s="449">
        <f>tertiair!G16</f>
        <v>0</v>
      </c>
      <c r="H5" s="449">
        <f>tertiair!H16</f>
        <v>0</v>
      </c>
      <c r="I5" s="449">
        <f>tertiair!I16</f>
        <v>0</v>
      </c>
      <c r="J5" s="449">
        <f>tertiair!J16</f>
        <v>2.3465069431665694E-2</v>
      </c>
      <c r="K5" s="449">
        <f>tertiair!K16</f>
        <v>0</v>
      </c>
      <c r="L5" s="449">
        <f ca="1">tertiair!L16</f>
        <v>0</v>
      </c>
      <c r="M5" s="449">
        <f>tertiair!M16</f>
        <v>0</v>
      </c>
      <c r="N5" s="449">
        <f ca="1">tertiair!N16</f>
        <v>925.01761369031999</v>
      </c>
      <c r="O5" s="449">
        <f>tertiair!O16</f>
        <v>0</v>
      </c>
      <c r="P5" s="450">
        <f>tertiair!P16</f>
        <v>315.23482983897009</v>
      </c>
      <c r="Q5" s="448">
        <f t="shared" ref="Q5:Q14" ca="1" si="0">SUM(B5:P5)</f>
        <v>90567.504930761628</v>
      </c>
    </row>
    <row r="6" spans="1:17">
      <c r="A6" s="448" t="s">
        <v>193</v>
      </c>
      <c r="B6" s="449">
        <f>'openbare verlichting'!B8</f>
        <v>1357.2950000000001</v>
      </c>
      <c r="C6" s="449"/>
      <c r="D6" s="449"/>
      <c r="E6" s="449"/>
      <c r="F6" s="449"/>
      <c r="G6" s="449"/>
      <c r="H6" s="449"/>
      <c r="I6" s="449"/>
      <c r="J6" s="449"/>
      <c r="K6" s="449"/>
      <c r="L6" s="449"/>
      <c r="M6" s="449"/>
      <c r="N6" s="449"/>
      <c r="O6" s="449"/>
      <c r="P6" s="450"/>
      <c r="Q6" s="448">
        <f t="shared" si="0"/>
        <v>1357.2950000000001</v>
      </c>
    </row>
    <row r="7" spans="1:17">
      <c r="A7" s="448" t="s">
        <v>111</v>
      </c>
      <c r="B7" s="449">
        <f>landbouw!B8</f>
        <v>1834.4410318330602</v>
      </c>
      <c r="C7" s="449">
        <f>landbouw!C8</f>
        <v>43385.747104247108</v>
      </c>
      <c r="D7" s="449">
        <f>landbouw!D8</f>
        <v>0</v>
      </c>
      <c r="E7" s="449">
        <f>landbouw!E8</f>
        <v>52.541495594284363</v>
      </c>
      <c r="F7" s="449">
        <f>landbouw!F8</f>
        <v>5806.8927027591271</v>
      </c>
      <c r="G7" s="449">
        <f>landbouw!G8</f>
        <v>0</v>
      </c>
      <c r="H7" s="449">
        <f>landbouw!H8</f>
        <v>0</v>
      </c>
      <c r="I7" s="449">
        <f>landbouw!I8</f>
        <v>0</v>
      </c>
      <c r="J7" s="449">
        <f>landbouw!J8</f>
        <v>466.44074855877034</v>
      </c>
      <c r="K7" s="449">
        <f>landbouw!K8</f>
        <v>0</v>
      </c>
      <c r="L7" s="449">
        <f>landbouw!L8</f>
        <v>0</v>
      </c>
      <c r="M7" s="449">
        <f>landbouw!M8</f>
        <v>0</v>
      </c>
      <c r="N7" s="449">
        <f>landbouw!N8</f>
        <v>0</v>
      </c>
      <c r="O7" s="449">
        <f>landbouw!O8</f>
        <v>0</v>
      </c>
      <c r="P7" s="450">
        <f>landbouw!P8</f>
        <v>0</v>
      </c>
      <c r="Q7" s="448">
        <f t="shared" si="0"/>
        <v>51546.063082992354</v>
      </c>
    </row>
    <row r="8" spans="1:17">
      <c r="A8" s="448" t="s">
        <v>617</v>
      </c>
      <c r="B8" s="449">
        <f>industrie!B18</f>
        <v>10558.498815607185</v>
      </c>
      <c r="C8" s="449">
        <f>industrie!C18</f>
        <v>0</v>
      </c>
      <c r="D8" s="449">
        <f>industrie!D18</f>
        <v>8453.8942401418681</v>
      </c>
      <c r="E8" s="449">
        <f>industrie!E18</f>
        <v>72.314943170555992</v>
      </c>
      <c r="F8" s="449">
        <f>industrie!F18</f>
        <v>3619.8659484078526</v>
      </c>
      <c r="G8" s="449">
        <f>industrie!G18</f>
        <v>0</v>
      </c>
      <c r="H8" s="449">
        <f>industrie!H18</f>
        <v>0</v>
      </c>
      <c r="I8" s="449">
        <f>industrie!I18</f>
        <v>0</v>
      </c>
      <c r="J8" s="449">
        <f>industrie!J18</f>
        <v>4.0671889605444118</v>
      </c>
      <c r="K8" s="449">
        <f>industrie!K18</f>
        <v>0</v>
      </c>
      <c r="L8" s="449">
        <f>industrie!L18</f>
        <v>0</v>
      </c>
      <c r="M8" s="449">
        <f>industrie!M18</f>
        <v>0</v>
      </c>
      <c r="N8" s="449">
        <f>industrie!N18</f>
        <v>390.66068091898984</v>
      </c>
      <c r="O8" s="449">
        <f>industrie!O18</f>
        <v>0</v>
      </c>
      <c r="P8" s="450">
        <f>industrie!P18</f>
        <v>0</v>
      </c>
      <c r="Q8" s="448">
        <f t="shared" si="0"/>
        <v>23099.301817206997</v>
      </c>
    </row>
    <row r="9" spans="1:17" s="454" customFormat="1">
      <c r="A9" s="452" t="s">
        <v>543</v>
      </c>
      <c r="B9" s="453">
        <f>transport!B14</f>
        <v>864.98121207161728</v>
      </c>
      <c r="C9" s="453">
        <f>transport!C14</f>
        <v>0</v>
      </c>
      <c r="D9" s="453">
        <f>transport!D14</f>
        <v>1363.0808577532787</v>
      </c>
      <c r="E9" s="453">
        <f>transport!E14</f>
        <v>598.42168183147703</v>
      </c>
      <c r="F9" s="453">
        <f>transport!F14</f>
        <v>0</v>
      </c>
      <c r="G9" s="453">
        <f>transport!G14</f>
        <v>318221.07592579303</v>
      </c>
      <c r="H9" s="453">
        <f>transport!H14</f>
        <v>68482.60829424941</v>
      </c>
      <c r="I9" s="453">
        <f>transport!I14</f>
        <v>0</v>
      </c>
      <c r="J9" s="453">
        <f>transport!J14</f>
        <v>0</v>
      </c>
      <c r="K9" s="453">
        <f>transport!K14</f>
        <v>0</v>
      </c>
      <c r="L9" s="453">
        <f>transport!L14</f>
        <v>0</v>
      </c>
      <c r="M9" s="453">
        <f>transport!M14</f>
        <v>23126.495665064329</v>
      </c>
      <c r="N9" s="453">
        <f>transport!N14</f>
        <v>0</v>
      </c>
      <c r="O9" s="453">
        <f>transport!O14</f>
        <v>0</v>
      </c>
      <c r="P9" s="453">
        <f>transport!P14</f>
        <v>0</v>
      </c>
      <c r="Q9" s="452">
        <f>SUM(B9:P9)</f>
        <v>412656.66363676311</v>
      </c>
    </row>
    <row r="10" spans="1:17">
      <c r="A10" s="448" t="s">
        <v>533</v>
      </c>
      <c r="B10" s="449">
        <f>transport!B54</f>
        <v>27.713442459009361</v>
      </c>
      <c r="C10" s="449">
        <f>transport!C54</f>
        <v>0</v>
      </c>
      <c r="D10" s="449">
        <f>transport!D54</f>
        <v>0</v>
      </c>
      <c r="E10" s="449">
        <f>transport!E54</f>
        <v>0</v>
      </c>
      <c r="F10" s="449">
        <f>transport!F54</f>
        <v>0</v>
      </c>
      <c r="G10" s="449">
        <f>transport!G54</f>
        <v>1734.9452815384359</v>
      </c>
      <c r="H10" s="449">
        <f>transport!H54</f>
        <v>0</v>
      </c>
      <c r="I10" s="449">
        <f>transport!I54</f>
        <v>0</v>
      </c>
      <c r="J10" s="449">
        <f>transport!J54</f>
        <v>0</v>
      </c>
      <c r="K10" s="449">
        <f>transport!K54</f>
        <v>0</v>
      </c>
      <c r="L10" s="449">
        <f>transport!L54</f>
        <v>0</v>
      </c>
      <c r="M10" s="449">
        <f>transport!M54</f>
        <v>99.616716493113103</v>
      </c>
      <c r="N10" s="449">
        <f>transport!N54</f>
        <v>0</v>
      </c>
      <c r="O10" s="449">
        <f>transport!O54</f>
        <v>0</v>
      </c>
      <c r="P10" s="450">
        <f>transport!P54</f>
        <v>0</v>
      </c>
      <c r="Q10" s="448">
        <f t="shared" si="0"/>
        <v>1862.2754404905584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1226.0406121370102</v>
      </c>
      <c r="C14" s="456"/>
      <c r="D14" s="456">
        <f>'SEAP template'!E25</f>
        <v>10079.431156660199</v>
      </c>
      <c r="E14" s="456"/>
      <c r="F14" s="456"/>
      <c r="G14" s="456"/>
      <c r="H14" s="456"/>
      <c r="I14" s="456"/>
      <c r="J14" s="456"/>
      <c r="K14" s="456"/>
      <c r="L14" s="456"/>
      <c r="M14" s="456"/>
      <c r="N14" s="456"/>
      <c r="O14" s="456"/>
      <c r="P14" s="457"/>
      <c r="Q14" s="448">
        <f t="shared" si="0"/>
        <v>11305.47176879721</v>
      </c>
    </row>
    <row r="15" spans="1:17" s="460" customFormat="1">
      <c r="A15" s="458" t="s">
        <v>537</v>
      </c>
      <c r="B15" s="459">
        <f ca="1">SUM(B4:B14)</f>
        <v>102498.12777179583</v>
      </c>
      <c r="C15" s="459">
        <f t="shared" ref="C15:Q15" ca="1" si="1">SUM(C4:C14)</f>
        <v>61777.88996138997</v>
      </c>
      <c r="D15" s="459">
        <f t="shared" ca="1" si="1"/>
        <v>133507.76812373006</v>
      </c>
      <c r="E15" s="459">
        <f t="shared" si="1"/>
        <v>1996.8722897164248</v>
      </c>
      <c r="F15" s="459">
        <f t="shared" ca="1" si="1"/>
        <v>39070.143178513652</v>
      </c>
      <c r="G15" s="459">
        <f t="shared" si="1"/>
        <v>319956.02120733145</v>
      </c>
      <c r="H15" s="459">
        <f t="shared" si="1"/>
        <v>68482.60829424941</v>
      </c>
      <c r="I15" s="459">
        <f t="shared" si="1"/>
        <v>0</v>
      </c>
      <c r="J15" s="459">
        <f t="shared" si="1"/>
        <v>608.63225416735122</v>
      </c>
      <c r="K15" s="459">
        <f t="shared" si="1"/>
        <v>0</v>
      </c>
      <c r="L15" s="459">
        <f t="shared" ca="1" si="1"/>
        <v>0</v>
      </c>
      <c r="M15" s="459">
        <f t="shared" si="1"/>
        <v>23226.112381557443</v>
      </c>
      <c r="N15" s="459">
        <f t="shared" ca="1" si="1"/>
        <v>12152.192820637316</v>
      </c>
      <c r="O15" s="459">
        <f t="shared" si="1"/>
        <v>372.98414524476198</v>
      </c>
      <c r="P15" s="459">
        <f t="shared" si="1"/>
        <v>1189.553452376827</v>
      </c>
      <c r="Q15" s="459">
        <f t="shared" ca="1" si="1"/>
        <v>764838.90588071058</v>
      </c>
    </row>
    <row r="17" spans="1:17">
      <c r="A17" s="461" t="s">
        <v>538</v>
      </c>
      <c r="B17" s="778">
        <f ca="1">huishoudens!B10</f>
        <v>0.20560065114545437</v>
      </c>
      <c r="C17" s="778">
        <f ca="1">huishoudens!C10</f>
        <v>0.23764445963517469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7282.6844631207605</v>
      </c>
      <c r="C22" s="449">
        <f t="shared" ref="C22:C32" ca="1" si="3">C4*$C$17</f>
        <v>0</v>
      </c>
      <c r="D22" s="449">
        <f t="shared" ref="D22:D32" si="4">D4*$D$17</f>
        <v>20091.475643918628</v>
      </c>
      <c r="E22" s="449">
        <f t="shared" ref="E22:E32" si="5">E4*$E$17</f>
        <v>251.09619927620739</v>
      </c>
      <c r="F22" s="449">
        <f t="shared" ref="F22:F32" si="6">F4*$F$17</f>
        <v>6469.9455569795155</v>
      </c>
      <c r="G22" s="449">
        <f t="shared" ref="G22:G32" si="7">G4*$G$17</f>
        <v>0</v>
      </c>
      <c r="H22" s="449">
        <f t="shared" ref="H22:H32" si="8">H4*$H$17</f>
        <v>0</v>
      </c>
      <c r="I22" s="449">
        <f t="shared" ref="I22:I32" si="9">I4*$I$17</f>
        <v>0</v>
      </c>
      <c r="J22" s="449">
        <f t="shared" ref="J22:J32" si="10">J4*$J$17</f>
        <v>48.887701458826093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34144.089564753936</v>
      </c>
    </row>
    <row r="23" spans="1:17">
      <c r="A23" s="448" t="s">
        <v>155</v>
      </c>
      <c r="B23" s="449">
        <f t="shared" ca="1" si="2"/>
        <v>10528.326759482106</v>
      </c>
      <c r="C23" s="449">
        <f t="shared" ca="1" si="3"/>
        <v>4370.7908508186529</v>
      </c>
      <c r="D23" s="449">
        <f t="shared" ca="1" si="4"/>
        <v>2858.0194536546651</v>
      </c>
      <c r="E23" s="449">
        <f t="shared" si="5"/>
        <v>38.009677114056991</v>
      </c>
      <c r="F23" s="449">
        <f t="shared" ca="1" si="6"/>
        <v>1444.8381118220479</v>
      </c>
      <c r="G23" s="449">
        <f t="shared" si="7"/>
        <v>0</v>
      </c>
      <c r="H23" s="449">
        <f t="shared" si="8"/>
        <v>0</v>
      </c>
      <c r="I23" s="449">
        <f t="shared" si="9"/>
        <v>0</v>
      </c>
      <c r="J23" s="449">
        <f t="shared" si="10"/>
        <v>8.306634578809655E-3</v>
      </c>
      <c r="K23" s="449">
        <f t="shared" si="11"/>
        <v>0</v>
      </c>
      <c r="L23" s="449">
        <f t="shared" ca="1" si="12"/>
        <v>0</v>
      </c>
      <c r="M23" s="449">
        <f t="shared" si="13"/>
        <v>0</v>
      </c>
      <c r="N23" s="449">
        <f t="shared" ca="1" si="14"/>
        <v>0</v>
      </c>
      <c r="O23" s="449">
        <f t="shared" si="15"/>
        <v>0</v>
      </c>
      <c r="P23" s="450">
        <f t="shared" si="16"/>
        <v>0</v>
      </c>
      <c r="Q23" s="448">
        <f t="shared" ref="Q23:Q31" ca="1" si="17">SUM(B23:P23)</f>
        <v>19239.993159526111</v>
      </c>
    </row>
    <row r="24" spans="1:17">
      <c r="A24" s="448" t="s">
        <v>193</v>
      </c>
      <c r="B24" s="449">
        <f t="shared" ca="1" si="2"/>
        <v>279.06073579646949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279.06073579646949</v>
      </c>
    </row>
    <row r="25" spans="1:17">
      <c r="A25" s="448" t="s">
        <v>111</v>
      </c>
      <c r="B25" s="449">
        <f t="shared" ca="1" si="2"/>
        <v>377.16227063281633</v>
      </c>
      <c r="C25" s="449">
        <f t="shared" ca="1" si="3"/>
        <v>10310.382426457149</v>
      </c>
      <c r="D25" s="449">
        <f t="shared" si="4"/>
        <v>0</v>
      </c>
      <c r="E25" s="449">
        <f t="shared" si="5"/>
        <v>11.926919499902551</v>
      </c>
      <c r="F25" s="449">
        <f t="shared" si="6"/>
        <v>1550.440351636687</v>
      </c>
      <c r="G25" s="449">
        <f t="shared" si="7"/>
        <v>0</v>
      </c>
      <c r="H25" s="449">
        <f t="shared" si="8"/>
        <v>0</v>
      </c>
      <c r="I25" s="449">
        <f t="shared" si="9"/>
        <v>0</v>
      </c>
      <c r="J25" s="449">
        <f t="shared" si="10"/>
        <v>165.1200249898047</v>
      </c>
      <c r="K25" s="449">
        <f t="shared" si="11"/>
        <v>0</v>
      </c>
      <c r="L25" s="449">
        <f t="shared" si="12"/>
        <v>0</v>
      </c>
      <c r="M25" s="449">
        <f t="shared" si="13"/>
        <v>0</v>
      </c>
      <c r="N25" s="449">
        <f t="shared" si="14"/>
        <v>0</v>
      </c>
      <c r="O25" s="449">
        <f t="shared" si="15"/>
        <v>0</v>
      </c>
      <c r="P25" s="450">
        <f t="shared" si="16"/>
        <v>0</v>
      </c>
      <c r="Q25" s="448">
        <f t="shared" ca="1" si="17"/>
        <v>12415.03199321636</v>
      </c>
    </row>
    <row r="26" spans="1:17">
      <c r="A26" s="448" t="s">
        <v>617</v>
      </c>
      <c r="B26" s="449">
        <f t="shared" ca="1" si="2"/>
        <v>2170.8342316073458</v>
      </c>
      <c r="C26" s="449">
        <f t="shared" ca="1" si="3"/>
        <v>0</v>
      </c>
      <c r="D26" s="449">
        <f t="shared" si="4"/>
        <v>1707.6866365086576</v>
      </c>
      <c r="E26" s="449">
        <f t="shared" si="5"/>
        <v>16.415492099716211</v>
      </c>
      <c r="F26" s="449">
        <f t="shared" si="6"/>
        <v>966.50420822489673</v>
      </c>
      <c r="G26" s="449">
        <f t="shared" si="7"/>
        <v>0</v>
      </c>
      <c r="H26" s="449">
        <f t="shared" si="8"/>
        <v>0</v>
      </c>
      <c r="I26" s="449">
        <f t="shared" si="9"/>
        <v>0</v>
      </c>
      <c r="J26" s="449">
        <f t="shared" si="10"/>
        <v>1.4397848920327216</v>
      </c>
      <c r="K26" s="449">
        <f t="shared" si="11"/>
        <v>0</v>
      </c>
      <c r="L26" s="449">
        <f t="shared" si="12"/>
        <v>0</v>
      </c>
      <c r="M26" s="449">
        <f t="shared" si="13"/>
        <v>0</v>
      </c>
      <c r="N26" s="449">
        <f t="shared" si="14"/>
        <v>0</v>
      </c>
      <c r="O26" s="449">
        <f t="shared" si="15"/>
        <v>0</v>
      </c>
      <c r="P26" s="450">
        <f t="shared" si="16"/>
        <v>0</v>
      </c>
      <c r="Q26" s="448">
        <f t="shared" ca="1" si="17"/>
        <v>4862.8803533326491</v>
      </c>
    </row>
    <row r="27" spans="1:17" s="454" customFormat="1">
      <c r="A27" s="452" t="s">
        <v>543</v>
      </c>
      <c r="B27" s="772">
        <f t="shared" ca="1" si="2"/>
        <v>177.84070043050886</v>
      </c>
      <c r="C27" s="453">
        <f t="shared" ca="1" si="3"/>
        <v>0</v>
      </c>
      <c r="D27" s="453">
        <f t="shared" si="4"/>
        <v>275.34233326616231</v>
      </c>
      <c r="E27" s="453">
        <f t="shared" si="5"/>
        <v>135.8417217757453</v>
      </c>
      <c r="F27" s="453">
        <f t="shared" si="6"/>
        <v>0</v>
      </c>
      <c r="G27" s="453">
        <f t="shared" si="7"/>
        <v>84965.027272186751</v>
      </c>
      <c r="H27" s="453">
        <f t="shared" si="8"/>
        <v>17052.169465268104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102606.22149292727</v>
      </c>
    </row>
    <row r="28" spans="1:17" ht="16.5" customHeight="1">
      <c r="A28" s="448" t="s">
        <v>533</v>
      </c>
      <c r="B28" s="449">
        <f t="shared" ca="1" si="2"/>
        <v>5.697901815054407</v>
      </c>
      <c r="C28" s="449">
        <f t="shared" ca="1" si="3"/>
        <v>0</v>
      </c>
      <c r="D28" s="449">
        <f t="shared" si="4"/>
        <v>0</v>
      </c>
      <c r="E28" s="449">
        <f t="shared" si="5"/>
        <v>0</v>
      </c>
      <c r="F28" s="449">
        <f t="shared" si="6"/>
        <v>0</v>
      </c>
      <c r="G28" s="449">
        <f t="shared" si="7"/>
        <v>463.2303901707624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468.92829198581683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252.07474818614074</v>
      </c>
      <c r="C32" s="449">
        <f t="shared" ca="1" si="3"/>
        <v>0</v>
      </c>
      <c r="D32" s="449">
        <f t="shared" si="4"/>
        <v>2036.0450936453603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2288.1198418315012</v>
      </c>
    </row>
    <row r="33" spans="1:17" s="460" customFormat="1">
      <c r="A33" s="458" t="s">
        <v>537</v>
      </c>
      <c r="B33" s="459">
        <f ca="1">SUM(B22:B32)</f>
        <v>21073.681811071201</v>
      </c>
      <c r="C33" s="459">
        <f t="shared" ref="C33:Q33" ca="1" si="19">SUM(C22:C32)</f>
        <v>14681.173277275801</v>
      </c>
      <c r="D33" s="459">
        <f t="shared" ca="1" si="19"/>
        <v>26968.569160993473</v>
      </c>
      <c r="E33" s="459">
        <f t="shared" si="19"/>
        <v>453.2900097656285</v>
      </c>
      <c r="F33" s="459">
        <f t="shared" ca="1" si="19"/>
        <v>10431.728228663147</v>
      </c>
      <c r="G33" s="459">
        <f t="shared" si="19"/>
        <v>85428.257662357515</v>
      </c>
      <c r="H33" s="459">
        <f t="shared" si="19"/>
        <v>17052.169465268104</v>
      </c>
      <c r="I33" s="459">
        <f t="shared" si="19"/>
        <v>0</v>
      </c>
      <c r="J33" s="459">
        <f t="shared" si="19"/>
        <v>215.45581797524233</v>
      </c>
      <c r="K33" s="459">
        <f t="shared" si="19"/>
        <v>0</v>
      </c>
      <c r="L33" s="459">
        <f t="shared" ca="1" si="19"/>
        <v>0</v>
      </c>
      <c r="M33" s="459">
        <f t="shared" si="19"/>
        <v>0</v>
      </c>
      <c r="N33" s="459">
        <f t="shared" ca="1" si="19"/>
        <v>0</v>
      </c>
      <c r="O33" s="459">
        <f t="shared" si="19"/>
        <v>0</v>
      </c>
      <c r="P33" s="459">
        <f t="shared" si="19"/>
        <v>0</v>
      </c>
      <c r="Q33" s="459">
        <f t="shared" ca="1" si="19"/>
        <v>176304.32543337013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10399.030593615345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43244.5</v>
      </c>
      <c r="D8" s="1016">
        <f>'SEAP template'!D76</f>
        <v>50875.32591432333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10276.815834693314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10399.030593615345</v>
      </c>
      <c r="C10" s="1018">
        <f>SUM(C4:C9)</f>
        <v>43244.5</v>
      </c>
      <c r="D10" s="1018">
        <f t="shared" ref="D10:H10" si="0">SUM(D8:D9)</f>
        <v>50875.32591432333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10276.815834693314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0.20560065114545437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61777.889961389963</v>
      </c>
      <c r="D17" s="1017">
        <f>'SEAP template'!D87</f>
        <v>72679.075630078223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14681.173277275802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61777.889961389963</v>
      </c>
      <c r="D20" s="1018">
        <f t="shared" ref="D20:H20" si="2">SUM(D17:D19)</f>
        <v>72679.075630078223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14681.173277275802</v>
      </c>
    </row>
    <row r="21" spans="1:16">
      <c r="B21" s="883"/>
    </row>
    <row r="22" spans="1:16">
      <c r="A22" s="461" t="s">
        <v>755</v>
      </c>
      <c r="B22" s="778" t="s">
        <v>753</v>
      </c>
      <c r="C22" s="778">
        <f ca="1">'EF ele_warmte'!B22</f>
        <v>0.23764445963517469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0.20560065114545437</v>
      </c>
      <c r="C17" s="498">
        <f ca="1">'EF ele_warmte'!B22</f>
        <v>0.23764445963517469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0.20560065114545437</v>
      </c>
      <c r="C17" s="498">
        <f ca="1">'EF ele_warmte'!B22</f>
        <v>0.23764445963517469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0.20560065114545437</v>
      </c>
      <c r="C29" s="499">
        <f ca="1">'EF ele_warmte'!B22</f>
        <v>0.23764445963517469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8734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904.14</v>
      </c>
      <c r="C14" s="326"/>
      <c r="D14" s="326"/>
      <c r="E14" s="326"/>
      <c r="F14" s="326"/>
    </row>
    <row r="15" spans="1:6">
      <c r="A15" s="1312" t="s">
        <v>183</v>
      </c>
      <c r="B15" s="1313">
        <v>363</v>
      </c>
      <c r="C15" s="326"/>
      <c r="D15" s="326"/>
      <c r="E15" s="326"/>
      <c r="F15" s="326"/>
    </row>
    <row r="16" spans="1:6">
      <c r="A16" s="1312" t="s">
        <v>6</v>
      </c>
      <c r="B16" s="1313">
        <v>932</v>
      </c>
      <c r="C16" s="326"/>
      <c r="D16" s="326"/>
      <c r="E16" s="326"/>
      <c r="F16" s="326"/>
    </row>
    <row r="17" spans="1:6">
      <c r="A17" s="1312" t="s">
        <v>7</v>
      </c>
      <c r="B17" s="1313">
        <v>63</v>
      </c>
      <c r="C17" s="326"/>
      <c r="D17" s="326"/>
      <c r="E17" s="326"/>
      <c r="F17" s="326"/>
    </row>
    <row r="18" spans="1:6">
      <c r="A18" s="1312" t="s">
        <v>8</v>
      </c>
      <c r="B18" s="1313">
        <v>548</v>
      </c>
      <c r="C18" s="326"/>
      <c r="D18" s="326"/>
      <c r="E18" s="326"/>
      <c r="F18" s="326"/>
    </row>
    <row r="19" spans="1:6">
      <c r="A19" s="1312" t="s">
        <v>9</v>
      </c>
      <c r="B19" s="1313">
        <v>381</v>
      </c>
      <c r="C19" s="326"/>
      <c r="D19" s="326"/>
      <c r="E19" s="326"/>
      <c r="F19" s="326"/>
    </row>
    <row r="20" spans="1:6">
      <c r="A20" s="1312" t="s">
        <v>10</v>
      </c>
      <c r="B20" s="1313">
        <v>502</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4</v>
      </c>
      <c r="C27" s="326"/>
      <c r="D27" s="326"/>
      <c r="E27" s="326"/>
      <c r="F27" s="326"/>
    </row>
    <row r="28" spans="1:6" s="43" customFormat="1">
      <c r="A28" s="1314" t="s">
        <v>18</v>
      </c>
      <c r="B28" s="1315">
        <v>8</v>
      </c>
      <c r="C28" s="332"/>
      <c r="D28" s="332"/>
      <c r="E28" s="332"/>
      <c r="F28" s="332"/>
    </row>
    <row r="29" spans="1:6">
      <c r="A29" s="1314" t="s">
        <v>684</v>
      </c>
      <c r="B29" s="1315">
        <v>120</v>
      </c>
      <c r="C29" s="332"/>
      <c r="D29" s="332"/>
      <c r="E29" s="332"/>
      <c r="F29" s="332"/>
    </row>
    <row r="30" spans="1:6">
      <c r="A30" s="1307" t="s">
        <v>685</v>
      </c>
      <c r="B30" s="1316">
        <v>16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v>
      </c>
      <c r="F36" s="1313">
        <v>708838.61079460406</v>
      </c>
    </row>
    <row r="37" spans="1:6">
      <c r="A37" s="1312" t="s">
        <v>24</v>
      </c>
      <c r="B37" s="1312" t="s">
        <v>27</v>
      </c>
      <c r="C37" s="1313">
        <v>0</v>
      </c>
      <c r="D37" s="1313">
        <v>0</v>
      </c>
      <c r="E37" s="1313">
        <v>0</v>
      </c>
      <c r="F37" s="1313">
        <v>0</v>
      </c>
    </row>
    <row r="38" spans="1:6">
      <c r="A38" s="1312" t="s">
        <v>24</v>
      </c>
      <c r="B38" s="1312" t="s">
        <v>28</v>
      </c>
      <c r="C38" s="1313">
        <v>2</v>
      </c>
      <c r="D38" s="1313">
        <v>35691298.275261797</v>
      </c>
      <c r="E38" s="1313">
        <v>0</v>
      </c>
      <c r="F38" s="1313">
        <v>0</v>
      </c>
    </row>
    <row r="39" spans="1:6">
      <c r="A39" s="1312" t="s">
        <v>29</v>
      </c>
      <c r="B39" s="1312" t="s">
        <v>30</v>
      </c>
      <c r="C39" s="1313">
        <v>7272</v>
      </c>
      <c r="D39" s="1313">
        <v>110147010.755779</v>
      </c>
      <c r="E39" s="1313">
        <v>8666</v>
      </c>
      <c r="F39" s="1313">
        <v>30176021.8418089</v>
      </c>
    </row>
    <row r="40" spans="1:6">
      <c r="A40" s="1312" t="s">
        <v>29</v>
      </c>
      <c r="B40" s="1312" t="s">
        <v>28</v>
      </c>
      <c r="C40" s="1313">
        <v>0</v>
      </c>
      <c r="D40" s="1313">
        <v>0</v>
      </c>
      <c r="E40" s="1313">
        <v>1</v>
      </c>
      <c r="F40" s="1313">
        <v>0</v>
      </c>
    </row>
    <row r="41" spans="1:6">
      <c r="A41" s="1312" t="s">
        <v>31</v>
      </c>
      <c r="B41" s="1312" t="s">
        <v>32</v>
      </c>
      <c r="C41" s="1313">
        <v>132</v>
      </c>
      <c r="D41" s="1313">
        <v>5728071.4231773997</v>
      </c>
      <c r="E41" s="1313">
        <v>260</v>
      </c>
      <c r="F41" s="1313">
        <v>5313504.1010772102</v>
      </c>
    </row>
    <row r="42" spans="1:6">
      <c r="A42" s="1312" t="s">
        <v>31</v>
      </c>
      <c r="B42" s="1312" t="s">
        <v>33</v>
      </c>
      <c r="C42" s="1313">
        <v>5</v>
      </c>
      <c r="D42" s="1313">
        <v>314169.629746905</v>
      </c>
      <c r="E42" s="1313">
        <v>8</v>
      </c>
      <c r="F42" s="1313">
        <v>171699.04839862901</v>
      </c>
    </row>
    <row r="43" spans="1:6">
      <c r="A43" s="1312" t="s">
        <v>31</v>
      </c>
      <c r="B43" s="1312" t="s">
        <v>34</v>
      </c>
      <c r="C43" s="1313">
        <v>0</v>
      </c>
      <c r="D43" s="1313">
        <v>0</v>
      </c>
      <c r="E43" s="1313">
        <v>0</v>
      </c>
      <c r="F43" s="1313">
        <v>0</v>
      </c>
    </row>
    <row r="44" spans="1:6">
      <c r="A44" s="1312" t="s">
        <v>31</v>
      </c>
      <c r="B44" s="1312" t="s">
        <v>35</v>
      </c>
      <c r="C44" s="1313">
        <v>16</v>
      </c>
      <c r="D44" s="1313">
        <v>2328142.67638889</v>
      </c>
      <c r="E44" s="1313">
        <v>29</v>
      </c>
      <c r="F44" s="1313">
        <v>1792273.75730836</v>
      </c>
    </row>
    <row r="45" spans="1:6">
      <c r="A45" s="1312" t="s">
        <v>31</v>
      </c>
      <c r="B45" s="1312" t="s">
        <v>36</v>
      </c>
      <c r="C45" s="1313">
        <v>5</v>
      </c>
      <c r="D45" s="1313">
        <v>137964.435090051</v>
      </c>
      <c r="E45" s="1313">
        <v>6</v>
      </c>
      <c r="F45" s="1313">
        <v>61146.764699342799</v>
      </c>
    </row>
    <row r="46" spans="1:6">
      <c r="A46" s="1312" t="s">
        <v>31</v>
      </c>
      <c r="B46" s="1312" t="s">
        <v>37</v>
      </c>
      <c r="C46" s="1313">
        <v>0</v>
      </c>
      <c r="D46" s="1313">
        <v>0</v>
      </c>
      <c r="E46" s="1313">
        <v>0</v>
      </c>
      <c r="F46" s="1313">
        <v>0</v>
      </c>
    </row>
    <row r="47" spans="1:6">
      <c r="A47" s="1312" t="s">
        <v>31</v>
      </c>
      <c r="B47" s="1312" t="s">
        <v>38</v>
      </c>
      <c r="C47" s="1313">
        <v>8</v>
      </c>
      <c r="D47" s="1313">
        <v>358181.06476255902</v>
      </c>
      <c r="E47" s="1313">
        <v>9</v>
      </c>
      <c r="F47" s="1313">
        <v>602872.45275452</v>
      </c>
    </row>
    <row r="48" spans="1:6">
      <c r="A48" s="1312" t="s">
        <v>31</v>
      </c>
      <c r="B48" s="1312" t="s">
        <v>28</v>
      </c>
      <c r="C48" s="1313">
        <v>2</v>
      </c>
      <c r="D48" s="1313">
        <v>79697.383508858198</v>
      </c>
      <c r="E48" s="1313">
        <v>2</v>
      </c>
      <c r="F48" s="1313">
        <v>53708.905889463698</v>
      </c>
    </row>
    <row r="49" spans="1:6">
      <c r="A49" s="1312" t="s">
        <v>31</v>
      </c>
      <c r="B49" s="1312" t="s">
        <v>39</v>
      </c>
      <c r="C49" s="1313">
        <v>0</v>
      </c>
      <c r="D49" s="1313">
        <v>0</v>
      </c>
      <c r="E49" s="1313">
        <v>0</v>
      </c>
      <c r="F49" s="1313">
        <v>0</v>
      </c>
    </row>
    <row r="50" spans="1:6">
      <c r="A50" s="1312" t="s">
        <v>31</v>
      </c>
      <c r="B50" s="1312" t="s">
        <v>40</v>
      </c>
      <c r="C50" s="1313">
        <v>9</v>
      </c>
      <c r="D50" s="1313">
        <v>415782.51262087002</v>
      </c>
      <c r="E50" s="1313">
        <v>11</v>
      </c>
      <c r="F50" s="1313">
        <v>2563293.7854796601</v>
      </c>
    </row>
    <row r="51" spans="1:6">
      <c r="A51" s="1312" t="s">
        <v>41</v>
      </c>
      <c r="B51" s="1312" t="s">
        <v>42</v>
      </c>
      <c r="C51" s="1313">
        <v>9</v>
      </c>
      <c r="D51" s="1313">
        <v>83591492.658536196</v>
      </c>
      <c r="E51" s="1313">
        <v>66</v>
      </c>
      <c r="F51" s="1313">
        <v>1834441.0318330601</v>
      </c>
    </row>
    <row r="52" spans="1:6">
      <c r="A52" s="1312" t="s">
        <v>41</v>
      </c>
      <c r="B52" s="1312" t="s">
        <v>28</v>
      </c>
      <c r="C52" s="1313">
        <v>0</v>
      </c>
      <c r="D52" s="1313">
        <v>0</v>
      </c>
      <c r="E52" s="1313">
        <v>0</v>
      </c>
      <c r="F52" s="1313">
        <v>0</v>
      </c>
    </row>
    <row r="53" spans="1:6">
      <c r="A53" s="1312" t="s">
        <v>43</v>
      </c>
      <c r="B53" s="1312" t="s">
        <v>44</v>
      </c>
      <c r="C53" s="1313">
        <v>136</v>
      </c>
      <c r="D53" s="1313">
        <v>10079431.156660199</v>
      </c>
      <c r="E53" s="1313">
        <v>321</v>
      </c>
      <c r="F53" s="1313">
        <v>1226040.6121370101</v>
      </c>
    </row>
    <row r="54" spans="1:6">
      <c r="A54" s="1312" t="s">
        <v>45</v>
      </c>
      <c r="B54" s="1312" t="s">
        <v>46</v>
      </c>
      <c r="C54" s="1313">
        <v>0</v>
      </c>
      <c r="D54" s="1313">
        <v>0</v>
      </c>
      <c r="E54" s="1313">
        <v>1</v>
      </c>
      <c r="F54" s="1313">
        <v>1357295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60</v>
      </c>
      <c r="D57" s="1313">
        <v>4214815.7350600502</v>
      </c>
      <c r="E57" s="1313">
        <v>108</v>
      </c>
      <c r="F57" s="1313">
        <v>2320018.7972625401</v>
      </c>
    </row>
    <row r="58" spans="1:6">
      <c r="A58" s="1312" t="s">
        <v>48</v>
      </c>
      <c r="B58" s="1312" t="s">
        <v>50</v>
      </c>
      <c r="C58" s="1313">
        <v>57</v>
      </c>
      <c r="D58" s="1313">
        <v>3333019.85469383</v>
      </c>
      <c r="E58" s="1313">
        <v>67</v>
      </c>
      <c r="F58" s="1313">
        <v>1148410.74259346</v>
      </c>
    </row>
    <row r="59" spans="1:6">
      <c r="A59" s="1312" t="s">
        <v>48</v>
      </c>
      <c r="B59" s="1312" t="s">
        <v>51</v>
      </c>
      <c r="C59" s="1313">
        <v>256</v>
      </c>
      <c r="D59" s="1313">
        <v>21683117.970658101</v>
      </c>
      <c r="E59" s="1313">
        <v>383</v>
      </c>
      <c r="F59" s="1313">
        <v>16751197.1532517</v>
      </c>
    </row>
    <row r="60" spans="1:6">
      <c r="A60" s="1312" t="s">
        <v>48</v>
      </c>
      <c r="B60" s="1312" t="s">
        <v>52</v>
      </c>
      <c r="C60" s="1313">
        <v>70</v>
      </c>
      <c r="D60" s="1313">
        <v>3452724.0701792501</v>
      </c>
      <c r="E60" s="1313">
        <v>87</v>
      </c>
      <c r="F60" s="1313">
        <v>2650184.9887505802</v>
      </c>
    </row>
    <row r="61" spans="1:6">
      <c r="A61" s="1312" t="s">
        <v>48</v>
      </c>
      <c r="B61" s="1312" t="s">
        <v>53</v>
      </c>
      <c r="C61" s="1313">
        <v>340</v>
      </c>
      <c r="D61" s="1313">
        <v>20573947.1739862</v>
      </c>
      <c r="E61" s="1313">
        <v>681</v>
      </c>
      <c r="F61" s="1313">
        <v>14533907.8404381</v>
      </c>
    </row>
    <row r="62" spans="1:6">
      <c r="A62" s="1312" t="s">
        <v>48</v>
      </c>
      <c r="B62" s="1312" t="s">
        <v>54</v>
      </c>
      <c r="C62" s="1313">
        <v>20</v>
      </c>
      <c r="D62" s="1313">
        <v>3146469.1832320802</v>
      </c>
      <c r="E62" s="1313">
        <v>15</v>
      </c>
      <c r="F62" s="1313">
        <v>929433.27853899996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26377.710905989799</v>
      </c>
      <c r="E65" s="1313">
        <v>0</v>
      </c>
      <c r="F65" s="1313">
        <v>0</v>
      </c>
    </row>
    <row r="66" spans="1:6">
      <c r="A66" s="1312" t="s">
        <v>55</v>
      </c>
      <c r="B66" s="1312" t="s">
        <v>57</v>
      </c>
      <c r="C66" s="1313">
        <v>0</v>
      </c>
      <c r="D66" s="1313">
        <v>0</v>
      </c>
      <c r="E66" s="1313">
        <v>16</v>
      </c>
      <c r="F66" s="1313">
        <v>485800.27956957201</v>
      </c>
    </row>
    <row r="67" spans="1:6">
      <c r="A67" s="1314" t="s">
        <v>55</v>
      </c>
      <c r="B67" s="1314" t="s">
        <v>58</v>
      </c>
      <c r="C67" s="1313">
        <v>0</v>
      </c>
      <c r="D67" s="1313">
        <v>0</v>
      </c>
      <c r="E67" s="1313">
        <v>0</v>
      </c>
      <c r="F67" s="1313">
        <v>0</v>
      </c>
    </row>
    <row r="68" spans="1:6">
      <c r="A68" s="1307" t="s">
        <v>55</v>
      </c>
      <c r="B68" s="1307" t="s">
        <v>59</v>
      </c>
      <c r="C68" s="1316">
        <v>3</v>
      </c>
      <c r="D68" s="1316">
        <v>42931.4123709825</v>
      </c>
      <c r="E68" s="1316">
        <v>9</v>
      </c>
      <c r="F68" s="1316">
        <v>171906.433916182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144745311</v>
      </c>
      <c r="E73" s="447"/>
      <c r="F73" s="326"/>
    </row>
    <row r="74" spans="1:6">
      <c r="A74" s="1312" t="s">
        <v>63</v>
      </c>
      <c r="B74" s="1312" t="s">
        <v>638</v>
      </c>
      <c r="C74" s="1326" t="s">
        <v>640</v>
      </c>
      <c r="D74" s="1327">
        <v>27353754.968143739</v>
      </c>
      <c r="E74" s="447"/>
      <c r="F74" s="326"/>
    </row>
    <row r="75" spans="1:6">
      <c r="A75" s="1312" t="s">
        <v>64</v>
      </c>
      <c r="B75" s="1312" t="s">
        <v>637</v>
      </c>
      <c r="C75" s="1326" t="s">
        <v>641</v>
      </c>
      <c r="D75" s="1327">
        <v>34139018</v>
      </c>
      <c r="E75" s="447"/>
      <c r="F75" s="326"/>
    </row>
    <row r="76" spans="1:6">
      <c r="A76" s="1312" t="s">
        <v>64</v>
      </c>
      <c r="B76" s="1312" t="s">
        <v>638</v>
      </c>
      <c r="C76" s="1326" t="s">
        <v>642</v>
      </c>
      <c r="D76" s="1327">
        <v>4372346.9681437388</v>
      </c>
      <c r="E76" s="447"/>
      <c r="F76" s="326"/>
    </row>
    <row r="77" spans="1:6">
      <c r="A77" s="1312" t="s">
        <v>65</v>
      </c>
      <c r="B77" s="1312" t="s">
        <v>637</v>
      </c>
      <c r="C77" s="1326" t="s">
        <v>643</v>
      </c>
      <c r="D77" s="1327">
        <v>215603248</v>
      </c>
      <c r="E77" s="447"/>
      <c r="F77" s="326"/>
    </row>
    <row r="78" spans="1:6">
      <c r="A78" s="1307" t="s">
        <v>65</v>
      </c>
      <c r="B78" s="1307" t="s">
        <v>638</v>
      </c>
      <c r="C78" s="1307" t="s">
        <v>644</v>
      </c>
      <c r="D78" s="1328">
        <v>24319081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516916.06371252303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5245.4830150436637</v>
      </c>
      <c r="C91" s="326"/>
      <c r="D91" s="326"/>
      <c r="E91" s="326"/>
      <c r="F91" s="326"/>
    </row>
    <row r="92" spans="1:6">
      <c r="A92" s="1307" t="s">
        <v>68</v>
      </c>
      <c r="B92" s="1308">
        <v>5153.5475785716826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5036</v>
      </c>
      <c r="C97" s="326"/>
      <c r="D97" s="326"/>
      <c r="E97" s="326"/>
      <c r="F97" s="326"/>
    </row>
    <row r="98" spans="1:6">
      <c r="A98" s="1312" t="s">
        <v>71</v>
      </c>
      <c r="B98" s="1313">
        <v>8</v>
      </c>
      <c r="C98" s="326"/>
      <c r="D98" s="326"/>
      <c r="E98" s="326"/>
      <c r="F98" s="326"/>
    </row>
    <row r="99" spans="1:6">
      <c r="A99" s="1312" t="s">
        <v>72</v>
      </c>
      <c r="B99" s="1313">
        <v>24</v>
      </c>
      <c r="C99" s="326"/>
      <c r="D99" s="326"/>
      <c r="E99" s="326"/>
      <c r="F99" s="326"/>
    </row>
    <row r="100" spans="1:6">
      <c r="A100" s="1312" t="s">
        <v>73</v>
      </c>
      <c r="B100" s="1313">
        <v>636</v>
      </c>
      <c r="C100" s="326"/>
      <c r="D100" s="326"/>
      <c r="E100" s="326"/>
      <c r="F100" s="326"/>
    </row>
    <row r="101" spans="1:6">
      <c r="A101" s="1312" t="s">
        <v>74</v>
      </c>
      <c r="B101" s="1313">
        <v>60</v>
      </c>
      <c r="C101" s="326"/>
      <c r="D101" s="326"/>
      <c r="E101" s="326"/>
      <c r="F101" s="326"/>
    </row>
    <row r="102" spans="1:6">
      <c r="A102" s="1312" t="s">
        <v>75</v>
      </c>
      <c r="B102" s="1313">
        <v>89</v>
      </c>
      <c r="C102" s="326"/>
      <c r="D102" s="326"/>
      <c r="E102" s="326"/>
      <c r="F102" s="326"/>
    </row>
    <row r="103" spans="1:6">
      <c r="A103" s="1312" t="s">
        <v>76</v>
      </c>
      <c r="B103" s="1313">
        <v>100</v>
      </c>
      <c r="C103" s="326"/>
      <c r="D103" s="326"/>
      <c r="E103" s="326"/>
      <c r="F103" s="326"/>
    </row>
    <row r="104" spans="1:6">
      <c r="A104" s="1312" t="s">
        <v>77</v>
      </c>
      <c r="B104" s="1313">
        <v>1453</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55</v>
      </c>
      <c r="C123" s="1313">
        <v>27</v>
      </c>
      <c r="D123" s="326"/>
      <c r="E123" s="326"/>
      <c r="F123" s="326"/>
    </row>
    <row r="124" spans="1:6" s="43" customFormat="1">
      <c r="A124" s="1314" t="s">
        <v>88</v>
      </c>
      <c r="B124" s="1335">
        <v>3</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159</v>
      </c>
      <c r="C129" s="326"/>
      <c r="D129" s="326"/>
      <c r="E129" s="326"/>
      <c r="F129" s="326"/>
    </row>
    <row r="130" spans="1:6">
      <c r="A130" s="1312" t="s">
        <v>290</v>
      </c>
      <c r="B130" s="1313">
        <v>0</v>
      </c>
      <c r="C130" s="326"/>
      <c r="D130" s="326"/>
      <c r="E130" s="326"/>
      <c r="F130" s="326"/>
    </row>
    <row r="131" spans="1:6">
      <c r="A131" s="1312" t="s">
        <v>291</v>
      </c>
      <c r="B131" s="1313">
        <v>5</v>
      </c>
      <c r="C131" s="326"/>
      <c r="D131" s="326"/>
      <c r="E131" s="326"/>
      <c r="F131" s="326"/>
    </row>
    <row r="132" spans="1:6">
      <c r="A132" s="1307" t="s">
        <v>292</v>
      </c>
      <c r="B132" s="1308">
        <v>25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102498.12777179583</v>
      </c>
      <c r="C3" s="43" t="s">
        <v>169</v>
      </c>
      <c r="D3" s="43"/>
      <c r="E3" s="154"/>
      <c r="F3" s="43"/>
      <c r="G3" s="43"/>
      <c r="H3" s="43"/>
      <c r="I3" s="43"/>
      <c r="J3" s="43"/>
      <c r="K3" s="96"/>
    </row>
    <row r="4" spans="1:11">
      <c r="A4" s="354" t="s">
        <v>170</v>
      </c>
      <c r="B4" s="49">
        <f>IF(ISERROR('SEAP template'!B78+'SEAP template'!C78),0,'SEAP template'!B78+'SEAP template'!C78)</f>
        <v>53643.530593615345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10276.815834693314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0.20560065114545437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14681.173277275802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61777.88996138997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0.23764445963517469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1357.2950000000001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1357.2950000000001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0.20560065114545437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279.06073579646949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30176.021841808899</v>
      </c>
      <c r="C5" s="17">
        <f>IF(ISERROR('Eigen informatie GS &amp; warmtenet'!B59),0,'Eigen informatie GS &amp; warmtenet'!B59)</f>
        <v>0</v>
      </c>
      <c r="D5" s="30">
        <f>(SUM(HH_hh_gas_kWh,HH_rest_gas_kWh)/1000)*0.903</f>
        <v>99462.750712468449</v>
      </c>
      <c r="E5" s="17">
        <f>B32*B41</f>
        <v>1106.1506576044378</v>
      </c>
      <c r="F5" s="17">
        <f>B36*B45</f>
        <v>24232.005831383951</v>
      </c>
      <c r="G5" s="18"/>
      <c r="H5" s="17"/>
      <c r="I5" s="17"/>
      <c r="J5" s="17">
        <f>B35*B44+C35*C44</f>
        <v>138.10085157860479</v>
      </c>
      <c r="K5" s="17"/>
      <c r="L5" s="17"/>
      <c r="M5" s="17"/>
      <c r="N5" s="17">
        <f>B34*B43+C34*C43</f>
        <v>10836.514526028006</v>
      </c>
      <c r="O5" s="17">
        <f>B52*B53*B54</f>
        <v>372.98414524476198</v>
      </c>
      <c r="P5" s="17">
        <f>B60*B61*B62/1000-B60*B61*B62/1000/B63</f>
        <v>874.31862253785675</v>
      </c>
    </row>
    <row r="6" spans="1:16">
      <c r="A6" s="16" t="s">
        <v>603</v>
      </c>
      <c r="B6" s="780">
        <f>kWh_PV_kleiner_dan_10kW</f>
        <v>5245.4830150436637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35421.50485685256</v>
      </c>
      <c r="C8" s="21">
        <f>C5</f>
        <v>0</v>
      </c>
      <c r="D8" s="21">
        <f>D5</f>
        <v>99462.750712468449</v>
      </c>
      <c r="E8" s="21">
        <f>E5</f>
        <v>1106.1506576044378</v>
      </c>
      <c r="F8" s="21">
        <f>F5</f>
        <v>24232.005831383951</v>
      </c>
      <c r="G8" s="21"/>
      <c r="H8" s="21"/>
      <c r="I8" s="21"/>
      <c r="J8" s="21">
        <f>J5</f>
        <v>138.10085157860479</v>
      </c>
      <c r="K8" s="21"/>
      <c r="L8" s="21">
        <f>L5</f>
        <v>0</v>
      </c>
      <c r="M8" s="21">
        <f>M5</f>
        <v>0</v>
      </c>
      <c r="N8" s="21">
        <f>N5</f>
        <v>10836.514526028006</v>
      </c>
      <c r="O8" s="21">
        <f>O5</f>
        <v>372.98414524476198</v>
      </c>
      <c r="P8" s="21">
        <f>P5</f>
        <v>874.31862253785675</v>
      </c>
    </row>
    <row r="9" spans="1:16">
      <c r="B9" s="19"/>
      <c r="C9" s="19"/>
      <c r="D9" s="254"/>
      <c r="E9" s="19"/>
      <c r="F9" s="19"/>
      <c r="G9" s="19"/>
      <c r="H9" s="19"/>
      <c r="I9" s="19"/>
      <c r="J9" s="19"/>
      <c r="K9" s="19"/>
      <c r="L9" s="19"/>
      <c r="M9" s="19"/>
      <c r="N9" s="19"/>
      <c r="O9" s="19"/>
      <c r="P9" s="19"/>
    </row>
    <row r="10" spans="1:16">
      <c r="A10" s="24" t="s">
        <v>213</v>
      </c>
      <c r="B10" s="25">
        <f ca="1">'EF ele_warmte'!B12</f>
        <v>0.20560065114545437</v>
      </c>
      <c r="C10" s="25">
        <f ca="1">'EF ele_warmte'!B22</f>
        <v>0.23764445963517469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7282.6844631207605</v>
      </c>
      <c r="C12" s="23">
        <f ca="1">C10*C8</f>
        <v>0</v>
      </c>
      <c r="D12" s="23">
        <f>D8*D10</f>
        <v>20091.475643918628</v>
      </c>
      <c r="E12" s="23">
        <f>E10*E8</f>
        <v>251.09619927620739</v>
      </c>
      <c r="F12" s="23">
        <f>F10*F8</f>
        <v>6469.9455569795155</v>
      </c>
      <c r="G12" s="23"/>
      <c r="H12" s="23"/>
      <c r="I12" s="23"/>
      <c r="J12" s="23">
        <f>J10*J8</f>
        <v>48.887701458826093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8734</v>
      </c>
      <c r="C26" s="36"/>
      <c r="D26" s="225"/>
    </row>
    <row r="27" spans="1:5" s="15" customFormat="1">
      <c r="A27" s="227" t="s">
        <v>866</v>
      </c>
      <c r="B27" s="37">
        <f>SUM(HH_hh_gas_aantal,HH_rest_gas_aantal)</f>
        <v>7272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6908.4</v>
      </c>
      <c r="C31" s="34" t="s">
        <v>110</v>
      </c>
      <c r="D31" s="171"/>
    </row>
    <row r="32" spans="1:5">
      <c r="A32" s="168" t="s">
        <v>72</v>
      </c>
      <c r="B32" s="33">
        <f>IF((B21*($B$26-($B$27-0.05*$B$27)-$B$60))&lt;0,0,(B21*($B$26-($B$27-0.05*$B$27)-$B$60)))</f>
        <v>27.664121244050609</v>
      </c>
      <c r="C32" s="34" t="s">
        <v>110</v>
      </c>
      <c r="D32" s="171"/>
    </row>
    <row r="33" spans="1:6">
      <c r="A33" s="168" t="s">
        <v>73</v>
      </c>
      <c r="B33" s="33">
        <f>IF((B22*($B$26-($B$27-0.05*$B$27)-$B$60))&lt;0,0,B22*($B$26-($B$27-0.05*$B$27)-$B$60))</f>
        <v>449.21053960989582</v>
      </c>
      <c r="C33" s="34" t="s">
        <v>110</v>
      </c>
      <c r="D33" s="171"/>
    </row>
    <row r="34" spans="1:6">
      <c r="A34" s="168" t="s">
        <v>74</v>
      </c>
      <c r="B34" s="33">
        <f>IF((B24*($B$26-($B$27-0.05*$B$27)-$B$60))&lt;0,0,B24*($B$26-($B$27-0.05*$B$27)-$B$60))</f>
        <v>86.119671987134865</v>
      </c>
      <c r="C34" s="33">
        <f>B26*C24</f>
        <v>1789.6484782703569</v>
      </c>
      <c r="D34" s="230"/>
    </row>
    <row r="35" spans="1:6">
      <c r="A35" s="168" t="s">
        <v>76</v>
      </c>
      <c r="B35" s="33">
        <f>IF((B19*($B$26-($B$27-0.05*$B$27)-$B$60))&lt;0,0,B19*($B$26-($B$27-0.05*$B$27)-$B$60))</f>
        <v>12.025527551718527</v>
      </c>
      <c r="C35" s="33">
        <f>B35/2</f>
        <v>6.0127637758592636</v>
      </c>
      <c r="D35" s="230"/>
    </row>
    <row r="36" spans="1:6">
      <c r="A36" s="168" t="s">
        <v>77</v>
      </c>
      <c r="B36" s="33">
        <f>IF((B18*($B$26-($B$27-0.05*$B$27)-$B$60))&lt;0,0,B18*($B$26-($B$27-0.05*$B$27)-$B$60))</f>
        <v>1167.5801396072002</v>
      </c>
      <c r="C36" s="34" t="s">
        <v>110</v>
      </c>
      <c r="D36" s="171"/>
    </row>
    <row r="37" spans="1:6">
      <c r="A37" s="168" t="s">
        <v>78</v>
      </c>
      <c r="B37" s="33">
        <f>B60</f>
        <v>83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188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38333.152800835393</v>
      </c>
      <c r="C5" s="17">
        <f>IF(ISERROR('Eigen informatie GS &amp; warmtenet'!B60),0,'Eigen informatie GS &amp; warmtenet'!B60)</f>
        <v>0</v>
      </c>
      <c r="D5" s="30">
        <f>SUM(D6:D12)</f>
        <v>50932.896870991986</v>
      </c>
      <c r="E5" s="17">
        <f>SUM(E6:E12)</f>
        <v>167.44351151566957</v>
      </c>
      <c r="F5" s="17">
        <f>SUM(F6:F12)</f>
        <v>5411.3786959627259</v>
      </c>
      <c r="G5" s="18"/>
      <c r="H5" s="17"/>
      <c r="I5" s="17"/>
      <c r="J5" s="17">
        <f>SUM(J6:J12)</f>
        <v>2.3465069431665694E-2</v>
      </c>
      <c r="K5" s="17"/>
      <c r="L5" s="17"/>
      <c r="M5" s="17"/>
      <c r="N5" s="17">
        <f>SUM(N6:N12)</f>
        <v>925.01761369031999</v>
      </c>
      <c r="O5" s="17">
        <f>B38*B39*B40</f>
        <v>0</v>
      </c>
      <c r="P5" s="17">
        <f>B46*B47*B48/1000-B46*B47*B48/1000/B49</f>
        <v>315.23482983897009</v>
      </c>
      <c r="R5" s="32"/>
    </row>
    <row r="6" spans="1:18">
      <c r="A6" s="32" t="s">
        <v>53</v>
      </c>
      <c r="B6" s="37">
        <f>B26</f>
        <v>14533.9078404381</v>
      </c>
      <c r="C6" s="33"/>
      <c r="D6" s="37">
        <f>IF(ISERROR(TER_kantoor_gas_kWh/1000),0,TER_kantoor_gas_kWh/1000)*0.903</f>
        <v>18578.27429810954</v>
      </c>
      <c r="E6" s="33">
        <f>$C$26*'E Balans VL '!I12/100/3.6*1000000</f>
        <v>3.4630018561268492</v>
      </c>
      <c r="F6" s="33">
        <f>$C$26*('E Balans VL '!L12+'E Balans VL '!N12)/100/3.6*1000000</f>
        <v>1262.4122722680729</v>
      </c>
      <c r="G6" s="34"/>
      <c r="H6" s="33"/>
      <c r="I6" s="33"/>
      <c r="J6" s="33">
        <f>$C$26*('E Balans VL '!D12+'E Balans VL '!E12)/100/3.6*1000000</f>
        <v>0</v>
      </c>
      <c r="K6" s="33"/>
      <c r="L6" s="33"/>
      <c r="M6" s="33"/>
      <c r="N6" s="33">
        <f>$C$26*'E Balans VL '!Y12/100/3.6*1000000</f>
        <v>19.426601125345385</v>
      </c>
      <c r="O6" s="33"/>
      <c r="P6" s="33"/>
      <c r="R6" s="32"/>
    </row>
    <row r="7" spans="1:18">
      <c r="A7" s="32" t="s">
        <v>52</v>
      </c>
      <c r="B7" s="37">
        <f t="shared" ref="B7:B12" si="0">B27</f>
        <v>2650.18498875058</v>
      </c>
      <c r="C7" s="33"/>
      <c r="D7" s="37">
        <f>IF(ISERROR(TER_horeca_gas_kWh/1000),0,TER_horeca_gas_kWh/1000)*0.903</f>
        <v>3117.8098353718628</v>
      </c>
      <c r="E7" s="33">
        <f>$C$27*'E Balans VL '!I9/100/3.6*1000000</f>
        <v>0</v>
      </c>
      <c r="F7" s="33">
        <f>$C$27*('E Balans VL '!L9+'E Balans VL '!N9)/100/3.6*1000000</f>
        <v>215.94211508602021</v>
      </c>
      <c r="G7" s="34"/>
      <c r="H7" s="33"/>
      <c r="I7" s="33"/>
      <c r="J7" s="33">
        <f>$C$27*('E Balans VL '!D9+'E Balans VL '!E9)/100/3.6*1000000</f>
        <v>0</v>
      </c>
      <c r="K7" s="33"/>
      <c r="L7" s="33"/>
      <c r="M7" s="33"/>
      <c r="N7" s="33">
        <f>$C$27*'E Balans VL '!Y9/100/3.6*1000000</f>
        <v>0.73405190246036267</v>
      </c>
      <c r="O7" s="33"/>
      <c r="P7" s="33"/>
      <c r="R7" s="32"/>
    </row>
    <row r="8" spans="1:18">
      <c r="A8" s="6" t="s">
        <v>51</v>
      </c>
      <c r="B8" s="37">
        <f t="shared" si="0"/>
        <v>16751.197153251702</v>
      </c>
      <c r="C8" s="33"/>
      <c r="D8" s="37">
        <f>IF(ISERROR(TER_handel_gas_kWh/1000),0,TER_handel_gas_kWh/1000)*0.903</f>
        <v>19579.855527504267</v>
      </c>
      <c r="E8" s="33">
        <f>$C$28*'E Balans VL '!I13/100/3.6*1000000</f>
        <v>133.9026141085865</v>
      </c>
      <c r="F8" s="33">
        <f>$C$28*('E Balans VL '!L13+'E Balans VL '!N13)/100/3.6*1000000</f>
        <v>1664.1273056585176</v>
      </c>
      <c r="G8" s="34"/>
      <c r="H8" s="33"/>
      <c r="I8" s="33"/>
      <c r="J8" s="33">
        <f>$C$28*('E Balans VL '!D13+'E Balans VL '!E13)/100/3.6*1000000</f>
        <v>0</v>
      </c>
      <c r="K8" s="33"/>
      <c r="L8" s="33"/>
      <c r="M8" s="33"/>
      <c r="N8" s="33">
        <f>$C$28*'E Balans VL '!Y13/100/3.6*1000000</f>
        <v>6.257569234364377</v>
      </c>
      <c r="O8" s="33"/>
      <c r="P8" s="33"/>
      <c r="R8" s="32"/>
    </row>
    <row r="9" spans="1:18">
      <c r="A9" s="32" t="s">
        <v>50</v>
      </c>
      <c r="B9" s="37">
        <f t="shared" si="0"/>
        <v>1148.4107425934601</v>
      </c>
      <c r="C9" s="33"/>
      <c r="D9" s="37">
        <f>IF(ISERROR(TER_gezond_gas_kWh/1000),0,TER_gezond_gas_kWh/1000)*0.903</f>
        <v>3009.7169287885285</v>
      </c>
      <c r="E9" s="33">
        <f>$C$29*'E Balans VL '!I10/100/3.6*1000000</f>
        <v>0</v>
      </c>
      <c r="F9" s="33">
        <f>$C$29*('E Balans VL '!L10+'E Balans VL '!N10)/100/3.6*1000000</f>
        <v>104.696353340489</v>
      </c>
      <c r="G9" s="34"/>
      <c r="H9" s="33"/>
      <c r="I9" s="33"/>
      <c r="J9" s="33">
        <f>$C$29*('E Balans VL '!D10+'E Balans VL '!E10)/100/3.6*1000000</f>
        <v>0</v>
      </c>
      <c r="K9" s="33"/>
      <c r="L9" s="33"/>
      <c r="M9" s="33"/>
      <c r="N9" s="33">
        <f>$C$29*'E Balans VL '!Y10/100/3.6*1000000</f>
        <v>8.393853368536881</v>
      </c>
      <c r="O9" s="33"/>
      <c r="P9" s="33"/>
      <c r="R9" s="32"/>
    </row>
    <row r="10" spans="1:18">
      <c r="A10" s="32" t="s">
        <v>49</v>
      </c>
      <c r="B10" s="37">
        <f t="shared" si="0"/>
        <v>2320.0187972625399</v>
      </c>
      <c r="C10" s="33"/>
      <c r="D10" s="37">
        <f>IF(ISERROR(TER_ander_gas_kWh/1000),0,TER_ander_gas_kWh/1000)*0.903</f>
        <v>3805.9786087592256</v>
      </c>
      <c r="E10" s="33">
        <f>$C$30*'E Balans VL '!I14/100/3.6*1000000</f>
        <v>30.07789555095621</v>
      </c>
      <c r="F10" s="33">
        <f>$C$30*('E Balans VL '!L14+'E Balans VL '!N14)/100/3.6*1000000</f>
        <v>2127.7829739137178</v>
      </c>
      <c r="G10" s="34"/>
      <c r="H10" s="33"/>
      <c r="I10" s="33"/>
      <c r="J10" s="33">
        <f>$C$30*('E Balans VL '!D14+'E Balans VL '!E14)/100/3.6*1000000</f>
        <v>2.3465069431665694E-2</v>
      </c>
      <c r="K10" s="33"/>
      <c r="L10" s="33"/>
      <c r="M10" s="33"/>
      <c r="N10" s="33">
        <f>$C$30*'E Balans VL '!Y14/100/3.6*1000000</f>
        <v>887.2785230277866</v>
      </c>
      <c r="O10" s="33"/>
      <c r="P10" s="33"/>
      <c r="R10" s="32"/>
    </row>
    <row r="11" spans="1:18">
      <c r="A11" s="32" t="s">
        <v>54</v>
      </c>
      <c r="B11" s="37">
        <f t="shared" si="0"/>
        <v>929.43327853899996</v>
      </c>
      <c r="C11" s="33"/>
      <c r="D11" s="37">
        <f>IF(ISERROR(TER_onderwijs_gas_kWh/1000),0,TER_onderwijs_gas_kWh/1000)*0.903</f>
        <v>2841.2616724585682</v>
      </c>
      <c r="E11" s="33">
        <f>$C$31*'E Balans VL '!I11/100/3.6*1000000</f>
        <v>0</v>
      </c>
      <c r="F11" s="33">
        <f>$C$31*('E Balans VL '!L11+'E Balans VL '!N11)/100/3.6*1000000</f>
        <v>36.417675695908365</v>
      </c>
      <c r="G11" s="34"/>
      <c r="H11" s="33"/>
      <c r="I11" s="33"/>
      <c r="J11" s="33">
        <f>$C$31*('E Balans VL '!D11+'E Balans VL '!E11)/100/3.6*1000000</f>
        <v>0</v>
      </c>
      <c r="K11" s="33"/>
      <c r="L11" s="33"/>
      <c r="M11" s="33"/>
      <c r="N11" s="33">
        <f>$C$31*'E Balans VL '!Y11/100/3.6*1000000</f>
        <v>2.9270150318263854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12874.500000000002</v>
      </c>
      <c r="C13" s="243">
        <f ca="1">'lokale energieproductie'!O41+'lokale energieproductie'!O34</f>
        <v>18392.142857142859</v>
      </c>
      <c r="D13" s="304">
        <f ca="1">('lokale energieproductie'!P34+'lokale energieproductie'!P41)*(-1)</f>
        <v>-36784.285714285725</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51207.652800835393</v>
      </c>
      <c r="C16" s="21">
        <f t="shared" ca="1" si="1"/>
        <v>18392.142857142859</v>
      </c>
      <c r="D16" s="21">
        <f t="shared" ca="1" si="1"/>
        <v>14148.611156706262</v>
      </c>
      <c r="E16" s="21">
        <f t="shared" si="1"/>
        <v>167.44351151566957</v>
      </c>
      <c r="F16" s="21">
        <f t="shared" ca="1" si="1"/>
        <v>5411.3786959627259</v>
      </c>
      <c r="G16" s="21">
        <f t="shared" si="1"/>
        <v>0</v>
      </c>
      <c r="H16" s="21">
        <f t="shared" si="1"/>
        <v>0</v>
      </c>
      <c r="I16" s="21">
        <f t="shared" si="1"/>
        <v>0</v>
      </c>
      <c r="J16" s="21">
        <f t="shared" si="1"/>
        <v>2.3465069431665694E-2</v>
      </c>
      <c r="K16" s="21">
        <f t="shared" si="1"/>
        <v>0</v>
      </c>
      <c r="L16" s="21">
        <f t="shared" ca="1" si="1"/>
        <v>0</v>
      </c>
      <c r="M16" s="21">
        <f t="shared" si="1"/>
        <v>0</v>
      </c>
      <c r="N16" s="21">
        <f t="shared" ca="1" si="1"/>
        <v>925.01761369031999</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0.20560065114545437</v>
      </c>
      <c r="C18" s="25">
        <f ca="1">'EF ele_warmte'!B22</f>
        <v>0.23764445963517469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10528.326759482106</v>
      </c>
      <c r="C20" s="23">
        <f t="shared" ref="C20:P20" ca="1" si="2">C16*C18</f>
        <v>4370.7908508186529</v>
      </c>
      <c r="D20" s="23">
        <f t="shared" ca="1" si="2"/>
        <v>2858.0194536546651</v>
      </c>
      <c r="E20" s="23">
        <f t="shared" si="2"/>
        <v>38.009677114056991</v>
      </c>
      <c r="F20" s="23">
        <f t="shared" ca="1" si="2"/>
        <v>1444.8381118220479</v>
      </c>
      <c r="G20" s="23">
        <f t="shared" si="2"/>
        <v>0</v>
      </c>
      <c r="H20" s="23">
        <f t="shared" si="2"/>
        <v>0</v>
      </c>
      <c r="I20" s="23">
        <f t="shared" si="2"/>
        <v>0</v>
      </c>
      <c r="J20" s="23">
        <f t="shared" si="2"/>
        <v>8.306634578809655E-3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14533.9078404381</v>
      </c>
      <c r="C26" s="39">
        <f>IF(ISERROR(B26*3.6/1000000/'E Balans VL '!Z12*100),0,B26*3.6/1000000/'E Balans VL '!Z12*100)</f>
        <v>0.41697644822722613</v>
      </c>
      <c r="D26" s="233" t="s">
        <v>841</v>
      </c>
      <c r="F26" s="6"/>
    </row>
    <row r="27" spans="1:18" ht="30">
      <c r="A27" s="228" t="s">
        <v>52</v>
      </c>
      <c r="B27" s="33">
        <f>IF(ISERROR(TER_horeca_ele_kWh/1000),0,TER_horeca_ele_kWh/1000)</f>
        <v>2650.18498875058</v>
      </c>
      <c r="C27" s="39">
        <f>IF(ISERROR(B27*3.6/1000000/'E Balans VL '!Z9*100),0,B27*3.6/1000000/'E Balans VL '!Z9*100)</f>
        <v>0.19415349053559422</v>
      </c>
      <c r="D27" s="233" t="s">
        <v>841</v>
      </c>
      <c r="F27" s="6"/>
    </row>
    <row r="28" spans="1:18" ht="30">
      <c r="A28" s="168" t="s">
        <v>51</v>
      </c>
      <c r="B28" s="33">
        <f>IF(ISERROR(TER_handel_ele_kWh/1000),0,TER_handel_ele_kWh/1000)</f>
        <v>16751.197153251702</v>
      </c>
      <c r="C28" s="39">
        <f>IF(ISERROR(B28*3.6/1000000/'E Balans VL '!Z13*100),0,B28*3.6/1000000/'E Balans VL '!Z13*100)</f>
        <v>0.51762612085510784</v>
      </c>
      <c r="D28" s="233" t="s">
        <v>841</v>
      </c>
      <c r="F28" s="6"/>
    </row>
    <row r="29" spans="1:18" ht="30">
      <c r="A29" s="228" t="s">
        <v>50</v>
      </c>
      <c r="B29" s="33">
        <f>IF(ISERROR(TER_gezond_ele_kWh/1000),0,TER_gezond_ele_kWh/1000)</f>
        <v>1148.4107425934601</v>
      </c>
      <c r="C29" s="39">
        <f>IF(ISERROR(B29*3.6/1000000/'E Balans VL '!Z10*100),0,B29*3.6/1000000/'E Balans VL '!Z10*100)</f>
        <v>0.11255131430013539</v>
      </c>
      <c r="D29" s="233" t="s">
        <v>841</v>
      </c>
      <c r="F29" s="6"/>
    </row>
    <row r="30" spans="1:18" ht="30">
      <c r="A30" s="228" t="s">
        <v>49</v>
      </c>
      <c r="B30" s="33">
        <f>IF(ISERROR(TER_ander_ele_kWh/1000),0,TER_ander_ele_kWh/1000)</f>
        <v>2320.0187972625399</v>
      </c>
      <c r="C30" s="39">
        <f>IF(ISERROR(B30*3.6/1000000/'E Balans VL '!Z14*100),0,B30*3.6/1000000/'E Balans VL '!Z14*100)</f>
        <v>9.6102673440269057E-2</v>
      </c>
      <c r="D30" s="233" t="s">
        <v>841</v>
      </c>
      <c r="F30" s="6"/>
    </row>
    <row r="31" spans="1:18" ht="30">
      <c r="A31" s="228" t="s">
        <v>54</v>
      </c>
      <c r="B31" s="33">
        <f>IF(ISERROR(TER_onderwijs_ele_kWh/1000),0,TER_onderwijs_ele_kWh/1000)</f>
        <v>929.43327853899996</v>
      </c>
      <c r="C31" s="39">
        <f>IF(ISERROR(B31*3.6/1000000/'E Balans VL '!Z11*100),0,B31*3.6/1000000/'E Balans VL '!Z11*100)</f>
        <v>0.28558658928817254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10558.498815607185</v>
      </c>
      <c r="C5" s="17">
        <f>IF(ISERROR('Eigen informatie GS &amp; warmtenet'!B61),0,'Eigen informatie GS &amp; warmtenet'!B61)</f>
        <v>0</v>
      </c>
      <c r="D5" s="30">
        <f>SUM(D6:D15)</f>
        <v>8453.8942401418681</v>
      </c>
      <c r="E5" s="17">
        <f>SUM(E6:E15)</f>
        <v>72.314943170555992</v>
      </c>
      <c r="F5" s="17">
        <f>SUM(F6:F15)</f>
        <v>3619.8659484078526</v>
      </c>
      <c r="G5" s="18"/>
      <c r="H5" s="17"/>
      <c r="I5" s="17"/>
      <c r="J5" s="17">
        <f>SUM(J6:J15)</f>
        <v>4.0671889605444118</v>
      </c>
      <c r="K5" s="17"/>
      <c r="L5" s="17"/>
      <c r="M5" s="17"/>
      <c r="N5" s="17">
        <f>SUM(N6:N15)</f>
        <v>390.66068091898984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1792.27375730836</v>
      </c>
      <c r="C8" s="33"/>
      <c r="D8" s="37">
        <f>IF( ISERROR(IND_metaal_Gas_kWH/1000),0,IND_metaal_Gas_kWH/1000)*0.903</f>
        <v>2102.3128367791678</v>
      </c>
      <c r="E8" s="33">
        <f>C30*'E Balans VL '!I18/100/3.6*1000000</f>
        <v>9.7699637695722306</v>
      </c>
      <c r="F8" s="33">
        <f>C30*'E Balans VL '!L18/100/3.6*1000000+C30*'E Balans VL '!N18/100/3.6*1000000</f>
        <v>115.42256686936985</v>
      </c>
      <c r="G8" s="34"/>
      <c r="H8" s="33"/>
      <c r="I8" s="33"/>
      <c r="J8" s="40">
        <f>C30*'E Balans VL '!D18/100/3.6*1000000+C30*'E Balans VL '!E18/100/3.6*1000000</f>
        <v>1.4680908259351855</v>
      </c>
      <c r="K8" s="33"/>
      <c r="L8" s="33"/>
      <c r="M8" s="33"/>
      <c r="N8" s="33">
        <f>C30*'E Balans VL '!Y18/100/3.6*1000000</f>
        <v>38.720890197708854</v>
      </c>
      <c r="O8" s="33"/>
      <c r="P8" s="33"/>
      <c r="R8" s="32"/>
    </row>
    <row r="9" spans="1:18">
      <c r="A9" s="6" t="s">
        <v>32</v>
      </c>
      <c r="B9" s="37">
        <f t="shared" si="0"/>
        <v>5313.5041010772102</v>
      </c>
      <c r="C9" s="33"/>
      <c r="D9" s="37">
        <f>IF( ISERROR(IND_andere_gas_kWh/1000),0,IND_andere_gas_kWh/1000)*0.903</f>
        <v>5172.4484951291925</v>
      </c>
      <c r="E9" s="33">
        <f>C31*'E Balans VL '!I19/100/3.6*1000000</f>
        <v>17.152896130978036</v>
      </c>
      <c r="F9" s="33">
        <f>C31*'E Balans VL '!L19/100/3.6*1000000+C31*'E Balans VL '!N19/100/3.6*1000000</f>
        <v>3435.7534630900664</v>
      </c>
      <c r="G9" s="34"/>
      <c r="H9" s="33"/>
      <c r="I9" s="33"/>
      <c r="J9" s="40">
        <f>C31*'E Balans VL '!D19/100/3.6*1000000+C31*'E Balans VL '!E19/100/3.6*1000000</f>
        <v>0</v>
      </c>
      <c r="K9" s="33"/>
      <c r="L9" s="33"/>
      <c r="M9" s="33"/>
      <c r="N9" s="33">
        <f>C31*'E Balans VL '!Y19/100/3.6*1000000</f>
        <v>214.71256308902332</v>
      </c>
      <c r="O9" s="33"/>
      <c r="P9" s="33"/>
      <c r="R9" s="32"/>
    </row>
    <row r="10" spans="1:18">
      <c r="A10" s="6" t="s">
        <v>40</v>
      </c>
      <c r="B10" s="37">
        <f t="shared" si="0"/>
        <v>2563.2937854796601</v>
      </c>
      <c r="C10" s="33"/>
      <c r="D10" s="37">
        <f>IF( ISERROR(IND_voed_gas_kWh/1000),0,IND_voed_gas_kWh/1000)*0.903</f>
        <v>375.45160889664567</v>
      </c>
      <c r="E10" s="33">
        <f>C32*'E Balans VL '!I20/100/3.6*1000000</f>
        <v>5.373291969897025</v>
      </c>
      <c r="F10" s="33">
        <f>C32*'E Balans VL '!L20/100/3.6*1000000+C32*'E Balans VL '!N20/100/3.6*1000000</f>
        <v>49.941821369581881</v>
      </c>
      <c r="G10" s="34"/>
      <c r="H10" s="33"/>
      <c r="I10" s="33"/>
      <c r="J10" s="40">
        <f>C32*'E Balans VL '!D20/100/3.6*1000000+C32*'E Balans VL '!E20/100/3.6*1000000</f>
        <v>0</v>
      </c>
      <c r="K10" s="33"/>
      <c r="L10" s="33"/>
      <c r="M10" s="33"/>
      <c r="N10" s="33">
        <f>C32*'E Balans VL '!Y20/100/3.6*1000000</f>
        <v>101.96072029449465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61.146764699342796</v>
      </c>
      <c r="C12" s="33"/>
      <c r="D12" s="37">
        <f>IF( ISERROR(IND_min_gas_kWh/1000),0,IND_min_gas_kWh/1000)*0.903</f>
        <v>124.58188488631606</v>
      </c>
      <c r="E12" s="33">
        <f>C34*'E Balans VL '!I22/100/3.6*1000000</f>
        <v>1.0006704050052602</v>
      </c>
      <c r="F12" s="33">
        <f>C34*'E Balans VL '!L22/100/3.6*1000000+C34*'E Balans VL '!N22/100/3.6*1000000</f>
        <v>9.3330953535155139</v>
      </c>
      <c r="G12" s="34"/>
      <c r="H12" s="33"/>
      <c r="I12" s="33"/>
      <c r="J12" s="40">
        <f>C34*'E Balans VL '!D22/100/3.6*1000000+C34*'E Balans VL '!E22/100/3.6*1000000</f>
        <v>2.1882327092446801</v>
      </c>
      <c r="K12" s="33"/>
      <c r="L12" s="33"/>
      <c r="M12" s="33"/>
      <c r="N12" s="33">
        <f>C34*'E Balans VL '!Y22/100/3.6*1000000</f>
        <v>33.509724825826233</v>
      </c>
      <c r="O12" s="33"/>
      <c r="P12" s="33"/>
      <c r="R12" s="32"/>
    </row>
    <row r="13" spans="1:18">
      <c r="A13" s="6" t="s">
        <v>38</v>
      </c>
      <c r="B13" s="37">
        <f t="shared" si="0"/>
        <v>602.87245275451994</v>
      </c>
      <c r="C13" s="33"/>
      <c r="D13" s="37">
        <f>IF( ISERROR(IND_papier_gas_kWh/1000),0,IND_papier_gas_kWh/1000)*0.903</f>
        <v>323.43750148059081</v>
      </c>
      <c r="E13" s="33">
        <f>C35*'E Balans VL '!I23/100/3.6*1000000</f>
        <v>0</v>
      </c>
      <c r="F13" s="33">
        <f>C35*'E Balans VL '!L23/100/3.6*1000000+C35*'E Balans VL '!N23/100/3.6*1000000</f>
        <v>8.0756665701445449E-2</v>
      </c>
      <c r="G13" s="34"/>
      <c r="H13" s="33"/>
      <c r="I13" s="33"/>
      <c r="J13" s="40">
        <f>C35*'E Balans VL '!D23/100/3.6*1000000+C35*'E Balans VL '!E23/100/3.6*1000000</f>
        <v>0.1192519644106039</v>
      </c>
      <c r="K13" s="33"/>
      <c r="L13" s="33"/>
      <c r="M13" s="33"/>
      <c r="N13" s="33">
        <f>C35*'E Balans VL '!Y23/100/3.6*1000000</f>
        <v>0</v>
      </c>
      <c r="O13" s="33"/>
      <c r="P13" s="33"/>
      <c r="R13" s="32"/>
    </row>
    <row r="14" spans="1:18">
      <c r="A14" s="6" t="s">
        <v>33</v>
      </c>
      <c r="B14" s="37">
        <f t="shared" si="0"/>
        <v>171.699048398629</v>
      </c>
      <c r="C14" s="33"/>
      <c r="D14" s="37">
        <f>IF( ISERROR(IND_chemie_gas_kWh/1000),0,IND_chemie_gas_kWh/1000)*0.903</f>
        <v>283.69517566145521</v>
      </c>
      <c r="E14" s="33">
        <f>C36*'E Balans VL '!I24/100/3.6*1000000</f>
        <v>35.856143945441517</v>
      </c>
      <c r="F14" s="33">
        <f>C36*'E Balans VL '!L24/100/3.6*1000000+C36*'E Balans VL '!N24/100/3.6*1000000</f>
        <v>1.140761866562215</v>
      </c>
      <c r="G14" s="34"/>
      <c r="H14" s="33"/>
      <c r="I14" s="33"/>
      <c r="J14" s="40">
        <f>C36*'E Balans VL '!D24/100/3.6*1000000+C36*'E Balans VL '!E24/100/3.6*1000000</f>
        <v>0</v>
      </c>
      <c r="K14" s="33"/>
      <c r="L14" s="33"/>
      <c r="M14" s="33"/>
      <c r="N14" s="33">
        <f>C36*'E Balans VL '!Y24/100/3.6*1000000</f>
        <v>5.9914948344500354E-2</v>
      </c>
      <c r="O14" s="33"/>
      <c r="P14" s="33"/>
      <c r="R14" s="32"/>
    </row>
    <row r="15" spans="1:18">
      <c r="A15" s="6" t="s">
        <v>265</v>
      </c>
      <c r="B15" s="37">
        <f t="shared" si="0"/>
        <v>53.708905889463701</v>
      </c>
      <c r="C15" s="33"/>
      <c r="D15" s="37">
        <f>IF( ISERROR(IND_rest_gas_kWh/1000),0,IND_rest_gas_kWh/1000)*0.903</f>
        <v>71.966737308498949</v>
      </c>
      <c r="E15" s="33">
        <f>C37*'E Balans VL '!I15/100/3.6*1000000</f>
        <v>3.1619769496619305</v>
      </c>
      <c r="F15" s="33">
        <f>C37*'E Balans VL '!L15/100/3.6*1000000+C37*'E Balans VL '!N15/100/3.6*1000000</f>
        <v>8.1934831930558332</v>
      </c>
      <c r="G15" s="34"/>
      <c r="H15" s="33"/>
      <c r="I15" s="33"/>
      <c r="J15" s="40">
        <f>C37*'E Balans VL '!D15/100/3.6*1000000+C37*'E Balans VL '!E15/100/3.6*1000000</f>
        <v>0.29161346095394231</v>
      </c>
      <c r="K15" s="33"/>
      <c r="L15" s="33"/>
      <c r="M15" s="33"/>
      <c r="N15" s="33">
        <f>C37*'E Balans VL '!Y15/100/3.6*1000000</f>
        <v>1.6968675635922785</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10558.498815607185</v>
      </c>
      <c r="C18" s="21">
        <f>C5+C16</f>
        <v>0</v>
      </c>
      <c r="D18" s="21">
        <f>MAX((D5+D16),0)</f>
        <v>8453.8942401418681</v>
      </c>
      <c r="E18" s="21">
        <f>MAX((E5+E16),0)</f>
        <v>72.314943170555992</v>
      </c>
      <c r="F18" s="21">
        <f>MAX((F5+F16),0)</f>
        <v>3619.8659484078526</v>
      </c>
      <c r="G18" s="21"/>
      <c r="H18" s="21"/>
      <c r="I18" s="21"/>
      <c r="J18" s="21">
        <f>MAX((J5+J16),0)</f>
        <v>4.0671889605444118</v>
      </c>
      <c r="K18" s="21"/>
      <c r="L18" s="21">
        <f>MAX((L5+L16),0)</f>
        <v>0</v>
      </c>
      <c r="M18" s="21"/>
      <c r="N18" s="21">
        <f>MAX((N5+N16),0)</f>
        <v>390.66068091898984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0.20560065114545437</v>
      </c>
      <c r="C20" s="25">
        <f ca="1">'EF ele_warmte'!B22</f>
        <v>0.23764445963517469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2170.8342316073458</v>
      </c>
      <c r="C22" s="23">
        <f ca="1">C18*C20</f>
        <v>0</v>
      </c>
      <c r="D22" s="23">
        <f>D18*D20</f>
        <v>1707.6866365086576</v>
      </c>
      <c r="E22" s="23">
        <f>E18*E20</f>
        <v>16.415492099716211</v>
      </c>
      <c r="F22" s="23">
        <f>F18*F20</f>
        <v>966.50420822489673</v>
      </c>
      <c r="G22" s="23"/>
      <c r="H22" s="23"/>
      <c r="I22" s="23"/>
      <c r="J22" s="23">
        <f>J18*J20</f>
        <v>1.4397848920327216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1792.27375730836</v>
      </c>
      <c r="C30" s="39">
        <f>IF(ISERROR(B30*3.6/1000000/'E Balans VL '!Z18*100),0,B30*3.6/1000000/'E Balans VL '!Z18*100)</f>
        <v>0.10792581117759208</v>
      </c>
      <c r="D30" s="233" t="s">
        <v>841</v>
      </c>
    </row>
    <row r="31" spans="1:18" ht="30">
      <c r="A31" s="6" t="s">
        <v>32</v>
      </c>
      <c r="B31" s="37">
        <f>IF( ISERROR(IND_ander_ele_kWh/1000),0,IND_ander_ele_kWh/1000)</f>
        <v>5313.5041010772102</v>
      </c>
      <c r="C31" s="39">
        <f>IF(ISERROR(B31*3.6/1000000/'E Balans VL '!Z19*100),0,B31*3.6/1000000/'E Balans VL '!Z19*100)</f>
        <v>0.21648315729729412</v>
      </c>
      <c r="D31" s="233" t="s">
        <v>841</v>
      </c>
    </row>
    <row r="32" spans="1:18" ht="30">
      <c r="A32" s="168" t="s">
        <v>40</v>
      </c>
      <c r="B32" s="37">
        <f>IF( ISERROR(IND_voed_ele_kWh/1000),0,IND_voed_ele_kWh/1000)</f>
        <v>2563.2937854796601</v>
      </c>
      <c r="C32" s="39">
        <f>IF(ISERROR(B32*3.6/1000000/'E Balans VL '!Z20*100),0,B32*3.6/1000000/'E Balans VL '!Z20*100)</f>
        <v>7.4115138803209898E-2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61.146764699342796</v>
      </c>
      <c r="C34" s="39">
        <f>IF(ISERROR(B34*3.6/1000000/'E Balans VL '!Z22*100),0,B34*3.6/1000000/'E Balans VL '!Z22*100)</f>
        <v>2.6109100335678238E-2</v>
      </c>
      <c r="D34" s="233" t="s">
        <v>841</v>
      </c>
    </row>
    <row r="35" spans="1:5" ht="30">
      <c r="A35" s="168" t="s">
        <v>38</v>
      </c>
      <c r="B35" s="37">
        <f>IF( ISERROR(IND_papier_ele_kWh/1000),0,IND_papier_ele_kWh/1000)</f>
        <v>602.87245275451994</v>
      </c>
      <c r="C35" s="39">
        <f>IF(ISERROR(B35*3.6/1000000/'E Balans VL '!Z22*100),0,B35*3.6/1000000/'E Balans VL '!Z22*100)</f>
        <v>0.25742093528545068</v>
      </c>
      <c r="D35" s="233" t="s">
        <v>841</v>
      </c>
    </row>
    <row r="36" spans="1:5" ht="30">
      <c r="A36" s="168" t="s">
        <v>33</v>
      </c>
      <c r="B36" s="37">
        <f>IF( ISERROR(IND_chemie_ele_kWh/1000),0,IND_chemie_ele_kWh/1000)</f>
        <v>171.699048398629</v>
      </c>
      <c r="C36" s="39">
        <f>IF(ISERROR(B36*3.6/1000000/'E Balans VL '!Z24*100),0,B36*3.6/1000000/'E Balans VL '!Z24*100)</f>
        <v>5.209995508217451E-3</v>
      </c>
      <c r="D36" s="233" t="s">
        <v>841</v>
      </c>
    </row>
    <row r="37" spans="1:5" ht="30">
      <c r="A37" s="168" t="s">
        <v>265</v>
      </c>
      <c r="B37" s="37">
        <f>IF( ISERROR(IND_rest_ele_kWh/1000),0,IND_rest_ele_kWh/1000)</f>
        <v>53.708905889463701</v>
      </c>
      <c r="C37" s="39">
        <f>IF(ISERROR(B37*3.6/1000000/'E Balans VL '!Z15*100),0,B37*3.6/1000000/'E Balans VL '!Z15*100)</f>
        <v>4.4099079763638423E-4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1834.4410318330602</v>
      </c>
      <c r="C5" s="17">
        <f>'Eigen informatie GS &amp; warmtenet'!B62</f>
        <v>0</v>
      </c>
      <c r="D5" s="30">
        <f>IF(ISERROR(SUM(LB_lb_gas_kWh,LB_rest_gas_kWh)/1000),0,SUM(LB_lb_gas_kWh,LB_rest_gas_kWh)/1000)*0.903</f>
        <v>75483.117870658185</v>
      </c>
      <c r="E5" s="17">
        <f>B17*'E Balans VL '!I25/3.6*1000000/100</f>
        <v>52.541495594284363</v>
      </c>
      <c r="F5" s="17">
        <f>B17*('E Balans VL '!L25/3.6*1000000+'E Balans VL '!N25/3.6*1000000)/100</f>
        <v>5806.8927027591271</v>
      </c>
      <c r="G5" s="18"/>
      <c r="H5" s="17"/>
      <c r="I5" s="17"/>
      <c r="J5" s="17">
        <f>('E Balans VL '!D25+'E Balans VL '!E25)/3.6*1000000*landbouw!B17/100</f>
        <v>466.44074855877034</v>
      </c>
      <c r="K5" s="17"/>
      <c r="L5" s="17">
        <f>L6*(-1)</f>
        <v>0</v>
      </c>
      <c r="M5" s="17"/>
      <c r="N5" s="17">
        <f>N6*(-1)</f>
        <v>0</v>
      </c>
      <c r="O5" s="17"/>
      <c r="P5" s="17"/>
      <c r="R5" s="32"/>
    </row>
    <row r="6" spans="1:18">
      <c r="A6" s="16" t="s">
        <v>473</v>
      </c>
      <c r="B6" s="17" t="s">
        <v>210</v>
      </c>
      <c r="C6" s="17">
        <f>'lokale energieproductie'!O42+'lokale energieproductie'!O35</f>
        <v>43385.747104247108</v>
      </c>
      <c r="D6" s="304">
        <f>('lokale energieproductie'!P35+'lokale energieproductie'!P42)*(-1)</f>
        <v>-86770.115830115843</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1834.4410318330602</v>
      </c>
      <c r="C8" s="21">
        <f>C5+C6</f>
        <v>43385.747104247108</v>
      </c>
      <c r="D8" s="21">
        <f>MAX((D5+D6),0)</f>
        <v>0</v>
      </c>
      <c r="E8" s="21">
        <f>MAX((E5+E6),0)</f>
        <v>52.541495594284363</v>
      </c>
      <c r="F8" s="21">
        <f>MAX((F5+F6),0)</f>
        <v>5806.8927027591271</v>
      </c>
      <c r="G8" s="21"/>
      <c r="H8" s="21"/>
      <c r="I8" s="21"/>
      <c r="J8" s="21">
        <f>MAX((J5+J6),0)</f>
        <v>466.44074855877034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0.20560065114545437</v>
      </c>
      <c r="C10" s="31">
        <f ca="1">'EF ele_warmte'!B22</f>
        <v>0.23764445963517469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377.16227063281633</v>
      </c>
      <c r="C12" s="23">
        <f ca="1">C8*C10</f>
        <v>10310.382426457149</v>
      </c>
      <c r="D12" s="23">
        <f>D8*D10</f>
        <v>0</v>
      </c>
      <c r="E12" s="23">
        <f>E8*E10</f>
        <v>11.926919499902551</v>
      </c>
      <c r="F12" s="23">
        <f>F8*F10</f>
        <v>1550.440351636687</v>
      </c>
      <c r="G12" s="23"/>
      <c r="H12" s="23"/>
      <c r="I12" s="23"/>
      <c r="J12" s="23">
        <f>J8*J10</f>
        <v>165.1200249898047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0.25402846769730059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190.1536808609558</v>
      </c>
      <c r="C26" s="243">
        <f>B26*'GWP N2O_CH4'!B5</f>
        <v>3993.2272980800717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37.312546784961981</v>
      </c>
      <c r="C27" s="243">
        <f>B27*'GWP N2O_CH4'!B5</f>
        <v>783.56348248420159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2.5308479274870206</v>
      </c>
      <c r="C28" s="243">
        <f>B28*'GWP N2O_CH4'!B4</f>
        <v>784.56285752097642</v>
      </c>
      <c r="D28" s="50"/>
    </row>
    <row r="29" spans="1:4">
      <c r="A29" s="41" t="s">
        <v>272</v>
      </c>
      <c r="B29" s="243">
        <f>B34*'ha_N2O bodem landbouw'!B4</f>
        <v>5.8965320711874103</v>
      </c>
      <c r="C29" s="243">
        <f>B29*'GWP N2O_CH4'!B4</f>
        <v>1827.9249420680972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1.3395865547018806E-3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3.1139323634578222E-3</v>
      </c>
      <c r="C5" s="434" t="s">
        <v>210</v>
      </c>
      <c r="D5" s="419">
        <f>SUM(D6:D11)</f>
        <v>4.9070910879118034E-3</v>
      </c>
      <c r="E5" s="419">
        <f>SUM(E6:E11)</f>
        <v>2.1543180545933174E-3</v>
      </c>
      <c r="F5" s="432" t="s">
        <v>210</v>
      </c>
      <c r="G5" s="419">
        <f>SUM(G6:G11)</f>
        <v>1.1455958733328551</v>
      </c>
      <c r="H5" s="419">
        <f>SUM(H6:H11)</f>
        <v>0.24653738985929791</v>
      </c>
      <c r="I5" s="434" t="s">
        <v>210</v>
      </c>
      <c r="J5" s="434" t="s">
        <v>210</v>
      </c>
      <c r="K5" s="434" t="s">
        <v>210</v>
      </c>
      <c r="L5" s="434" t="s">
        <v>210</v>
      </c>
      <c r="M5" s="419">
        <f>SUM(M6:M11)</f>
        <v>8.3255384394231594E-2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1.0149838531081526E-3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1.692268640354619E-3</v>
      </c>
      <c r="E6" s="886">
        <f>vkm_GW_PW*SUMIFS(TableVerdeelsleutelVkm[LPG],TableVerdeelsleutelVkm[Voertuigtype],"Lichte voertuigen")*SUMIFS(TableECFTransport[EnergieConsumptieFactor (PJ per km)],TableECFTransport[Index],CONCATENATE($A6,"_LPG_LPG"))</f>
        <v>6.7091568764529879E-4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0.20162701783484982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8.2991816009646793E-2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1.7460526090151543E-2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6.6551215978022405E-6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0.26381321493144849</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1.9465596694664257E-6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1.5147708655176456E-2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2.9871416894664042E-4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6.8209983106063744E-4</v>
      </c>
      <c r="E8" s="422">
        <f>vkm_NGW_PW*SUMIFS(TableVerdeelsleutelVkm[LPG],TableVerdeelsleutelVkm[Voertuigtype],"Lichte voertuigen")*SUMIFS(TableECFTransport[EnergieConsumptieFactor (PJ per km)],TableECFTransport[Index],CONCATENATE($A8,"_LPG_LPG"))</f>
        <v>2.5892860754400405E-4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7.1277888192769867E-2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3.3139026812239507E-2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6.4419476799302041E-3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1.0637845069046913E-6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5.4303876434249575E-2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3.755621643092787E-7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3.1180349682032957E-3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1.7865986446642655E-3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2.5327226164965472E-3</v>
      </c>
      <c r="E10" s="422">
        <f>vkm_SW_PW*SUMIFS(TableVerdeelsleutelVkm[LPG],TableVerdeelsleutelVkm[Voertuigtype],"Lichte voertuigen")*SUMIFS(TableECFTransport[EnergieConsumptieFactor (PJ per km)],TableECFTransport[Index],CONCATENATE($A10,"_LPG_LPG"))</f>
        <v>1.2244737594040145E-3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0.33384908162947829</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0.13040244365126341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2.8413511768181951E-2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5.9167906340569667E-6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0.22072479431005895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1.7812643144004417E-6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1.2673655232588133E-2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864.98121207161728</v>
      </c>
      <c r="C14" s="21"/>
      <c r="D14" s="21">
        <f t="shared" ref="D14:M14" si="0">((D5)*10^9/3600)+D12</f>
        <v>1363.0808577532787</v>
      </c>
      <c r="E14" s="21">
        <f t="shared" si="0"/>
        <v>598.42168183147703</v>
      </c>
      <c r="F14" s="21"/>
      <c r="G14" s="21">
        <f t="shared" si="0"/>
        <v>318221.07592579303</v>
      </c>
      <c r="H14" s="21">
        <f t="shared" si="0"/>
        <v>68482.60829424941</v>
      </c>
      <c r="I14" s="21"/>
      <c r="J14" s="21"/>
      <c r="K14" s="21"/>
      <c r="L14" s="21"/>
      <c r="M14" s="21">
        <f t="shared" si="0"/>
        <v>23126.495665064329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0.20560065114545437</v>
      </c>
      <c r="C16" s="56">
        <f ca="1">'EF ele_warmte'!B22</f>
        <v>0.23764445963517469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177.84070043050886</v>
      </c>
      <c r="C18" s="23"/>
      <c r="D18" s="23">
        <f t="shared" ref="D18:M18" si="1">D14*D16</f>
        <v>275.34233326616231</v>
      </c>
      <c r="E18" s="23">
        <f t="shared" si="1"/>
        <v>135.8417217757453</v>
      </c>
      <c r="F18" s="23"/>
      <c r="G18" s="23">
        <f t="shared" si="1"/>
        <v>84965.027272186751</v>
      </c>
      <c r="H18" s="23">
        <f t="shared" si="1"/>
        <v>17052.169465268104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9.97683928524337E-5</v>
      </c>
      <c r="C50" s="315">
        <f t="shared" ref="C50:P50" si="2">SUM(C51:C52)</f>
        <v>0</v>
      </c>
      <c r="D50" s="315">
        <f t="shared" si="2"/>
        <v>0</v>
      </c>
      <c r="E50" s="315">
        <f t="shared" si="2"/>
        <v>0</v>
      </c>
      <c r="F50" s="315">
        <f t="shared" si="2"/>
        <v>0</v>
      </c>
      <c r="G50" s="315">
        <f t="shared" si="2"/>
        <v>6.2458030135383686E-3</v>
      </c>
      <c r="H50" s="315">
        <f t="shared" si="2"/>
        <v>0</v>
      </c>
      <c r="I50" s="315">
        <f t="shared" si="2"/>
        <v>0</v>
      </c>
      <c r="J50" s="315">
        <f t="shared" si="2"/>
        <v>0</v>
      </c>
      <c r="K50" s="315">
        <f t="shared" si="2"/>
        <v>0</v>
      </c>
      <c r="L50" s="315">
        <f t="shared" si="2"/>
        <v>0</v>
      </c>
      <c r="M50" s="315">
        <f t="shared" si="2"/>
        <v>3.5862017937520716E-4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9.97683928524337E-5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6.2458030135383686E-3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3.5862017937520716E-4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27.713442459009361</v>
      </c>
      <c r="C54" s="21">
        <f t="shared" ref="C54:P54" si="3">(C50)*10^9/3600</f>
        <v>0</v>
      </c>
      <c r="D54" s="21">
        <f t="shared" si="3"/>
        <v>0</v>
      </c>
      <c r="E54" s="21">
        <f t="shared" si="3"/>
        <v>0</v>
      </c>
      <c r="F54" s="21">
        <f t="shared" si="3"/>
        <v>0</v>
      </c>
      <c r="G54" s="21">
        <f t="shared" si="3"/>
        <v>1734.9452815384359</v>
      </c>
      <c r="H54" s="21">
        <f t="shared" si="3"/>
        <v>0</v>
      </c>
      <c r="I54" s="21">
        <f t="shared" si="3"/>
        <v>0</v>
      </c>
      <c r="J54" s="21">
        <f t="shared" si="3"/>
        <v>0</v>
      </c>
      <c r="K54" s="21">
        <f t="shared" si="3"/>
        <v>0</v>
      </c>
      <c r="L54" s="21">
        <f t="shared" si="3"/>
        <v>0</v>
      </c>
      <c r="M54" s="21">
        <f t="shared" si="3"/>
        <v>99.616716493113103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0.20560065114545437</v>
      </c>
      <c r="C56" s="56">
        <f ca="1">'EF ele_warmte'!B22</f>
        <v>0.23764445963517469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5.697901815054407</v>
      </c>
      <c r="C58" s="23">
        <f t="shared" ref="C58:P58" ca="1" si="4">C54*C56</f>
        <v>0</v>
      </c>
      <c r="D58" s="23">
        <f t="shared" si="4"/>
        <v>0</v>
      </c>
      <c r="E58" s="23">
        <f t="shared" si="4"/>
        <v>0</v>
      </c>
      <c r="F58" s="23">
        <f t="shared" si="4"/>
        <v>0</v>
      </c>
      <c r="G58" s="23">
        <f t="shared" si="4"/>
        <v>463.2303901707624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10399.030593615345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43244.5</v>
      </c>
      <c r="C8" s="545">
        <f>B51</f>
        <v>50875.32591432333</v>
      </c>
      <c r="D8" s="546"/>
      <c r="E8" s="546">
        <f>E51</f>
        <v>0</v>
      </c>
      <c r="F8" s="547"/>
      <c r="G8" s="548"/>
      <c r="H8" s="546">
        <f>I51</f>
        <v>0</v>
      </c>
      <c r="I8" s="546">
        <f>G51+F51</f>
        <v>0</v>
      </c>
      <c r="J8" s="546">
        <f>H51+D51+C51</f>
        <v>0</v>
      </c>
      <c r="K8" s="546"/>
      <c r="L8" s="546"/>
      <c r="M8" s="546"/>
      <c r="N8" s="549"/>
      <c r="O8" s="550">
        <f>C8*$C$12+D8*$D$12+E8*$E$12+F8*$F$12+G8*$G$12+H8*$H$12+I8*$I$12+J8*$J$12</f>
        <v>10276.815834693314</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53643.530593615345</v>
      </c>
      <c r="C10" s="560">
        <f t="shared" ref="C10:L10" si="0">SUM(C8:C9)</f>
        <v>50875.32591432333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10276.815834693314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61777.889961389963</v>
      </c>
      <c r="C17" s="576">
        <f>B52</f>
        <v>72679.075630078223</v>
      </c>
      <c r="D17" s="577"/>
      <c r="E17" s="577">
        <f>E52</f>
        <v>0</v>
      </c>
      <c r="F17" s="578"/>
      <c r="G17" s="579"/>
      <c r="H17" s="576">
        <f>I52</f>
        <v>0</v>
      </c>
      <c r="I17" s="577">
        <f>G52+F52</f>
        <v>0</v>
      </c>
      <c r="J17" s="577">
        <f>H52+D52+C52</f>
        <v>0</v>
      </c>
      <c r="K17" s="577"/>
      <c r="L17" s="577"/>
      <c r="M17" s="577"/>
      <c r="N17" s="962"/>
      <c r="O17" s="580">
        <f>C17*$C$22+E17*$E$22+H17*$H$22+I17*$I$22+J17*$J$22+D17*$D$22+F17*$F$22+G17*$G$22+K17*$K$22+L17*$L$22</f>
        <v>14681.173277275802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61777.889961389963</v>
      </c>
      <c r="C20" s="559">
        <f>SUM(C17:C19)</f>
        <v>72679.075630078223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14681.173277275802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11024</v>
      </c>
      <c r="C28" s="787">
        <v>2550</v>
      </c>
      <c r="D28" s="637" t="s">
        <v>874</v>
      </c>
      <c r="E28" s="636" t="s">
        <v>875</v>
      </c>
      <c r="F28" s="636" t="s">
        <v>876</v>
      </c>
      <c r="G28" s="636" t="s">
        <v>877</v>
      </c>
      <c r="H28" s="636" t="s">
        <v>878</v>
      </c>
      <c r="I28" s="636" t="s">
        <v>875</v>
      </c>
      <c r="J28" s="786">
        <v>39444</v>
      </c>
      <c r="K28" s="786">
        <v>43133</v>
      </c>
      <c r="L28" s="636" t="s">
        <v>879</v>
      </c>
      <c r="M28" s="636">
        <v>4019</v>
      </c>
      <c r="N28" s="636">
        <v>18085.5</v>
      </c>
      <c r="O28" s="636">
        <v>25836.428571428572</v>
      </c>
      <c r="P28" s="636">
        <v>51672.857142857145</v>
      </c>
      <c r="Q28" s="636">
        <v>0</v>
      </c>
      <c r="R28" s="636">
        <v>0</v>
      </c>
      <c r="S28" s="636">
        <v>0</v>
      </c>
      <c r="T28" s="636">
        <v>0</v>
      </c>
      <c r="U28" s="636">
        <v>0</v>
      </c>
      <c r="V28" s="636">
        <v>0</v>
      </c>
      <c r="W28" s="636">
        <v>0</v>
      </c>
      <c r="X28" s="636">
        <v>10</v>
      </c>
      <c r="Y28" s="636" t="s">
        <v>111</v>
      </c>
      <c r="Z28" s="638" t="s">
        <v>111</v>
      </c>
    </row>
    <row r="29" spans="1:26" s="590" customFormat="1" ht="63.75">
      <c r="A29" s="589"/>
      <c r="B29" s="787">
        <v>11024</v>
      </c>
      <c r="C29" s="787">
        <v>2550</v>
      </c>
      <c r="D29" s="637" t="s">
        <v>880</v>
      </c>
      <c r="E29" s="636" t="s">
        <v>881</v>
      </c>
      <c r="F29" s="636" t="s">
        <v>882</v>
      </c>
      <c r="G29" s="636" t="s">
        <v>877</v>
      </c>
      <c r="H29" s="636" t="s">
        <v>878</v>
      </c>
      <c r="I29" s="636" t="s">
        <v>883</v>
      </c>
      <c r="J29" s="786">
        <v>41991</v>
      </c>
      <c r="K29" s="786">
        <v>39583</v>
      </c>
      <c r="L29" s="636" t="s">
        <v>884</v>
      </c>
      <c r="M29" s="636">
        <v>2861</v>
      </c>
      <c r="N29" s="636">
        <v>12874.500000000002</v>
      </c>
      <c r="O29" s="636">
        <v>18392.142857142859</v>
      </c>
      <c r="P29" s="636">
        <v>36784.285714285725</v>
      </c>
      <c r="Q29" s="636">
        <v>0</v>
      </c>
      <c r="R29" s="636">
        <v>0</v>
      </c>
      <c r="S29" s="636">
        <v>0</v>
      </c>
      <c r="T29" s="636">
        <v>0</v>
      </c>
      <c r="U29" s="636">
        <v>0</v>
      </c>
      <c r="V29" s="636">
        <v>0</v>
      </c>
      <c r="W29" s="636">
        <v>0</v>
      </c>
      <c r="X29" s="636">
        <v>1600</v>
      </c>
      <c r="Y29" s="636" t="s">
        <v>49</v>
      </c>
      <c r="Z29" s="638" t="s">
        <v>155</v>
      </c>
    </row>
    <row r="30" spans="1:26" s="590" customFormat="1" ht="25.5">
      <c r="A30" s="589"/>
      <c r="B30" s="787">
        <v>11024</v>
      </c>
      <c r="C30" s="787">
        <v>2550</v>
      </c>
      <c r="D30" s="637" t="s">
        <v>885</v>
      </c>
      <c r="E30" s="636" t="s">
        <v>886</v>
      </c>
      <c r="F30" s="636" t="s">
        <v>887</v>
      </c>
      <c r="G30" s="636" t="s">
        <v>877</v>
      </c>
      <c r="H30" s="636" t="s">
        <v>878</v>
      </c>
      <c r="I30" s="636" t="s">
        <v>886</v>
      </c>
      <c r="J30" s="786">
        <v>40849</v>
      </c>
      <c r="K30" s="786">
        <v>39645</v>
      </c>
      <c r="L30" s="636" t="s">
        <v>884</v>
      </c>
      <c r="M30" s="636">
        <v>2728</v>
      </c>
      <c r="N30" s="636">
        <v>12276.000000000002</v>
      </c>
      <c r="O30" s="636">
        <v>17537.142857142859</v>
      </c>
      <c r="P30" s="636">
        <v>35074.285714285725</v>
      </c>
      <c r="Q30" s="636">
        <v>0</v>
      </c>
      <c r="R30" s="636">
        <v>0</v>
      </c>
      <c r="S30" s="636">
        <v>0</v>
      </c>
      <c r="T30" s="636">
        <v>0</v>
      </c>
      <c r="U30" s="636">
        <v>0</v>
      </c>
      <c r="V30" s="636">
        <v>0</v>
      </c>
      <c r="W30" s="636">
        <v>0</v>
      </c>
      <c r="X30" s="636">
        <v>10</v>
      </c>
      <c r="Y30" s="636" t="s">
        <v>111</v>
      </c>
      <c r="Z30" s="638" t="s">
        <v>111</v>
      </c>
    </row>
    <row r="31" spans="1:26" s="590" customFormat="1" ht="25.5">
      <c r="A31" s="589"/>
      <c r="B31" s="787">
        <v>11024</v>
      </c>
      <c r="C31" s="787">
        <v>2550</v>
      </c>
      <c r="D31" s="637"/>
      <c r="E31" s="636"/>
      <c r="F31" s="636" t="s">
        <v>888</v>
      </c>
      <c r="G31" s="636" t="s">
        <v>889</v>
      </c>
      <c r="H31" s="636" t="s">
        <v>889</v>
      </c>
      <c r="I31" s="636" t="s">
        <v>890</v>
      </c>
      <c r="J31" s="786">
        <v>42311</v>
      </c>
      <c r="K31" s="786">
        <v>42280</v>
      </c>
      <c r="L31" s="636" t="s">
        <v>884</v>
      </c>
      <c r="M31" s="636">
        <v>1.7</v>
      </c>
      <c r="N31" s="636">
        <v>8.5</v>
      </c>
      <c r="O31" s="636">
        <v>12.175675675675675</v>
      </c>
      <c r="P31" s="636">
        <v>22.972972972972972</v>
      </c>
      <c r="Q31" s="636">
        <v>0</v>
      </c>
      <c r="R31" s="636">
        <v>0</v>
      </c>
      <c r="S31" s="636">
        <v>0</v>
      </c>
      <c r="T31" s="636">
        <v>0</v>
      </c>
      <c r="U31" s="636">
        <v>0</v>
      </c>
      <c r="V31" s="636">
        <v>0</v>
      </c>
      <c r="W31" s="636">
        <v>0</v>
      </c>
      <c r="X31" s="636">
        <v>10</v>
      </c>
      <c r="Y31" s="636" t="s">
        <v>111</v>
      </c>
      <c r="Z31" s="638" t="s">
        <v>111</v>
      </c>
    </row>
    <row r="32" spans="1:26" s="570" customFormat="1">
      <c r="A32" s="592" t="s">
        <v>275</v>
      </c>
      <c r="B32" s="593"/>
      <c r="C32" s="593"/>
      <c r="D32" s="593"/>
      <c r="E32" s="593"/>
      <c r="F32" s="593"/>
      <c r="G32" s="593"/>
      <c r="H32" s="593"/>
      <c r="I32" s="593"/>
      <c r="J32" s="593"/>
      <c r="K32" s="593"/>
      <c r="L32" s="594"/>
      <c r="M32" s="594">
        <f>SUM(M28:M31)</f>
        <v>9609.7000000000007</v>
      </c>
      <c r="N32" s="594">
        <f>SUM(N28:N31)</f>
        <v>43244.5</v>
      </c>
      <c r="O32" s="594">
        <f>SUM(O28:O31)</f>
        <v>61777.889961389963</v>
      </c>
      <c r="P32" s="594">
        <f>SUM(P28:P31)</f>
        <v>123554.40154440157</v>
      </c>
      <c r="Q32" s="594">
        <f>SUM(Q28:Q31)</f>
        <v>0</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2861</v>
      </c>
      <c r="N34" s="594">
        <f ca="1">SUMIF($Z$28:AD31,"tertiair",N28:N31)</f>
        <v>12874.500000000002</v>
      </c>
      <c r="O34" s="594">
        <f ca="1">SUMIF($Z$28:AE31,"tertiair",O28:O31)</f>
        <v>18392.142857142859</v>
      </c>
      <c r="P34" s="594">
        <f ca="1">SUMIF($Z$28:AF31,"tertiair",P28:P31)</f>
        <v>36784.285714285725</v>
      </c>
      <c r="Q34" s="594">
        <f ca="1">SUMIF($Z$28:AG31,"tertiair",Q28:Q31)</f>
        <v>0</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6748.7</v>
      </c>
      <c r="N35" s="599">
        <f>SUMIF($Z$28:$Z$31,"landbouw",N28:N31)</f>
        <v>30370</v>
      </c>
      <c r="O35" s="599">
        <f>SUMIF($Z$28:$Z$31,"landbouw",O28:O31)</f>
        <v>43385.747104247108</v>
      </c>
      <c r="P35" s="599">
        <f>SUMIF($Z$28:$Z$31,"landbouw",P28:P31)</f>
        <v>86770.115830115843</v>
      </c>
      <c r="Q35" s="599">
        <f>SUMIF($Z$28:$Z$31,"landbouw",Q28:Q31)</f>
        <v>0</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0.5882354227903378</v>
      </c>
      <c r="C48" s="619">
        <f>IF(ISERROR(N32/(O32+N32)),0,N32/(N32+O32))</f>
        <v>0.41176457720966209</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50875.32591432333</v>
      </c>
      <c r="C51" s="628">
        <f t="shared" si="2"/>
        <v>0</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72679.075630078223</v>
      </c>
      <c r="C52" s="631">
        <f t="shared" si="3"/>
        <v>0</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2021-06-29T14:11:42Z</dcterms:modified>
</cp:coreProperties>
</file>