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3" i="13"/>
  <c r="B32" i="13"/>
  <c r="B36" i="13"/>
  <c r="B34"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<sst xmlns="http://schemas.openxmlformats.org/spreadsheetml/2006/main" count="2429" uniqueCount="874">
  <si>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</si>
  <si>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</si>
  <si>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</si>
  <si>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</si>
  <si>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</si>
  <si>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</si>
  <si>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</si>
  <si>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</si>
  <si>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</si>
  <si>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</si>
  <si>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</si>
  <si>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</si>
  <si>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</si>
  <si>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</si>
  <si>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</si>
  <si>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</si>
  <si>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</si>
  <si>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</si>
  <si>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</si>
  <si>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</si>
  <si>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</si>
  <si>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</si>
  <si>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</si>
  <si>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</si>
  <si>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</si>
  <si>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</si>
  <si>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</si>
  <si>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</si>
  <si>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</si>
  <si>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</si>
  <si>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</si>
  <si>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</si>
  <si>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</si>
  <si>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</si>
  <si>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</si>
  <si>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</si>
  <si>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</si>
  <si>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</si>
  <si>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</si>
  <si>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</si>
  <si>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</si>
  <si>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</si>
  <si>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</si>
  <si>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</si>
  <si>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</si>
  <si>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</si>
  <si>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</si>
  <si>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</si>
  <si>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</si>
  <si>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</si>
  <si>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</si>
  <si>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</si>
  <si>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</si>
  <si>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</si>
  <si>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</si>
  <si>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</si>
  <si>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</si>
  <si>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</si>
  <si>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</si>
  <si>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</si>
  <si>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</si>
  <si>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</si>
  <si>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</si>
  <si>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</si>
  <si>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</si>
  <si>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</si>
  <si>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</si>
  <si>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</si>
  <si>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</si>
  <si>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</si>
  <si>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</si>
  <si>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</si>
  <si>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</si>
  <si>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</si>
  <si>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</si>
  <si>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</si>
  <si>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</si>
  <si>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</si>
  <si>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</si>
  <si>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</si>
  <si>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</si>
  <si>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</si>
  <si>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</si>
  <si>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</si>
  <si>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</si>
  <si>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</si>
  <si>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</si>
  <si>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</si>
  <si>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</si>
  <si>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</si>
  <si>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</si>
  <si>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</si>
  <si>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</si>
  <si>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</si>
  <si>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</si>
  <si>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</si>
  <si>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</si>
  <si>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</si>
  <si>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</si>
  <si>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</si>
  <si>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</si>
  <si>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</si>
  <si>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</si>
  <si>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</si>
  <si>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</si>
  <si>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</si>
  <si>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</si>
  <si>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</si>
  <si>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</si>
  <si>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</si>
  <si>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</si>
  <si>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</si>
  <si>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</si>
  <si>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</si>
  <si>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</si>
  <si>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</si>
  <si>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</si>
  <si>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</si>
  <si>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</si>
  <si>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</si>
  <si>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</si>
  <si>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</si>
  <si>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</si>
  <si>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</si>
  <si>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</si>
  <si>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</si>
  <si>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</si>
  <si>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</si>
  <si>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</si>
  <si>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</si>
  <si>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</si>
  <si>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</si>
  <si>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</si>
  <si>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</si>
  <si>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</si>
  <si>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</si>
  <si>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</si>
  <si>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</si>
  <si>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</si>
  <si>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</si>
  <si>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</si>
  <si>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</si>
  <si>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</si>
  <si>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</si>
  <si>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</si>
  <si>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</si>
  <si>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</si>
  <si>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</si>
  <si>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</si>
  <si>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</si>
  <si>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</si>
  <si>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</si>
  <si>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</si>
  <si>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</si>
  <si>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</si>
  <si>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</si>
  <si>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</si>
  <si>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</si>
  <si>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</si>
  <si>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</si>
  <si>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</si>
  <si>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</si>
  <si>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</si>
  <si>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</si>
  <si>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</si>
  <si>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</si>
  <si>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</si>
  <si>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</si>
  <si>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</si>
  <si>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</si>
  <si>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</si>
  <si>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</si>
  <si>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</si>
  <si>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</si>
  <si>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</si>
  <si>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</si>
  <si>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</si>
  <si>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</si>
  <si>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</si>
  <si>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</si>
  <si>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</si>
  <si>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</si>
  <si>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</si>
  <si>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</si>
  <si>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</si>
  <si>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</si>
  <si>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</si>
  <si>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</si>
  <si>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</si>
  <si>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</si>
  <si>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</si>
  <si>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</si>
  <si>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</si>
  <si>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</si>
  <si>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</si>
  <si>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</si>
  <si>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</si>
  <si>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</si>
  <si>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</si>
  <si>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</si>
  <si>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</si>
  <si>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</si>
  <si>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</si>
  <si>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</si>
  <si>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</si>
  <si>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</si>
  <si>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</si>
  <si>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</si>
  <si>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</si>
  <si>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</si>
  <si>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</si>
  <si>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</si>
  <si>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</si>
  <si>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</si>
  <si>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</si>
  <si>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</si>
  <si>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</si>
  <si>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</si>
  <si>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</si>
  <si>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</si>
  <si>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</si>
  <si>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</si>
  <si>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</si>
  <si>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</si>
  <si>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</si>
  <si>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</si>
  <si>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</si>
  <si>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</si>
  <si>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</si>
  <si>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</si>
  <si>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</si>
  <si>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</si>
  <si>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</si>
  <si>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</si>
  <si>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</si>
  <si>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</si>
  <si>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</si>
  <si>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</si>
  <si>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</si>
  <si>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</si>
  <si>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</si>
  <si>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</si>
  <si>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</si>
  <si>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</si>
  <si>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</si>
  <si>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</si>
  <si>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</si>
  <si>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</si>
  <si>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</si>
  <si>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</si>
  <si>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</si>
  <si>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</si>
  <si>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</si>
  <si>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</si>
  <si>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</si>
  <si>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</si>
  <si>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</si>
  <si>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</si>
  <si>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</si>
  <si>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</si>
  <si>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</si>
  <si>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</si>
  <si>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</si>
  <si>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</si>
  <si>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</si>
  <si>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</si>
  <si>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</si>
  <si>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</si>
  <si>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</si>
  <si>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</si>
  <si>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</si>
  <si>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</si>
  <si>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</si>
  <si>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</si>
  <si>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</si>
  <si>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</si>
  <si>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</si>
  <si>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</si>
  <si>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</si>
  <si>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</si>
  <si>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</si>
  <si>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</si>
  <si>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</si>
  <si>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</si>
  <si>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</si>
  <si>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</si>
  <si>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</si>
  <si>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</si>
  <si>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</si>
  <si>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</si>
  <si>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</si>
  <si>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</si>
  <si>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</si>
  <si>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</si>
  <si>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</si>
  <si>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</si>
  <si>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</si>
  <si>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</si>
  <si>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</si>
  <si>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</si>
  <si>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</si>
  <si>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</si>
  <si>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</si>
  <si>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</si>
  <si>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</si>
  <si>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</si>
  <si>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</si>
  <si>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</si>
  <si>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</si>
  <si>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</si>
  <si>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</si>
  <si>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</si>
  <si>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</si>
  <si>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</si>
  <si>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</si>
  <si>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</si>
  <si>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</si>
  <si>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</si>
  <si>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</si>
  <si>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</si>
  <si>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</si>
  <si>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</si>
  <si>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</si>
  <si>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</si>
  <si>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</si>
  <si>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</si>
  <si>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</si>
  <si>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</si>
  <si>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</si>
  <si>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</si>
  <si>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</si>
  <si>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</si>
  <si>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</si>
  <si>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</si>
  <si>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</si>
  <si>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</si>
  <si>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</si>
  <si>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</si>
  <si>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</si>
  <si>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</si>
  <si>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</si>
  <si>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</si>
  <si>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</si>
  <si>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</si>
  <si>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</si>
  <si>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</si>
  <si>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</si>
  <si>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</si>
  <si>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</si>
  <si>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</si>
  <si>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</si>
  <si>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</si>
  <si>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</si>
  <si>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</si>
  <si>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</si>
  <si>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</si>
  <si>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</si>
  <si>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</si>
  <si>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</si>
  <si>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</si>
  <si>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</si>
  <si>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</si>
  <si>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</si>
  <si>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</si>
  <si>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</si>
  <si>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</si>
  <si>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</si>
  <si>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</si>
  <si>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</si>
  <si>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</si>
  <si>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</si>
  <si>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</si>
  <si>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</si>
  <si>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</si>
  <si>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</si>
  <si>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</si>
  <si>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</si>
  <si>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</si>
  <si>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</si>
  <si>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</si>
  <si>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</si>
  <si>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</si>
  <si>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</si>
  <si>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</si>
  <si>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</si>
  <si>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</si>
  <si>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</si>
  <si>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</si>
  <si>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</si>
  <si>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</si>
  <si>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</si>
  <si>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</si>
  <si>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</si>
  <si>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</si>
  <si>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</si>
  <si>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</si>
  <si>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</si>
  <si>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</si>
  <si>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</si>
  <si>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</si>
  <si>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</si>
  <si>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</si>
  <si>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</si>
  <si>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</si>
  <si>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</si>
  <si>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</si>
  <si>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</si>
  <si>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</si>
  <si>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</si>
  <si>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</si>
  <si>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</si>
  <si>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</si>
  <si>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</si>
  <si>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</si>
  <si>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</si>
  <si>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</si>
  <si>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</si>
  <si>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</si>
  <si>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</si>
  <si>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</si>
  <si>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</si>
  <si>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</si>
  <si>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</si>
  <si>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</si>
  <si>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</si>
  <si>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</si>
  <si>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</si>
  <si>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</si>
  <si>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</si>
  <si>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</si>
  <si>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</si>
  <si>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</si>
  <si>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</si>
  <si>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</si>
  <si>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</si>
  <si>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</si>
  <si>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</si>
  <si>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</si>
  <si>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</si>
  <si>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</si>
  <si>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</si>
  <si>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</si>
  <si>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</si>
  <si>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</si>
  <si>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</si>
  <si>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</si>
  <si>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</si>
  <si>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</si>
  <si>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</si>
  <si>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</si>
  <si>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</si>
  <si>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</si>
  <si>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</si>
  <si>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</si>
  <si>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</si>
  <si>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</si>
  <si>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</si>
  <si>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</si>
  <si>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</si>
  <si>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</si>
  <si>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</si>
  <si>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</si>
  <si>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</si>
  <si>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</si>
  <si>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</si>
  <si>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</si>
  <si>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</si>
  <si>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</si>
  <si>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</si>
  <si>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</si>
  <si>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</si>
  <si>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</si>
  <si>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</si>
  <si>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</si>
  <si>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</si>
  <si>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</si>
  <si>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</si>
  <si>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</si>
  <si>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</si>
  <si>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</si>
  <si>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</si>
  <si>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</si>
  <si>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</si>
  <si>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</si>
  <si>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</si>
  <si>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</si>
  <si>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</si>
  <si>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</si>
  <si>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</si>
  <si>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</si>
  <si>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</si>
  <si>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</si>
  <si>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</si>
  <si>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</si>
  <si>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</si>
  <si>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</si>
  <si>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</si>
  <si>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</si>
  <si>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</si>
  <si>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</si>
  <si>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</si>
  <si>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</si>
  <si>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</si>
  <si>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</si>
  <si>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</si>
  <si>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</si>
  <si>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</si>
  <si>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</si>
  <si>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</si>
  <si>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</si>
  <si>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</si>
  <si>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</si>
  <si>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</si>
  <si>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</si>
  <si>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</si>
  <si>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</si>
  <si>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</si>
  <si>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</si>
  <si>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</si>
  <si>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</si>
  <si>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</si>
  <si>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</si>
  <si>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</si>
  <si>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</si>
  <si>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</si>
  <si>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</si>
  <si>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</si>
  <si>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</si>
  <si>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</si>
  <si>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</si>
  <si>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</si>
  <si>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</si>
  <si>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</si>
  <si>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</si>
  <si>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</si>
  <si>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</si>
  <si>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</si>
  <si>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</si>
  <si>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</si>
  <si>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</si>
  <si>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</si>
  <si>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</si>
  <si>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</si>
  <si>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</si>
  <si>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</si>
  <si>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</si>
  <si>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</si>
  <si>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</si>
  <si>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</si>
  <si>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</si>
  <si>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</si>
  <si>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</si>
  <si>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</si>
  <si>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</si>
  <si>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</si>
  <si>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</si>
  <si>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</si>
  <si>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</si>
  <si>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</si>
  <si>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</si>
  <si>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</si>
  <si>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</si>
  <si>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</si>
  <si>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</si>
  <si>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</si>
  <si>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</si>
  <si>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</si>
  <si>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</si>
  <si>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</si>
  <si>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</si>
  <si>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</si>
  <si>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</si>
  <si>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</si>
  <si>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</si>
  <si>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</si>
  <si>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</si>
  <si>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</si>
  <si>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</si>
  <si>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</si>
  <si>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</si>
  <si>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</si>
  <si>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</si>
  <si>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</si>
  <si>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</si>
  <si>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</si>
  <si>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</si>
  <si>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</si>
  <si>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</si>
  <si>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</si>
  <si>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</si>
  <si>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</si>
  <si>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</si>
  <si>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</si>
  <si>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</si>
  <si>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</si>
  <si>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</si>
  <si>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</si>
  <si>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</si>
  <si>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</si>
  <si>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</si>
  <si>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</si>
  <si>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</si>
  <si>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</si>
  <si>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</si>
  <si>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</si>
  <si>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</si>
  <si>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</si>
  <si>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</si>
  <si>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</si>
  <si>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</si>
  <si>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</si>
  <si>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</si>
  <si>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</si>
  <si>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</si>
  <si>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</si>
  <si>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</si>
  <si>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</si>
  <si>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</si>
  <si>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</si>
  <si>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</si>
  <si>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</si>
  <si>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</si>
  <si>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</si>
  <si>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</si>
  <si>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</si>
  <si>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</si>
  <si>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</si>
  <si>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</si>
  <si>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</si>
  <si>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</si>
  <si>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</si>
  <si>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</si>
  <si>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</si>
  <si>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</si>
  <si>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</si>
  <si>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</si>
  <si>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</si>
  <si>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</si>
  <si>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</si>
  <si>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</si>
  <si>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</si>
  <si>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</si>
  <si>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</si>
  <si>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</si>
  <si>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</si>
  <si>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</si>
  <si>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</si>
  <si>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</si>
  <si>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</si>
  <si>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</si>
  <si>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</si>
  <si>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</si>
  <si>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</si>
  <si>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</si>
  <si>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</si>
  <si>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</si>
  <si>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</si>
  <si>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</si>
  <si>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</si>
  <si>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</si>
  <si>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</si>
  <si>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</si>
  <si>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</si>
  <si>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</si>
  <si>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</si>
  <si>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</si>
  <si>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</si>
  <si>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</si>
  <si>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</si>
  <si>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</si>
  <si>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</si>
  <si>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</si>
  <si>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</si>
  <si>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</si>
  <si>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</si>
  <si>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</si>
  <si>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</si>
  <si>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</si>
  <si>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</si>
  <si>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</si>
  <si>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</si>
  <si>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</si>
  <si>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</si>
  <si>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</si>
  <si>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</si>
  <si>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</si>
  <si>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</si>
  <si>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</si>
  <si>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</si>
  <si>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</si>
  <si>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</si>
  <si>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</si>
  <si>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</si>
  <si>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</si>
  <si>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</si>
  <si>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</si>
  <si>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</si>
  <si>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</si>
  <si>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</si>
  <si>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</si>
  <si>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</si>
  <si>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</si>
  <si>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</si>
  <si>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</si>
  <si>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</si>
  <si>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</si>
  <si>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</si>
  <si>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</si>
  <si>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</si>
  <si>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</si>
  <si>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</si>
  <si>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</si>
  <si>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</si>
  <si>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</si>
  <si>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</si>
  <si>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</si>
  <si>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</si>
  <si>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</si>
  <si>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</si>
  <si>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</si>
  <si>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</si>
  <si>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</si>
  <si>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</si>
  <si>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</si>
  <si>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</si>
  <si>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</si>
  <si>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</si>
  <si>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</si>
  <si>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</si>
  <si>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</si>
  <si>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</si>
  <si>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</si>
  <si>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</si>
  <si>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</si>
  <si>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</si>
  <si>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</si>
  <si>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</si>
  <si>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</si>
  <si>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</si>
  <si>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</si>
  <si>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</si>
  <si>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</si>
  <si>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</si>
  <si>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</si>
  <si>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</si>
  <si>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</si>
  <si>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</si>
  <si>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</si>
  <si>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</si>
  <si>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</si>
  <si>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</si>
  <si>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</si>
  <si>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</si>
  <si>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</si>
  <si>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</si>
  <si>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</si>
  <si>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</si>
  <si>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</si>
  <si>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</si>
  <si>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</si>
  <si>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</si>
  <si>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</si>
  <si>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</si>
  <si>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</si>
  <si>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</si>
  <si>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</si>
  <si>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</si>
  <si>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</si>
  <si>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</si>
  <si>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</si>
  <si>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</si>
  <si>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</si>
  <si>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</si>
  <si>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</si>
  <si>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</si>
  <si>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</si>
  <si>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</si>
  <si>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</si>
  <si>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</si>
  <si>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</si>
  <si>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</si>
  <si>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</si>
  <si>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</si>
  <si>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</si>
  <si>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</si>
  <si>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</si>
  <si>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</si>
  <si>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</si>
  <si>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</si>
  <si>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</si>
  <si>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</si>
  <si>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</si>
  <si>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</si>
  <si>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</si>
  <si>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</si>
  <si>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</si>
  <si>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</si>
  <si>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</si>
  <si>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</si>
  <si>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</si>
  <si>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</si>
  <si>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</si>
  <si>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</si>
  <si>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</si>
  <si>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</si>
  <si>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</si>
  <si>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</si>
  <si>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</si>
  <si>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</si>
  <si>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</si>
  <si>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</si>
  <si>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</si>
  <si>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</si>
  <si>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</si>
  <si>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</si>
  <si>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</si>
  <si>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</si>
  <si>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</si>
  <si>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</si>
  <si>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</si>
  <si>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</si>
  <si>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</si>
  <si>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</si>
  <si>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</si>
  <si>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</si>
  <si>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</si>
  <si>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</si>
  <si>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</si>
  <si>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</si>
  <si>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</si>
  <si>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</si>
  <si>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</si>
  <si>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</si>
  <si>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</si>
  <si>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</si>
  <si>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</si>
  <si>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</si>
  <si>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</si>
  <si>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</si>
  <si>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</si>
  <si>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</si>
  <si>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</si>
  <si>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</si>
  <si>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</si>
  <si>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</si>
  <si>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</si>
  <si>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</si>
  <si>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</si>
  <si>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</si>
  <si>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</si>
  <si>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</si>
  <si>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</si>
  <si>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</si>
  <si>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</si>
  <si>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</si>
  <si>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</si>
  <si>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</si>
  <si>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</si>
  <si>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</si>
  <si>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</si>
  <si>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</si>
  <si>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</si>
  <si>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</si>
  <si>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</si>
  <si>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</si>
  <si>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</si>
  <si>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</si>
  <si>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</si>
  <si>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</si>
  <si>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</si>
  <si>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11023</t>
  </si>
  <si>
    <t>KAPELLEN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</si>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</sst>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254967.3731270245</c:v>
                </c:pt>
                <c:pt idx="1">
                  <c:v>78016.866063595357</c:v>
                </c:pt>
                <c:pt idx="2">
                  <c:v>1244.1690000000001</c:v>
                </c:pt>
                <c:pt idx="3">
                  <c:v>1291.3610936551395</c:v>
                </c:pt>
                <c:pt idx="4">
                  <c:v>15526.833020262417</c:v>
                </c:pt>
                <c:pt idx="5">
                  <c:v>75138.757012087153</c:v>
                </c:pt>
                <c:pt idx="6">
                  <c:v>2161.5872534369878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254967.3731270245</c:v>
                </c:pt>
                <c:pt idx="1">
                  <c:v>78016.866063595357</c:v>
                </c:pt>
                <c:pt idx="2">
                  <c:v>1244.1690000000001</c:v>
                </c:pt>
                <c:pt idx="3">
                  <c:v>1291.3610936551395</c:v>
                </c:pt>
                <c:pt idx="4">
                  <c:v>15526.833020262417</c:v>
                </c:pt>
                <c:pt idx="5">
                  <c:v>75138.757012087153</c:v>
                </c:pt>
                <c:pt idx="6">
                  <c:v>2161.5872534369878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50411.211818913354</c:v>
                </c:pt>
                <c:pt idx="1">
                  <c:v>15756.718294415674</c:v>
                </c:pt>
                <c:pt idx="2">
                  <c:v>248.61203078869909</c:v>
                </c:pt>
                <c:pt idx="3">
                  <c:v>311.88880155990159</c:v>
                </c:pt>
                <c:pt idx="4">
                  <c:v>3262.9832978594231</c:v>
                </c:pt>
                <c:pt idx="5">
                  <c:v>18583.169284163094</c:v>
                </c:pt>
                <c:pt idx="6">
                  <c:v>544.11029199975712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50411.211818913354</c:v>
                </c:pt>
                <c:pt idx="1">
                  <c:v>15756.718294415674</c:v>
                </c:pt>
                <c:pt idx="2">
                  <c:v>248.61203078869909</c:v>
                </c:pt>
                <c:pt idx="3">
                  <c:v>311.88880155990159</c:v>
                </c:pt>
                <c:pt idx="4">
                  <c:v>3262.9832978594231</c:v>
                </c:pt>
                <c:pt idx="5">
                  <c:v>18583.169284163094</c:v>
                </c:pt>
                <c:pt idx="6">
                  <c:v>544.11029199975712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11023</v>
      </c>
      <c r="B6" s="386"/>
      <c r="C6" s="387"/>
    </row>
    <row r="7" spans="1:7" s="384" customFormat="1" ht="15.75" customHeight="1">
      <c r="A7" s="388" t="str">
        <f>txtMunicipality</f>
        <v>KAPELLEN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27190.438465298233</v>
      </c>
      <c r="D10" s="683">
        <f ca="1">tertiair!C16</f>
        <v>0</v>
      </c>
      <c r="E10" s="683">
        <f ca="1">tertiair!D16</f>
        <v>46810.07178437111</v>
      </c>
      <c r="F10" s="683">
        <f>tertiair!E16</f>
        <v>101.22439433194609</v>
      </c>
      <c r="G10" s="683">
        <f ca="1">tertiair!F16</f>
        <v>4095.3904066918658</v>
      </c>
      <c r="H10" s="683">
        <f>tertiair!G16</f>
        <v>0</v>
      </c>
      <c r="I10" s="683">
        <f>tertiair!H16</f>
        <v>0</v>
      </c>
      <c r="J10" s="683">
        <f>tertiair!I16</f>
        <v>0</v>
      </c>
      <c r="K10" s="683">
        <f>tertiair!J16</f>
        <v>2.1372156421481842E-2</v>
      </c>
      <c r="L10" s="683">
        <f>tertiair!K16</f>
        <v>0</v>
      </c>
      <c r="M10" s="683">
        <f ca="1">tertiair!L16</f>
        <v>0</v>
      </c>
      <c r="N10" s="683">
        <f>tertiair!M16</f>
        <v>0</v>
      </c>
      <c r="O10" s="683">
        <f ca="1">tertiair!N16</f>
        <v>843.93756598811103</v>
      </c>
      <c r="P10" s="683">
        <f>tertiair!O16</f>
        <v>9.7945215316823084</v>
      </c>
      <c r="Q10" s="684">
        <f>tertiair!P16</f>
        <v>210.15655322598008</v>
      </c>
      <c r="R10" s="686">
        <f ca="1">SUM(C10:Q10)</f>
        <v>79261.035063595351</v>
      </c>
      <c r="S10" s="67"/>
    </row>
    <row r="11" spans="1:19" s="445" customFormat="1">
      <c r="A11" s="804" t="s">
        <v>220</v>
      </c>
      <c r="B11" s="809"/>
      <c r="C11" s="683">
        <f>huishoudens!B8</f>
        <v>50095.253668437959</v>
      </c>
      <c r="D11" s="683">
        <f>huishoudens!C8</f>
        <v>0</v>
      </c>
      <c r="E11" s="683">
        <f>huishoudens!D8</f>
        <v>153791.69582912538</v>
      </c>
      <c r="F11" s="683">
        <f>huishoudens!E8</f>
        <v>1525.2894612405044</v>
      </c>
      <c r="G11" s="683">
        <f>huishoudens!F8</f>
        <v>33413.914158287887</v>
      </c>
      <c r="H11" s="683">
        <f>huishoudens!G8</f>
        <v>0</v>
      </c>
      <c r="I11" s="683">
        <f>huishoudens!H8</f>
        <v>0</v>
      </c>
      <c r="J11" s="683">
        <f>huishoudens!I8</f>
        <v>0</v>
      </c>
      <c r="K11" s="683">
        <f>huishoudens!J8</f>
        <v>190.42955139345193</v>
      </c>
      <c r="L11" s="683">
        <f>huishoudens!K8</f>
        <v>0</v>
      </c>
      <c r="M11" s="683">
        <f>huishoudens!L8</f>
        <v>0</v>
      </c>
      <c r="N11" s="683">
        <f>huishoudens!M8</f>
        <v>0</v>
      </c>
      <c r="O11" s="683">
        <f>huishoudens!N8</f>
        <v>13991.760542483624</v>
      </c>
      <c r="P11" s="683">
        <f>huishoudens!O8</f>
        <v>378.93601990292308</v>
      </c>
      <c r="Q11" s="684">
        <f>huishoudens!P8</f>
        <v>1580.0938961527536</v>
      </c>
      <c r="R11" s="686">
        <f>SUM(C11:Q11)</f>
        <v>254967.3731270245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6487.359580888351</v>
      </c>
      <c r="D13" s="683">
        <f>industrie!C18</f>
        <v>0</v>
      </c>
      <c r="E13" s="683">
        <f>industrie!D18</f>
        <v>5553.3926064370335</v>
      </c>
      <c r="F13" s="683">
        <f>industrie!E18</f>
        <v>21.697753675860181</v>
      </c>
      <c r="G13" s="683">
        <f>industrie!F18</f>
        <v>3139.0827232267775</v>
      </c>
      <c r="H13" s="683">
        <f>industrie!G18</f>
        <v>0</v>
      </c>
      <c r="I13" s="683">
        <f>industrie!H18</f>
        <v>0</v>
      </c>
      <c r="J13" s="683">
        <f>industrie!I18</f>
        <v>0</v>
      </c>
      <c r="K13" s="683">
        <f>industrie!J18</f>
        <v>5.1467498244455676</v>
      </c>
      <c r="L13" s="683">
        <f>industrie!K18</f>
        <v>0</v>
      </c>
      <c r="M13" s="683">
        <f>industrie!L18</f>
        <v>0</v>
      </c>
      <c r="N13" s="683">
        <f>industrie!M18</f>
        <v>0</v>
      </c>
      <c r="O13" s="683">
        <f>industrie!N18</f>
        <v>320.1536062099475</v>
      </c>
      <c r="P13" s="683">
        <f>industrie!O18</f>
        <v>0</v>
      </c>
      <c r="Q13" s="684">
        <f>industrie!P18</f>
        <v>0</v>
      </c>
      <c r="R13" s="686">
        <f>SUM(C13:Q13)</f>
        <v>15526.833020262417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83773.05171462454</v>
      </c>
      <c r="D16" s="719">
        <f t="shared" ref="D16:R16" ca="1" si="0">SUM(D9:D15)</f>
        <v>0</v>
      </c>
      <c r="E16" s="719">
        <f t="shared" ca="1" si="0"/>
        <v>206155.16021993352</v>
      </c>
      <c r="F16" s="719">
        <f t="shared" si="0"/>
        <v>1648.2116092483107</v>
      </c>
      <c r="G16" s="719">
        <f t="shared" ca="1" si="0"/>
        <v>40648.387288206533</v>
      </c>
      <c r="H16" s="719">
        <f t="shared" si="0"/>
        <v>0</v>
      </c>
      <c r="I16" s="719">
        <f t="shared" si="0"/>
        <v>0</v>
      </c>
      <c r="J16" s="719">
        <f t="shared" si="0"/>
        <v>0</v>
      </c>
      <c r="K16" s="719">
        <f t="shared" si="0"/>
        <v>195.59767337431899</v>
      </c>
      <c r="L16" s="719">
        <f t="shared" si="0"/>
        <v>0</v>
      </c>
      <c r="M16" s="719">
        <f t="shared" ca="1" si="0"/>
        <v>0</v>
      </c>
      <c r="N16" s="719">
        <f t="shared" si="0"/>
        <v>0</v>
      </c>
      <c r="O16" s="719">
        <f t="shared" ca="1" si="0"/>
        <v>15155.851714681683</v>
      </c>
      <c r="P16" s="719">
        <f t="shared" si="0"/>
        <v>388.73054143460541</v>
      </c>
      <c r="Q16" s="719">
        <f t="shared" si="0"/>
        <v>1790.2504493787337</v>
      </c>
      <c r="R16" s="719">
        <f t="shared" ca="1" si="0"/>
        <v>349755.24121088226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32.167649675106034</v>
      </c>
      <c r="D19" s="683">
        <f>transport!C54</f>
        <v>0</v>
      </c>
      <c r="E19" s="683">
        <f>transport!D54</f>
        <v>0</v>
      </c>
      <c r="F19" s="683">
        <f>transport!E54</f>
        <v>0</v>
      </c>
      <c r="G19" s="683">
        <f>transport!F54</f>
        <v>0</v>
      </c>
      <c r="H19" s="683">
        <f>transport!G54</f>
        <v>2013.7921192776114</v>
      </c>
      <c r="I19" s="683">
        <f>transport!H54</f>
        <v>0</v>
      </c>
      <c r="J19" s="683">
        <f>transport!I54</f>
        <v>0</v>
      </c>
      <c r="K19" s="683">
        <f>transport!J54</f>
        <v>0</v>
      </c>
      <c r="L19" s="683">
        <f>transport!K54</f>
        <v>0</v>
      </c>
      <c r="M19" s="683">
        <f>transport!L54</f>
        <v>0</v>
      </c>
      <c r="N19" s="683">
        <f>transport!M54</f>
        <v>115.62748448427017</v>
      </c>
      <c r="O19" s="683">
        <f>transport!N54</f>
        <v>0</v>
      </c>
      <c r="P19" s="683">
        <f>transport!O54</f>
        <v>0</v>
      </c>
      <c r="Q19" s="684">
        <f>transport!P54</f>
        <v>0</v>
      </c>
      <c r="R19" s="686">
        <f>SUM(C19:Q19)</f>
        <v>2161.5872534369878</v>
      </c>
      <c r="S19" s="67"/>
    </row>
    <row r="20" spans="1:19" s="445" customFormat="1">
      <c r="A20" s="804" t="s">
        <v>302</v>
      </c>
      <c r="B20" s="809"/>
      <c r="C20" s="683">
        <f>transport!B14</f>
        <v>186.05130078640306</v>
      </c>
      <c r="D20" s="683">
        <f>transport!C14</f>
        <v>0</v>
      </c>
      <c r="E20" s="683">
        <f>transport!D14</f>
        <v>343.15162533742227</v>
      </c>
      <c r="F20" s="683">
        <f>transport!E14</f>
        <v>133.95116400435469</v>
      </c>
      <c r="G20" s="683">
        <f>transport!F14</f>
        <v>0</v>
      </c>
      <c r="H20" s="683">
        <f>transport!G14</f>
        <v>53445.886518642772</v>
      </c>
      <c r="I20" s="683">
        <f>transport!H14</f>
        <v>16771.955598555302</v>
      </c>
      <c r="J20" s="683">
        <f>transport!I14</f>
        <v>0</v>
      </c>
      <c r="K20" s="683">
        <f>transport!J14</f>
        <v>0</v>
      </c>
      <c r="L20" s="683">
        <f>transport!K14</f>
        <v>0</v>
      </c>
      <c r="M20" s="683">
        <f>transport!L14</f>
        <v>0</v>
      </c>
      <c r="N20" s="683">
        <f>transport!M14</f>
        <v>4257.7608047609028</v>
      </c>
      <c r="O20" s="683">
        <f>transport!N14</f>
        <v>0</v>
      </c>
      <c r="P20" s="683">
        <f>transport!O14</f>
        <v>0</v>
      </c>
      <c r="Q20" s="684">
        <f>transport!P14</f>
        <v>0</v>
      </c>
      <c r="R20" s="686">
        <f>SUM(C20:Q20)</f>
        <v>75138.757012087153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218.21895046150911</v>
      </c>
      <c r="D22" s="807">
        <f t="shared" ref="D22:R22" si="1">SUM(D18:D21)</f>
        <v>0</v>
      </c>
      <c r="E22" s="807">
        <f t="shared" si="1"/>
        <v>343.15162533742227</v>
      </c>
      <c r="F22" s="807">
        <f t="shared" si="1"/>
        <v>133.95116400435469</v>
      </c>
      <c r="G22" s="807">
        <f t="shared" si="1"/>
        <v>0</v>
      </c>
      <c r="H22" s="807">
        <f t="shared" si="1"/>
        <v>55459.678637920384</v>
      </c>
      <c r="I22" s="807">
        <f t="shared" si="1"/>
        <v>16771.955598555302</v>
      </c>
      <c r="J22" s="807">
        <f t="shared" si="1"/>
        <v>0</v>
      </c>
      <c r="K22" s="807">
        <f t="shared" si="1"/>
        <v>0</v>
      </c>
      <c r="L22" s="807">
        <f t="shared" si="1"/>
        <v>0</v>
      </c>
      <c r="M22" s="807">
        <f t="shared" si="1"/>
        <v>0</v>
      </c>
      <c r="N22" s="807">
        <f t="shared" si="1"/>
        <v>4373.3882892451729</v>
      </c>
      <c r="O22" s="807">
        <f t="shared" si="1"/>
        <v>0</v>
      </c>
      <c r="P22" s="807">
        <f t="shared" si="1"/>
        <v>0</v>
      </c>
      <c r="Q22" s="807">
        <f t="shared" si="1"/>
        <v>0</v>
      </c>
      <c r="R22" s="807">
        <f t="shared" si="1"/>
        <v>77300.344265524138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210.06512243731501</v>
      </c>
      <c r="D24" s="683">
        <f>+landbouw!C8</f>
        <v>0</v>
      </c>
      <c r="E24" s="683">
        <f>+landbouw!D8</f>
        <v>356.90872072201216</v>
      </c>
      <c r="F24" s="683">
        <f>+landbouw!E8</f>
        <v>6.0166206018757462</v>
      </c>
      <c r="G24" s="683">
        <f>+landbouw!F8</f>
        <v>664.95766580544694</v>
      </c>
      <c r="H24" s="683">
        <f>+landbouw!G8</f>
        <v>0</v>
      </c>
      <c r="I24" s="683">
        <f>+landbouw!H8</f>
        <v>0</v>
      </c>
      <c r="J24" s="683">
        <f>+landbouw!I8</f>
        <v>0</v>
      </c>
      <c r="K24" s="683">
        <f>+landbouw!J8</f>
        <v>53.412964088489552</v>
      </c>
      <c r="L24" s="683">
        <f>+landbouw!K8</f>
        <v>0</v>
      </c>
      <c r="M24" s="683">
        <f>+landbouw!L8</f>
        <v>0</v>
      </c>
      <c r="N24" s="683">
        <f>+landbouw!M8</f>
        <v>0</v>
      </c>
      <c r="O24" s="683">
        <f>+landbouw!N8</f>
        <v>0</v>
      </c>
      <c r="P24" s="683">
        <f>+landbouw!O8</f>
        <v>0</v>
      </c>
      <c r="Q24" s="684">
        <f>+landbouw!P8</f>
        <v>0</v>
      </c>
      <c r="R24" s="686">
        <f>SUM(C24:Q24)</f>
        <v>1291.3610936551395</v>
      </c>
      <c r="S24" s="67"/>
    </row>
    <row r="25" spans="1:19" s="445" customFormat="1" ht="15" thickBot="1">
      <c r="A25" s="826" t="s">
        <v>696</v>
      </c>
      <c r="B25" s="939"/>
      <c r="C25" s="940">
        <f>IF(Onbekend_ele_kWh="---",0,Onbekend_ele_kWh)/1000+IF(REST_rest_ele_kWh="---",0,REST_rest_ele_kWh)/1000</f>
        <v>1539.67293111808</v>
      </c>
      <c r="D25" s="940"/>
      <c r="E25" s="940">
        <f>IF(onbekend_gas_kWh="---",0,onbekend_gas_kWh)/1000+IF(REST_rest_gas_kWh="---",0,REST_rest_gas_kWh)/1000</f>
        <v>3073.0599322582502</v>
      </c>
      <c r="F25" s="940"/>
      <c r="G25" s="940"/>
      <c r="H25" s="940"/>
      <c r="I25" s="940"/>
      <c r="J25" s="940"/>
      <c r="K25" s="940"/>
      <c r="L25" s="940"/>
      <c r="M25" s="940"/>
      <c r="N25" s="940"/>
      <c r="O25" s="940"/>
      <c r="P25" s="940"/>
      <c r="Q25" s="941"/>
      <c r="R25" s="686">
        <f>SUM(C25:Q25)</f>
        <v>4612.73286337633</v>
      </c>
      <c r="S25" s="67"/>
    </row>
    <row r="26" spans="1:19" s="445" customFormat="1" ht="15.75" thickBot="1">
      <c r="A26" s="691" t="s">
        <v>697</v>
      </c>
      <c r="B26" s="812"/>
      <c r="C26" s="807">
        <f>SUM(C24:C25)</f>
        <v>1749.738053555395</v>
      </c>
      <c r="D26" s="807">
        <f t="shared" ref="D26:R26" si="2">SUM(D24:D25)</f>
        <v>0</v>
      </c>
      <c r="E26" s="807">
        <f t="shared" si="2"/>
        <v>3429.9686529802625</v>
      </c>
      <c r="F26" s="807">
        <f t="shared" si="2"/>
        <v>6.0166206018757462</v>
      </c>
      <c r="G26" s="807">
        <f t="shared" si="2"/>
        <v>664.95766580544694</v>
      </c>
      <c r="H26" s="807">
        <f t="shared" si="2"/>
        <v>0</v>
      </c>
      <c r="I26" s="807">
        <f t="shared" si="2"/>
        <v>0</v>
      </c>
      <c r="J26" s="807">
        <f t="shared" si="2"/>
        <v>0</v>
      </c>
      <c r="K26" s="807">
        <f t="shared" si="2"/>
        <v>53.412964088489552</v>
      </c>
      <c r="L26" s="807">
        <f t="shared" si="2"/>
        <v>0</v>
      </c>
      <c r="M26" s="807">
        <f t="shared" si="2"/>
        <v>0</v>
      </c>
      <c r="N26" s="807">
        <f t="shared" si="2"/>
        <v>0</v>
      </c>
      <c r="O26" s="807">
        <f t="shared" si="2"/>
        <v>0</v>
      </c>
      <c r="P26" s="807">
        <f t="shared" si="2"/>
        <v>0</v>
      </c>
      <c r="Q26" s="807">
        <f t="shared" si="2"/>
        <v>0</v>
      </c>
      <c r="R26" s="807">
        <f t="shared" si="2"/>
        <v>5904.0939570314695</v>
      </c>
      <c r="S26" s="67"/>
    </row>
    <row r="27" spans="1:19" s="445" customFormat="1" ht="17.25" thickTop="1" thickBot="1">
      <c r="A27" s="692" t="s">
        <v>115</v>
      </c>
      <c r="B27" s="799"/>
      <c r="C27" s="693">
        <f ca="1">C22+C16+C26</f>
        <v>85741.008718641446</v>
      </c>
      <c r="D27" s="693">
        <f t="shared" ref="D27:R27" ca="1" si="3">D22+D16+D26</f>
        <v>0</v>
      </c>
      <c r="E27" s="693">
        <f t="shared" ca="1" si="3"/>
        <v>209928.2804982512</v>
      </c>
      <c r="F27" s="693">
        <f t="shared" si="3"/>
        <v>1788.1793938545411</v>
      </c>
      <c r="G27" s="693">
        <f t="shared" ca="1" si="3"/>
        <v>41313.344954011984</v>
      </c>
      <c r="H27" s="693">
        <f t="shared" si="3"/>
        <v>55459.678637920384</v>
      </c>
      <c r="I27" s="693">
        <f t="shared" si="3"/>
        <v>16771.955598555302</v>
      </c>
      <c r="J27" s="693">
        <f t="shared" si="3"/>
        <v>0</v>
      </c>
      <c r="K27" s="693">
        <f t="shared" si="3"/>
        <v>249.01063746280855</v>
      </c>
      <c r="L27" s="693">
        <f t="shared" si="3"/>
        <v>0</v>
      </c>
      <c r="M27" s="693">
        <f t="shared" ca="1" si="3"/>
        <v>0</v>
      </c>
      <c r="N27" s="693">
        <f t="shared" si="3"/>
        <v>4373.3882892451729</v>
      </c>
      <c r="O27" s="693">
        <f t="shared" ca="1" si="3"/>
        <v>15155.851714681683</v>
      </c>
      <c r="P27" s="693">
        <f t="shared" si="3"/>
        <v>388.73054143460541</v>
      </c>
      <c r="Q27" s="693">
        <f t="shared" si="3"/>
        <v>1790.2504493787337</v>
      </c>
      <c r="R27" s="693">
        <f t="shared" ca="1" si="3"/>
        <v>432959.67943343788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5433.2410829179571</v>
      </c>
      <c r="D40" s="683">
        <f ca="1">tertiair!C20</f>
        <v>0</v>
      </c>
      <c r="E40" s="683">
        <f ca="1">tertiair!D20</f>
        <v>9455.6345004429641</v>
      </c>
      <c r="F40" s="683">
        <f>tertiair!E20</f>
        <v>22.977937513351762</v>
      </c>
      <c r="G40" s="683">
        <f ca="1">tertiair!F20</f>
        <v>1093.4692385867281</v>
      </c>
      <c r="H40" s="683">
        <f>tertiair!G20</f>
        <v>0</v>
      </c>
      <c r="I40" s="683">
        <f>tertiair!H20</f>
        <v>0</v>
      </c>
      <c r="J40" s="683">
        <f>tertiair!I20</f>
        <v>0</v>
      </c>
      <c r="K40" s="683">
        <f>tertiair!J20</f>
        <v>7.5657433732045721E-3</v>
      </c>
      <c r="L40" s="683">
        <f>tertiair!K20</f>
        <v>0</v>
      </c>
      <c r="M40" s="683">
        <f ca="1">tertiair!L20</f>
        <v>0</v>
      </c>
      <c r="N40" s="683">
        <f>tertiair!M20</f>
        <v>0</v>
      </c>
      <c r="O40" s="683">
        <f ca="1">tertiair!N20</f>
        <v>0</v>
      </c>
      <c r="P40" s="683">
        <f>tertiair!O20</f>
        <v>0</v>
      </c>
      <c r="Q40" s="766">
        <f>tertiair!P20</f>
        <v>0</v>
      </c>
      <c r="R40" s="845">
        <f t="shared" ca="1" si="4"/>
        <v>16005.330325204373</v>
      </c>
    </row>
    <row r="41" spans="1:18">
      <c r="A41" s="817" t="s">
        <v>220</v>
      </c>
      <c r="B41" s="824"/>
      <c r="C41" s="683">
        <f ca="1">huishoudens!B12</f>
        <v>10010.121412272278</v>
      </c>
      <c r="D41" s="683">
        <f ca="1">huishoudens!C12</f>
        <v>0</v>
      </c>
      <c r="E41" s="683">
        <f>huishoudens!D12</f>
        <v>31065.922557483329</v>
      </c>
      <c r="F41" s="683">
        <f>huishoudens!E12</f>
        <v>346.24070770159449</v>
      </c>
      <c r="G41" s="683">
        <f>huishoudens!F12</f>
        <v>8921.5150802628668</v>
      </c>
      <c r="H41" s="683">
        <f>huishoudens!G12</f>
        <v>0</v>
      </c>
      <c r="I41" s="683">
        <f>huishoudens!H12</f>
        <v>0</v>
      </c>
      <c r="J41" s="683">
        <f>huishoudens!I12</f>
        <v>0</v>
      </c>
      <c r="K41" s="683">
        <f>huishoudens!J12</f>
        <v>67.412061193281986</v>
      </c>
      <c r="L41" s="683">
        <f>huishoudens!K12</f>
        <v>0</v>
      </c>
      <c r="M41" s="683">
        <f>huishoudens!L12</f>
        <v>0</v>
      </c>
      <c r="N41" s="683">
        <f>huishoudens!M12</f>
        <v>0</v>
      </c>
      <c r="O41" s="683">
        <f>huishoudens!N12</f>
        <v>0</v>
      </c>
      <c r="P41" s="683">
        <f>huishoudens!O12</f>
        <v>0</v>
      </c>
      <c r="Q41" s="766">
        <f>huishoudens!P12</f>
        <v>0</v>
      </c>
      <c r="R41" s="845">
        <f t="shared" ca="1" si="4"/>
        <v>50411.211818913354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1296.3155647353187</v>
      </c>
      <c r="D43" s="683">
        <f ca="1">industrie!C22</f>
        <v>0</v>
      </c>
      <c r="E43" s="683">
        <f>industrie!D22</f>
        <v>1121.7853065002807</v>
      </c>
      <c r="F43" s="683">
        <f>industrie!E22</f>
        <v>4.9253900844202612</v>
      </c>
      <c r="G43" s="683">
        <f>industrie!F22</f>
        <v>838.13508710154963</v>
      </c>
      <c r="H43" s="683">
        <f>industrie!G22</f>
        <v>0</v>
      </c>
      <c r="I43" s="683">
        <f>industrie!H22</f>
        <v>0</v>
      </c>
      <c r="J43" s="683">
        <f>industrie!I22</f>
        <v>0</v>
      </c>
      <c r="K43" s="683">
        <f>industrie!J22</f>
        <v>1.8219494378537309</v>
      </c>
      <c r="L43" s="683">
        <f>industrie!K22</f>
        <v>0</v>
      </c>
      <c r="M43" s="683">
        <f>industrie!L22</f>
        <v>0</v>
      </c>
      <c r="N43" s="683">
        <f>industrie!M22</f>
        <v>0</v>
      </c>
      <c r="O43" s="683">
        <f>industrie!N22</f>
        <v>0</v>
      </c>
      <c r="P43" s="683">
        <f>industrie!O22</f>
        <v>0</v>
      </c>
      <c r="Q43" s="766">
        <f>industrie!P22</f>
        <v>0</v>
      </c>
      <c r="R43" s="844">
        <f t="shared" ca="1" si="4"/>
        <v>3262.9832978594231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16739.678059925554</v>
      </c>
      <c r="D46" s="719">
        <f t="shared" ref="D46:Q46" ca="1" si="5">SUM(D39:D45)</f>
        <v>0</v>
      </c>
      <c r="E46" s="719">
        <f t="shared" ca="1" si="5"/>
        <v>41643.342364426571</v>
      </c>
      <c r="F46" s="719">
        <f t="shared" si="5"/>
        <v>374.14403529936652</v>
      </c>
      <c r="G46" s="719">
        <f t="shared" ca="1" si="5"/>
        <v>10853.119405951144</v>
      </c>
      <c r="H46" s="719">
        <f t="shared" si="5"/>
        <v>0</v>
      </c>
      <c r="I46" s="719">
        <f t="shared" si="5"/>
        <v>0</v>
      </c>
      <c r="J46" s="719">
        <f t="shared" si="5"/>
        <v>0</v>
      </c>
      <c r="K46" s="719">
        <f t="shared" si="5"/>
        <v>69.241576374508924</v>
      </c>
      <c r="L46" s="719">
        <f t="shared" si="5"/>
        <v>0</v>
      </c>
      <c r="M46" s="719">
        <f t="shared" ca="1" si="5"/>
        <v>0</v>
      </c>
      <c r="N46" s="719">
        <f t="shared" si="5"/>
        <v>0</v>
      </c>
      <c r="O46" s="719">
        <f t="shared" ca="1" si="5"/>
        <v>0</v>
      </c>
      <c r="P46" s="719">
        <f t="shared" si="5"/>
        <v>0</v>
      </c>
      <c r="Q46" s="719">
        <f t="shared" si="5"/>
        <v>0</v>
      </c>
      <c r="R46" s="719">
        <f ca="1">SUM(R39:R45)</f>
        <v>69679.525441977152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6.4277961526348486</v>
      </c>
      <c r="D49" s="683">
        <f ca="1">transport!C58</f>
        <v>0</v>
      </c>
      <c r="E49" s="683">
        <f>transport!D58</f>
        <v>0</v>
      </c>
      <c r="F49" s="683">
        <f>transport!E58</f>
        <v>0</v>
      </c>
      <c r="G49" s="683">
        <f>transport!F58</f>
        <v>0</v>
      </c>
      <c r="H49" s="683">
        <f>transport!G58</f>
        <v>537.68249584712225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544.11029199975712</v>
      </c>
    </row>
    <row r="50" spans="1:18">
      <c r="A50" s="820" t="s">
        <v>302</v>
      </c>
      <c r="B50" s="830"/>
      <c r="C50" s="689">
        <f ca="1">transport!B18</f>
        <v>37.177097098052393</v>
      </c>
      <c r="D50" s="689">
        <f>transport!C18</f>
        <v>0</v>
      </c>
      <c r="E50" s="689">
        <f>transport!D18</f>
        <v>69.316628318159303</v>
      </c>
      <c r="F50" s="689">
        <f>transport!E18</f>
        <v>30.406914228988516</v>
      </c>
      <c r="G50" s="689">
        <f>transport!F18</f>
        <v>0</v>
      </c>
      <c r="H50" s="689">
        <f>transport!G18</f>
        <v>14270.051700477621</v>
      </c>
      <c r="I50" s="689">
        <f>transport!H18</f>
        <v>4176.2169440402704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18583.169284163094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43.60489325068724</v>
      </c>
      <c r="D52" s="719">
        <f t="shared" ref="D52:Q52" ca="1" si="6">SUM(D48:D51)</f>
        <v>0</v>
      </c>
      <c r="E52" s="719">
        <f t="shared" si="6"/>
        <v>69.316628318159303</v>
      </c>
      <c r="F52" s="719">
        <f t="shared" si="6"/>
        <v>30.406914228988516</v>
      </c>
      <c r="G52" s="719">
        <f t="shared" si="6"/>
        <v>0</v>
      </c>
      <c r="H52" s="719">
        <f t="shared" si="6"/>
        <v>14807.734196324744</v>
      </c>
      <c r="I52" s="719">
        <f t="shared" si="6"/>
        <v>4176.2169440402704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19127.279576162851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41.975581040049704</v>
      </c>
      <c r="D54" s="689">
        <f ca="1">+landbouw!C12</f>
        <v>0</v>
      </c>
      <c r="E54" s="689">
        <f>+landbouw!D12</f>
        <v>72.095561585846468</v>
      </c>
      <c r="F54" s="689">
        <f>+landbouw!E12</f>
        <v>1.3657728766257944</v>
      </c>
      <c r="G54" s="689">
        <f>+landbouw!F12</f>
        <v>177.54369677005434</v>
      </c>
      <c r="H54" s="689">
        <f>+landbouw!G12</f>
        <v>0</v>
      </c>
      <c r="I54" s="689">
        <f>+landbouw!H12</f>
        <v>0</v>
      </c>
      <c r="J54" s="689">
        <f>+landbouw!I12</f>
        <v>0</v>
      </c>
      <c r="K54" s="689">
        <f>+landbouw!J12</f>
        <v>18.9081892873253</v>
      </c>
      <c r="L54" s="689">
        <f>+landbouw!K12</f>
        <v>0</v>
      </c>
      <c r="M54" s="689">
        <f>+landbouw!L12</f>
        <v>0</v>
      </c>
      <c r="N54" s="689">
        <f>+landbouw!M12</f>
        <v>0</v>
      </c>
      <c r="O54" s="689">
        <f>+landbouw!N12</f>
        <v>0</v>
      </c>
      <c r="P54" s="689">
        <f>+landbouw!O12</f>
        <v>0</v>
      </c>
      <c r="Q54" s="690">
        <f>+landbouw!P12</f>
        <v>0</v>
      </c>
      <c r="R54" s="718">
        <f ca="1">SUM(C54:Q54)</f>
        <v>311.88880155990159</v>
      </c>
    </row>
    <row r="55" spans="1:18" ht="15" thickBot="1">
      <c r="A55" s="820" t="s">
        <v>696</v>
      </c>
      <c r="B55" s="830"/>
      <c r="C55" s="689">
        <f ca="1">C25*'EF ele_warmte'!B12</f>
        <v>307.66014436596208</v>
      </c>
      <c r="D55" s="689"/>
      <c r="E55" s="689">
        <f>E25*EF_CO2_aardgas</f>
        <v>620.75810631616662</v>
      </c>
      <c r="F55" s="689"/>
      <c r="G55" s="689"/>
      <c r="H55" s="689"/>
      <c r="I55" s="689"/>
      <c r="J55" s="689"/>
      <c r="K55" s="689"/>
      <c r="L55" s="689"/>
      <c r="M55" s="689"/>
      <c r="N55" s="689"/>
      <c r="O55" s="689"/>
      <c r="P55" s="689"/>
      <c r="Q55" s="690"/>
      <c r="R55" s="718">
        <f ca="1">SUM(C55:Q55)</f>
        <v>928.4182506821287</v>
      </c>
    </row>
    <row r="56" spans="1:18" ht="15.75" thickBot="1">
      <c r="A56" s="818" t="s">
        <v>697</v>
      </c>
      <c r="B56" s="831"/>
      <c r="C56" s="719">
        <f ca="1">SUM(C54:C55)</f>
        <v>349.63572540601177</v>
      </c>
      <c r="D56" s="719">
        <f t="shared" ref="D56:Q56" ca="1" si="7">SUM(D54:D55)</f>
        <v>0</v>
      </c>
      <c r="E56" s="719">
        <f t="shared" si="7"/>
        <v>692.85366790201306</v>
      </c>
      <c r="F56" s="719">
        <f t="shared" si="7"/>
        <v>1.3657728766257944</v>
      </c>
      <c r="G56" s="719">
        <f t="shared" si="7"/>
        <v>177.54369677005434</v>
      </c>
      <c r="H56" s="719">
        <f t="shared" si="7"/>
        <v>0</v>
      </c>
      <c r="I56" s="719">
        <f t="shared" si="7"/>
        <v>0</v>
      </c>
      <c r="J56" s="719">
        <f t="shared" si="7"/>
        <v>0</v>
      </c>
      <c r="K56" s="719">
        <f t="shared" si="7"/>
        <v>18.9081892873253</v>
      </c>
      <c r="L56" s="719">
        <f t="shared" si="7"/>
        <v>0</v>
      </c>
      <c r="M56" s="719">
        <f t="shared" si="7"/>
        <v>0</v>
      </c>
      <c r="N56" s="719">
        <f t="shared" si="7"/>
        <v>0</v>
      </c>
      <c r="O56" s="719">
        <f t="shared" si="7"/>
        <v>0</v>
      </c>
      <c r="P56" s="719">
        <f t="shared" si="7"/>
        <v>0</v>
      </c>
      <c r="Q56" s="720">
        <f t="shared" si="7"/>
        <v>0</v>
      </c>
      <c r="R56" s="721">
        <f ca="1">SUM(R54:R55)</f>
        <v>1240.3070522420303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17132.918678582253</v>
      </c>
      <c r="D61" s="727">
        <f t="shared" ref="D61:Q61" ca="1" si="8">D46+D52+D56</f>
        <v>0</v>
      </c>
      <c r="E61" s="727">
        <f t="shared" ca="1" si="8"/>
        <v>42405.512660646738</v>
      </c>
      <c r="F61" s="727">
        <f t="shared" si="8"/>
        <v>405.91672240498082</v>
      </c>
      <c r="G61" s="727">
        <f t="shared" ca="1" si="8"/>
        <v>11030.663102721199</v>
      </c>
      <c r="H61" s="727">
        <f t="shared" si="8"/>
        <v>14807.734196324744</v>
      </c>
      <c r="I61" s="727">
        <f t="shared" si="8"/>
        <v>4176.2169440402704</v>
      </c>
      <c r="J61" s="727">
        <f t="shared" si="8"/>
        <v>0</v>
      </c>
      <c r="K61" s="727">
        <f t="shared" si="8"/>
        <v>88.149765661834223</v>
      </c>
      <c r="L61" s="727">
        <f t="shared" si="8"/>
        <v>0</v>
      </c>
      <c r="M61" s="727">
        <f t="shared" ca="1" si="8"/>
        <v>0</v>
      </c>
      <c r="N61" s="727">
        <f t="shared" si="8"/>
        <v>0</v>
      </c>
      <c r="O61" s="727">
        <f t="shared" ca="1" si="8"/>
        <v>0</v>
      </c>
      <c r="P61" s="727">
        <f t="shared" si="8"/>
        <v>0</v>
      </c>
      <c r="Q61" s="727">
        <f t="shared" si="8"/>
        <v>0</v>
      </c>
      <c r="R61" s="727">
        <f ca="1">R46+R52+R56</f>
        <v>90047.112070382034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0.1998217531450302</v>
      </c>
      <c r="D63" s="773">
        <f t="shared" ca="1" si="9"/>
        <v>0</v>
      </c>
      <c r="E63" s="965">
        <f t="shared" ca="1" si="9"/>
        <v>0.20199999999999999</v>
      </c>
      <c r="F63" s="773">
        <f t="shared" si="9"/>
        <v>0.22699999999999998</v>
      </c>
      <c r="G63" s="773">
        <f t="shared" ca="1" si="9"/>
        <v>0.26699999999999996</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8216.4898110294471</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8216.4898110294471</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50095.253668437959</v>
      </c>
      <c r="C4" s="449">
        <f>huishoudens!C8</f>
        <v>0</v>
      </c>
      <c r="D4" s="449">
        <f>huishoudens!D8</f>
        <v>153791.69582912538</v>
      </c>
      <c r="E4" s="449">
        <f>huishoudens!E8</f>
        <v>1525.2894612405044</v>
      </c>
      <c r="F4" s="449">
        <f>huishoudens!F8</f>
        <v>33413.914158287887</v>
      </c>
      <c r="G4" s="449">
        <f>huishoudens!G8</f>
        <v>0</v>
      </c>
      <c r="H4" s="449">
        <f>huishoudens!H8</f>
        <v>0</v>
      </c>
      <c r="I4" s="449">
        <f>huishoudens!I8</f>
        <v>0</v>
      </c>
      <c r="J4" s="449">
        <f>huishoudens!J8</f>
        <v>190.42955139345193</v>
      </c>
      <c r="K4" s="449">
        <f>huishoudens!K8</f>
        <v>0</v>
      </c>
      <c r="L4" s="449">
        <f>huishoudens!L8</f>
        <v>0</v>
      </c>
      <c r="M4" s="449">
        <f>huishoudens!M8</f>
        <v>0</v>
      </c>
      <c r="N4" s="449">
        <f>huishoudens!N8</f>
        <v>13991.760542483624</v>
      </c>
      <c r="O4" s="449">
        <f>huishoudens!O8</f>
        <v>378.93601990292308</v>
      </c>
      <c r="P4" s="450">
        <f>huishoudens!P8</f>
        <v>1580.0938961527536</v>
      </c>
      <c r="Q4" s="451">
        <f>SUM(B4:P4)</f>
        <v>254967.3731270245</v>
      </c>
    </row>
    <row r="5" spans="1:17">
      <c r="A5" s="448" t="s">
        <v>155</v>
      </c>
      <c r="B5" s="449">
        <f ca="1">tertiair!B16</f>
        <v>25946.269465298232</v>
      </c>
      <c r="C5" s="449">
        <f ca="1">tertiair!C16</f>
        <v>0</v>
      </c>
      <c r="D5" s="449">
        <f ca="1">tertiair!D16</f>
        <v>46810.07178437111</v>
      </c>
      <c r="E5" s="449">
        <f>tertiair!E16</f>
        <v>101.22439433194609</v>
      </c>
      <c r="F5" s="449">
        <f ca="1">tertiair!F16</f>
        <v>4095.3904066918658</v>
      </c>
      <c r="G5" s="449">
        <f>tertiair!G16</f>
        <v>0</v>
      </c>
      <c r="H5" s="449">
        <f>tertiair!H16</f>
        <v>0</v>
      </c>
      <c r="I5" s="449">
        <f>tertiair!I16</f>
        <v>0</v>
      </c>
      <c r="J5" s="449">
        <f>tertiair!J16</f>
        <v>2.1372156421481842E-2</v>
      </c>
      <c r="K5" s="449">
        <f>tertiair!K16</f>
        <v>0</v>
      </c>
      <c r="L5" s="449">
        <f ca="1">tertiair!L16</f>
        <v>0</v>
      </c>
      <c r="M5" s="449">
        <f>tertiair!M16</f>
        <v>0</v>
      </c>
      <c r="N5" s="449">
        <f ca="1">tertiair!N16</f>
        <v>843.93756598811103</v>
      </c>
      <c r="O5" s="449">
        <f>tertiair!O16</f>
        <v>9.7945215316823084</v>
      </c>
      <c r="P5" s="450">
        <f>tertiair!P16</f>
        <v>210.15655322598008</v>
      </c>
      <c r="Q5" s="448">
        <f t="shared" ref="Q5:Q14" ca="1" si="0">SUM(B5:P5)</f>
        <v>78016.866063595357</v>
      </c>
    </row>
    <row r="6" spans="1:17">
      <c r="A6" s="448" t="s">
        <v>193</v>
      </c>
      <c r="B6" s="449">
        <f>'openbare verlichting'!B8</f>
        <v>1244.1690000000001</v>
      </c>
      <c r="C6" s="449"/>
      <c r="D6" s="449"/>
      <c r="E6" s="449"/>
      <c r="F6" s="449"/>
      <c r="G6" s="449"/>
      <c r="H6" s="449"/>
      <c r="I6" s="449"/>
      <c r="J6" s="449"/>
      <c r="K6" s="449"/>
      <c r="L6" s="449"/>
      <c r="M6" s="449"/>
      <c r="N6" s="449"/>
      <c r="O6" s="449"/>
      <c r="P6" s="450"/>
      <c r="Q6" s="448">
        <f t="shared" si="0"/>
        <v>1244.1690000000001</v>
      </c>
    </row>
    <row r="7" spans="1:17">
      <c r="A7" s="448" t="s">
        <v>111</v>
      </c>
      <c r="B7" s="449">
        <f>landbouw!B8</f>
        <v>210.06512243731501</v>
      </c>
      <c r="C7" s="449">
        <f>landbouw!C8</f>
        <v>0</v>
      </c>
      <c r="D7" s="449">
        <f>landbouw!D8</f>
        <v>356.90872072201216</v>
      </c>
      <c r="E7" s="449">
        <f>landbouw!E8</f>
        <v>6.0166206018757462</v>
      </c>
      <c r="F7" s="449">
        <f>landbouw!F8</f>
        <v>664.95766580544694</v>
      </c>
      <c r="G7" s="449">
        <f>landbouw!G8</f>
        <v>0</v>
      </c>
      <c r="H7" s="449">
        <f>landbouw!H8</f>
        <v>0</v>
      </c>
      <c r="I7" s="449">
        <f>landbouw!I8</f>
        <v>0</v>
      </c>
      <c r="J7" s="449">
        <f>landbouw!J8</f>
        <v>53.412964088489552</v>
      </c>
      <c r="K7" s="449">
        <f>landbouw!K8</f>
        <v>0</v>
      </c>
      <c r="L7" s="449">
        <f>landbouw!L8</f>
        <v>0</v>
      </c>
      <c r="M7" s="449">
        <f>landbouw!M8</f>
        <v>0</v>
      </c>
      <c r="N7" s="449">
        <f>landbouw!N8</f>
        <v>0</v>
      </c>
      <c r="O7" s="449">
        <f>landbouw!O8</f>
        <v>0</v>
      </c>
      <c r="P7" s="450">
        <f>landbouw!P8</f>
        <v>0</v>
      </c>
      <c r="Q7" s="448">
        <f t="shared" si="0"/>
        <v>1291.3610936551395</v>
      </c>
    </row>
    <row r="8" spans="1:17">
      <c r="A8" s="448" t="s">
        <v>617</v>
      </c>
      <c r="B8" s="449">
        <f>industrie!B18</f>
        <v>6487.359580888351</v>
      </c>
      <c r="C8" s="449">
        <f>industrie!C18</f>
        <v>0</v>
      </c>
      <c r="D8" s="449">
        <f>industrie!D18</f>
        <v>5553.3926064370335</v>
      </c>
      <c r="E8" s="449">
        <f>industrie!E18</f>
        <v>21.697753675860181</v>
      </c>
      <c r="F8" s="449">
        <f>industrie!F18</f>
        <v>3139.0827232267775</v>
      </c>
      <c r="G8" s="449">
        <f>industrie!G18</f>
        <v>0</v>
      </c>
      <c r="H8" s="449">
        <f>industrie!H18</f>
        <v>0</v>
      </c>
      <c r="I8" s="449">
        <f>industrie!I18</f>
        <v>0</v>
      </c>
      <c r="J8" s="449">
        <f>industrie!J18</f>
        <v>5.1467498244455676</v>
      </c>
      <c r="K8" s="449">
        <f>industrie!K18</f>
        <v>0</v>
      </c>
      <c r="L8" s="449">
        <f>industrie!L18</f>
        <v>0</v>
      </c>
      <c r="M8" s="449">
        <f>industrie!M18</f>
        <v>0</v>
      </c>
      <c r="N8" s="449">
        <f>industrie!N18</f>
        <v>320.1536062099475</v>
      </c>
      <c r="O8" s="449">
        <f>industrie!O18</f>
        <v>0</v>
      </c>
      <c r="P8" s="450">
        <f>industrie!P18</f>
        <v>0</v>
      </c>
      <c r="Q8" s="448">
        <f t="shared" si="0"/>
        <v>15526.833020262417</v>
      </c>
    </row>
    <row r="9" spans="1:17" s="454" customFormat="1">
      <c r="A9" s="452" t="s">
        <v>543</v>
      </c>
      <c r="B9" s="453">
        <f>transport!B14</f>
        <v>186.05130078640306</v>
      </c>
      <c r="C9" s="453">
        <f>transport!C14</f>
        <v>0</v>
      </c>
      <c r="D9" s="453">
        <f>transport!D14</f>
        <v>343.15162533742227</v>
      </c>
      <c r="E9" s="453">
        <f>transport!E14</f>
        <v>133.95116400435469</v>
      </c>
      <c r="F9" s="453">
        <f>transport!F14</f>
        <v>0</v>
      </c>
      <c r="G9" s="453">
        <f>transport!G14</f>
        <v>53445.886518642772</v>
      </c>
      <c r="H9" s="453">
        <f>transport!H14</f>
        <v>16771.955598555302</v>
      </c>
      <c r="I9" s="453">
        <f>transport!I14</f>
        <v>0</v>
      </c>
      <c r="J9" s="453">
        <f>transport!J14</f>
        <v>0</v>
      </c>
      <c r="K9" s="453">
        <f>transport!K14</f>
        <v>0</v>
      </c>
      <c r="L9" s="453">
        <f>transport!L14</f>
        <v>0</v>
      </c>
      <c r="M9" s="453">
        <f>transport!M14</f>
        <v>4257.7608047609028</v>
      </c>
      <c r="N9" s="453">
        <f>transport!N14</f>
        <v>0</v>
      </c>
      <c r="O9" s="453">
        <f>transport!O14</f>
        <v>0</v>
      </c>
      <c r="P9" s="453">
        <f>transport!P14</f>
        <v>0</v>
      </c>
      <c r="Q9" s="452">
        <f>SUM(B9:P9)</f>
        <v>75138.757012087153</v>
      </c>
    </row>
    <row r="10" spans="1:17">
      <c r="A10" s="448" t="s">
        <v>533</v>
      </c>
      <c r="B10" s="449">
        <f>transport!B54</f>
        <v>32.167649675106034</v>
      </c>
      <c r="C10" s="449">
        <f>transport!C54</f>
        <v>0</v>
      </c>
      <c r="D10" s="449">
        <f>transport!D54</f>
        <v>0</v>
      </c>
      <c r="E10" s="449">
        <f>transport!E54</f>
        <v>0</v>
      </c>
      <c r="F10" s="449">
        <f>transport!F54</f>
        <v>0</v>
      </c>
      <c r="G10" s="449">
        <f>transport!G54</f>
        <v>2013.7921192776114</v>
      </c>
      <c r="H10" s="449">
        <f>transport!H54</f>
        <v>0</v>
      </c>
      <c r="I10" s="449">
        <f>transport!I54</f>
        <v>0</v>
      </c>
      <c r="J10" s="449">
        <f>transport!J54</f>
        <v>0</v>
      </c>
      <c r="K10" s="449">
        <f>transport!K54</f>
        <v>0</v>
      </c>
      <c r="L10" s="449">
        <f>transport!L54</f>
        <v>0</v>
      </c>
      <c r="M10" s="449">
        <f>transport!M54</f>
        <v>115.62748448427017</v>
      </c>
      <c r="N10" s="449">
        <f>transport!N54</f>
        <v>0</v>
      </c>
      <c r="O10" s="449">
        <f>transport!O54</f>
        <v>0</v>
      </c>
      <c r="P10" s="450">
        <f>transport!P54</f>
        <v>0</v>
      </c>
      <c r="Q10" s="448">
        <f t="shared" si="0"/>
        <v>2161.5872534369878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1539.67293111808</v>
      </c>
      <c r="C14" s="456"/>
      <c r="D14" s="456">
        <f>'SEAP template'!E25</f>
        <v>3073.0599322582502</v>
      </c>
      <c r="E14" s="456"/>
      <c r="F14" s="456"/>
      <c r="G14" s="456"/>
      <c r="H14" s="456"/>
      <c r="I14" s="456"/>
      <c r="J14" s="456"/>
      <c r="K14" s="456"/>
      <c r="L14" s="456"/>
      <c r="M14" s="456"/>
      <c r="N14" s="456"/>
      <c r="O14" s="456"/>
      <c r="P14" s="457"/>
      <c r="Q14" s="448">
        <f t="shared" si="0"/>
        <v>4612.73286337633</v>
      </c>
    </row>
    <row r="15" spans="1:17" s="460" customFormat="1">
      <c r="A15" s="458" t="s">
        <v>537</v>
      </c>
      <c r="B15" s="459">
        <f ca="1">SUM(B4:B14)</f>
        <v>85741.008718641446</v>
      </c>
      <c r="C15" s="459">
        <f t="shared" ref="C15:Q15" ca="1" si="1">SUM(C4:C14)</f>
        <v>0</v>
      </c>
      <c r="D15" s="459">
        <f t="shared" ca="1" si="1"/>
        <v>209928.2804982512</v>
      </c>
      <c r="E15" s="459">
        <f t="shared" si="1"/>
        <v>1788.1793938545411</v>
      </c>
      <c r="F15" s="459">
        <f t="shared" ca="1" si="1"/>
        <v>41313.344954011984</v>
      </c>
      <c r="G15" s="459">
        <f t="shared" si="1"/>
        <v>55459.678637920384</v>
      </c>
      <c r="H15" s="459">
        <f t="shared" si="1"/>
        <v>16771.955598555302</v>
      </c>
      <c r="I15" s="459">
        <f t="shared" si="1"/>
        <v>0</v>
      </c>
      <c r="J15" s="459">
        <f t="shared" si="1"/>
        <v>249.01063746280855</v>
      </c>
      <c r="K15" s="459">
        <f t="shared" si="1"/>
        <v>0</v>
      </c>
      <c r="L15" s="459">
        <f t="shared" ca="1" si="1"/>
        <v>0</v>
      </c>
      <c r="M15" s="459">
        <f t="shared" si="1"/>
        <v>4373.3882892451729</v>
      </c>
      <c r="N15" s="459">
        <f t="shared" ca="1" si="1"/>
        <v>15155.851714681683</v>
      </c>
      <c r="O15" s="459">
        <f t="shared" si="1"/>
        <v>388.73054143460541</v>
      </c>
      <c r="P15" s="459">
        <f t="shared" si="1"/>
        <v>1790.2504493787337</v>
      </c>
      <c r="Q15" s="459">
        <f t="shared" ca="1" si="1"/>
        <v>432959.67943343782</v>
      </c>
    </row>
    <row r="17" spans="1:17">
      <c r="A17" s="461" t="s">
        <v>538</v>
      </c>
      <c r="B17" s="778">
        <f ca="1">huishoudens!B10</f>
        <v>0.1998217531450302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10010.121412272278</v>
      </c>
      <c r="C22" s="449">
        <f t="shared" ref="C22:C32" ca="1" si="3">C4*$C$17</f>
        <v>0</v>
      </c>
      <c r="D22" s="449">
        <f t="shared" ref="D22:D32" si="4">D4*$D$17</f>
        <v>31065.922557483329</v>
      </c>
      <c r="E22" s="449">
        <f t="shared" ref="E22:E32" si="5">E4*$E$17</f>
        <v>346.24070770159449</v>
      </c>
      <c r="F22" s="449">
        <f t="shared" ref="F22:F32" si="6">F4*$F$17</f>
        <v>8921.5150802628668</v>
      </c>
      <c r="G22" s="449">
        <f t="shared" ref="G22:G32" si="7">G4*$G$17</f>
        <v>0</v>
      </c>
      <c r="H22" s="449">
        <f t="shared" ref="H22:H32" si="8">H4*$H$17</f>
        <v>0</v>
      </c>
      <c r="I22" s="449">
        <f t="shared" ref="I22:I32" si="9">I4*$I$17</f>
        <v>0</v>
      </c>
      <c r="J22" s="449">
        <f t="shared" ref="J22:J32" si="10">J4*$J$17</f>
        <v>67.412061193281986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50411.211818913354</v>
      </c>
    </row>
    <row r="23" spans="1:17">
      <c r="A23" s="448" t="s">
        <v>155</v>
      </c>
      <c r="B23" s="449">
        <f t="shared" ca="1" si="2"/>
        <v>5184.6290521292576</v>
      </c>
      <c r="C23" s="449">
        <f t="shared" ca="1" si="3"/>
        <v>0</v>
      </c>
      <c r="D23" s="449">
        <f t="shared" ca="1" si="4"/>
        <v>9455.6345004429641</v>
      </c>
      <c r="E23" s="449">
        <f t="shared" si="5"/>
        <v>22.977937513351762</v>
      </c>
      <c r="F23" s="449">
        <f t="shared" ca="1" si="6"/>
        <v>1093.4692385867281</v>
      </c>
      <c r="G23" s="449">
        <f t="shared" si="7"/>
        <v>0</v>
      </c>
      <c r="H23" s="449">
        <f t="shared" si="8"/>
        <v>0</v>
      </c>
      <c r="I23" s="449">
        <f t="shared" si="9"/>
        <v>0</v>
      </c>
      <c r="J23" s="449">
        <f t="shared" si="10"/>
        <v>7.5657433732045721E-3</v>
      </c>
      <c r="K23" s="449">
        <f t="shared" si="11"/>
        <v>0</v>
      </c>
      <c r="L23" s="449">
        <f t="shared" ca="1" si="12"/>
        <v>0</v>
      </c>
      <c r="M23" s="449">
        <f t="shared" si="13"/>
        <v>0</v>
      </c>
      <c r="N23" s="449">
        <f t="shared" ca="1" si="14"/>
        <v>0</v>
      </c>
      <c r="O23" s="449">
        <f t="shared" si="15"/>
        <v>0</v>
      </c>
      <c r="P23" s="450">
        <f t="shared" si="16"/>
        <v>0</v>
      </c>
      <c r="Q23" s="448">
        <f t="shared" ref="Q23:Q31" ca="1" si="17">SUM(B23:P23)</f>
        <v>15756.718294415674</v>
      </c>
    </row>
    <row r="24" spans="1:17">
      <c r="A24" s="448" t="s">
        <v>193</v>
      </c>
      <c r="B24" s="449">
        <f t="shared" ca="1" si="2"/>
        <v>248.61203078869909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248.61203078869909</v>
      </c>
    </row>
    <row r="25" spans="1:17">
      <c r="A25" s="448" t="s">
        <v>111</v>
      </c>
      <c r="B25" s="449">
        <f t="shared" ca="1" si="2"/>
        <v>41.975581040049704</v>
      </c>
      <c r="C25" s="449">
        <f t="shared" ca="1" si="3"/>
        <v>0</v>
      </c>
      <c r="D25" s="449">
        <f t="shared" si="4"/>
        <v>72.095561585846468</v>
      </c>
      <c r="E25" s="449">
        <f t="shared" si="5"/>
        <v>1.3657728766257944</v>
      </c>
      <c r="F25" s="449">
        <f t="shared" si="6"/>
        <v>177.54369677005434</v>
      </c>
      <c r="G25" s="449">
        <f t="shared" si="7"/>
        <v>0</v>
      </c>
      <c r="H25" s="449">
        <f t="shared" si="8"/>
        <v>0</v>
      </c>
      <c r="I25" s="449">
        <f t="shared" si="9"/>
        <v>0</v>
      </c>
      <c r="J25" s="449">
        <f t="shared" si="10"/>
        <v>18.9081892873253</v>
      </c>
      <c r="K25" s="449">
        <f t="shared" si="11"/>
        <v>0</v>
      </c>
      <c r="L25" s="449">
        <f t="shared" si="12"/>
        <v>0</v>
      </c>
      <c r="M25" s="449">
        <f t="shared" si="13"/>
        <v>0</v>
      </c>
      <c r="N25" s="449">
        <f t="shared" si="14"/>
        <v>0</v>
      </c>
      <c r="O25" s="449">
        <f t="shared" si="15"/>
        <v>0</v>
      </c>
      <c r="P25" s="450">
        <f t="shared" si="16"/>
        <v>0</v>
      </c>
      <c r="Q25" s="448">
        <f t="shared" ca="1" si="17"/>
        <v>311.88880155990159</v>
      </c>
    </row>
    <row r="26" spans="1:17">
      <c r="A26" s="448" t="s">
        <v>617</v>
      </c>
      <c r="B26" s="449">
        <f t="shared" ca="1" si="2"/>
        <v>1296.3155647353187</v>
      </c>
      <c r="C26" s="449">
        <f t="shared" ca="1" si="3"/>
        <v>0</v>
      </c>
      <c r="D26" s="449">
        <f t="shared" si="4"/>
        <v>1121.7853065002807</v>
      </c>
      <c r="E26" s="449">
        <f t="shared" si="5"/>
        <v>4.9253900844202612</v>
      </c>
      <c r="F26" s="449">
        <f t="shared" si="6"/>
        <v>838.13508710154963</v>
      </c>
      <c r="G26" s="449">
        <f t="shared" si="7"/>
        <v>0</v>
      </c>
      <c r="H26" s="449">
        <f t="shared" si="8"/>
        <v>0</v>
      </c>
      <c r="I26" s="449">
        <f t="shared" si="9"/>
        <v>0</v>
      </c>
      <c r="J26" s="449">
        <f t="shared" si="10"/>
        <v>1.8219494378537309</v>
      </c>
      <c r="K26" s="449">
        <f t="shared" si="11"/>
        <v>0</v>
      </c>
      <c r="L26" s="449">
        <f t="shared" si="12"/>
        <v>0</v>
      </c>
      <c r="M26" s="449">
        <f t="shared" si="13"/>
        <v>0</v>
      </c>
      <c r="N26" s="449">
        <f t="shared" si="14"/>
        <v>0</v>
      </c>
      <c r="O26" s="449">
        <f t="shared" si="15"/>
        <v>0</v>
      </c>
      <c r="P26" s="450">
        <f t="shared" si="16"/>
        <v>0</v>
      </c>
      <c r="Q26" s="448">
        <f t="shared" ca="1" si="17"/>
        <v>3262.9832978594231</v>
      </c>
    </row>
    <row r="27" spans="1:17" s="454" customFormat="1">
      <c r="A27" s="452" t="s">
        <v>543</v>
      </c>
      <c r="B27" s="772">
        <f t="shared" ca="1" si="2"/>
        <v>37.177097098052393</v>
      </c>
      <c r="C27" s="453">
        <f t="shared" ca="1" si="3"/>
        <v>0</v>
      </c>
      <c r="D27" s="453">
        <f t="shared" si="4"/>
        <v>69.316628318159303</v>
      </c>
      <c r="E27" s="453">
        <f t="shared" si="5"/>
        <v>30.406914228988516</v>
      </c>
      <c r="F27" s="453">
        <f t="shared" si="6"/>
        <v>0</v>
      </c>
      <c r="G27" s="453">
        <f t="shared" si="7"/>
        <v>14270.051700477621</v>
      </c>
      <c r="H27" s="453">
        <f t="shared" si="8"/>
        <v>4176.2169440402704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18583.169284163094</v>
      </c>
    </row>
    <row r="28" spans="1:17" ht="16.5" customHeight="1">
      <c r="A28" s="448" t="s">
        <v>533</v>
      </c>
      <c r="B28" s="449">
        <f t="shared" ca="1" si="2"/>
        <v>6.4277961526348486</v>
      </c>
      <c r="C28" s="449">
        <f t="shared" ca="1" si="3"/>
        <v>0</v>
      </c>
      <c r="D28" s="449">
        <f t="shared" si="4"/>
        <v>0</v>
      </c>
      <c r="E28" s="449">
        <f t="shared" si="5"/>
        <v>0</v>
      </c>
      <c r="F28" s="449">
        <f t="shared" si="6"/>
        <v>0</v>
      </c>
      <c r="G28" s="449">
        <f t="shared" si="7"/>
        <v>537.68249584712225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544.11029199975712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307.66014436596208</v>
      </c>
      <c r="C32" s="449">
        <f t="shared" ca="1" si="3"/>
        <v>0</v>
      </c>
      <c r="D32" s="449">
        <f t="shared" si="4"/>
        <v>620.75810631616662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928.4182506821287</v>
      </c>
    </row>
    <row r="33" spans="1:17" s="460" customFormat="1">
      <c r="A33" s="458" t="s">
        <v>537</v>
      </c>
      <c r="B33" s="459">
        <f ca="1">SUM(B22:B32)</f>
        <v>17132.918678582253</v>
      </c>
      <c r="C33" s="459">
        <f t="shared" ref="C33:Q33" ca="1" si="19">SUM(C22:C32)</f>
        <v>0</v>
      </c>
      <c r="D33" s="459">
        <f t="shared" ca="1" si="19"/>
        <v>42405.512660646738</v>
      </c>
      <c r="E33" s="459">
        <f t="shared" si="19"/>
        <v>405.91672240498082</v>
      </c>
      <c r="F33" s="459">
        <f t="shared" ca="1" si="19"/>
        <v>11030.663102721199</v>
      </c>
      <c r="G33" s="459">
        <f t="shared" si="19"/>
        <v>14807.734196324744</v>
      </c>
      <c r="H33" s="459">
        <f t="shared" si="19"/>
        <v>4176.2169440402704</v>
      </c>
      <c r="I33" s="459">
        <f t="shared" si="19"/>
        <v>0</v>
      </c>
      <c r="J33" s="459">
        <f t="shared" si="19"/>
        <v>88.149765661834223</v>
      </c>
      <c r="K33" s="459">
        <f t="shared" si="19"/>
        <v>0</v>
      </c>
      <c r="L33" s="459">
        <f t="shared" ca="1" si="19"/>
        <v>0</v>
      </c>
      <c r="M33" s="459">
        <f t="shared" si="19"/>
        <v>0</v>
      </c>
      <c r="N33" s="459">
        <f t="shared" ca="1" si="19"/>
        <v>0</v>
      </c>
      <c r="O33" s="459">
        <f t="shared" si="19"/>
        <v>0</v>
      </c>
      <c r="P33" s="459">
        <f t="shared" si="19"/>
        <v>0</v>
      </c>
      <c r="Q33" s="459">
        <f t="shared" ca="1" si="19"/>
        <v>90047.112070382034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8216.4898110294471</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8216.4898110294471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0.1998217531450302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0.1998217531450302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0.1998217531450302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0.1998217531450302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11215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478.55</v>
      </c>
      <c r="C14" s="326"/>
      <c r="D14" s="326"/>
      <c r="E14" s="326"/>
      <c r="F14" s="326"/>
    </row>
    <row r="15" spans="1:6">
      <c r="A15" s="1312" t="s">
        <v>183</v>
      </c>
      <c r="B15" s="1313">
        <v>3</v>
      </c>
      <c r="C15" s="326"/>
      <c r="D15" s="326"/>
      <c r="E15" s="326"/>
      <c r="F15" s="326"/>
    </row>
    <row r="16" spans="1:6">
      <c r="A16" s="1312" t="s">
        <v>6</v>
      </c>
      <c r="B16" s="1313">
        <v>126</v>
      </c>
      <c r="C16" s="326"/>
      <c r="D16" s="326"/>
      <c r="E16" s="326"/>
      <c r="F16" s="326"/>
    </row>
    <row r="17" spans="1:6">
      <c r="A17" s="1312" t="s">
        <v>7</v>
      </c>
      <c r="B17" s="1313">
        <v>106</v>
      </c>
      <c r="C17" s="326"/>
      <c r="D17" s="326"/>
      <c r="E17" s="326"/>
      <c r="F17" s="326"/>
    </row>
    <row r="18" spans="1:6">
      <c r="A18" s="1312" t="s">
        <v>8</v>
      </c>
      <c r="B18" s="1313">
        <v>167</v>
      </c>
      <c r="C18" s="326"/>
      <c r="D18" s="326"/>
      <c r="E18" s="326"/>
      <c r="F18" s="326"/>
    </row>
    <row r="19" spans="1:6">
      <c r="A19" s="1312" t="s">
        <v>9</v>
      </c>
      <c r="B19" s="1313">
        <v>185</v>
      </c>
      <c r="C19" s="326"/>
      <c r="D19" s="326"/>
      <c r="E19" s="326"/>
      <c r="F19" s="326"/>
    </row>
    <row r="20" spans="1:6">
      <c r="A20" s="1312" t="s">
        <v>10</v>
      </c>
      <c r="B20" s="1313">
        <v>88</v>
      </c>
      <c r="C20" s="326"/>
      <c r="D20" s="326"/>
      <c r="E20" s="326"/>
      <c r="F20" s="326"/>
    </row>
    <row r="21" spans="1:6">
      <c r="A21" s="1312" t="s">
        <v>11</v>
      </c>
      <c r="B21" s="1313">
        <v>0</v>
      </c>
      <c r="C21" s="326"/>
      <c r="D21" s="326"/>
      <c r="E21" s="326"/>
      <c r="F21" s="326"/>
    </row>
    <row r="22" spans="1:6">
      <c r="A22" s="1312" t="s">
        <v>12</v>
      </c>
      <c r="B22" s="1313">
        <v>2</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v>
      </c>
      <c r="C26" s="326"/>
      <c r="D26" s="326"/>
      <c r="E26" s="326"/>
      <c r="F26" s="326"/>
    </row>
    <row r="27" spans="1:6">
      <c r="A27" s="1312" t="s">
        <v>17</v>
      </c>
      <c r="B27" s="1313">
        <v>2</v>
      </c>
      <c r="C27" s="326"/>
      <c r="D27" s="326"/>
      <c r="E27" s="326"/>
      <c r="F27" s="326"/>
    </row>
    <row r="28" spans="1:6" s="43" customFormat="1">
      <c r="A28" s="1314" t="s">
        <v>18</v>
      </c>
      <c r="B28" s="1315">
        <v>35</v>
      </c>
      <c r="C28" s="332"/>
      <c r="D28" s="332"/>
      <c r="E28" s="332"/>
      <c r="F28" s="332"/>
    </row>
    <row r="29" spans="1:6">
      <c r="A29" s="1314" t="s">
        <v>684</v>
      </c>
      <c r="B29" s="1315">
        <v>149</v>
      </c>
      <c r="C29" s="332"/>
      <c r="D29" s="332"/>
      <c r="E29" s="332"/>
      <c r="F29" s="332"/>
    </row>
    <row r="30" spans="1:6">
      <c r="A30" s="1307" t="s">
        <v>685</v>
      </c>
      <c r="B30" s="1316">
        <v>35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6</v>
      </c>
      <c r="F36" s="1313">
        <v>210872.49400000001</v>
      </c>
    </row>
    <row r="37" spans="1:6">
      <c r="A37" s="1312" t="s">
        <v>24</v>
      </c>
      <c r="B37" s="1312" t="s">
        <v>27</v>
      </c>
      <c r="C37" s="1313">
        <v>0</v>
      </c>
      <c r="D37" s="1313">
        <v>0</v>
      </c>
      <c r="E37" s="1313">
        <v>0</v>
      </c>
      <c r="F37" s="1313">
        <v>0</v>
      </c>
    </row>
    <row r="38" spans="1:6">
      <c r="A38" s="1312" t="s">
        <v>24</v>
      </c>
      <c r="B38" s="1312" t="s">
        <v>28</v>
      </c>
      <c r="C38" s="1313">
        <v>2</v>
      </c>
      <c r="D38" s="1313">
        <v>49726.733784103701</v>
      </c>
      <c r="E38" s="1313">
        <v>1</v>
      </c>
      <c r="F38" s="1313">
        <v>189.98599999999999</v>
      </c>
    </row>
    <row r="39" spans="1:6">
      <c r="A39" s="1312" t="s">
        <v>29</v>
      </c>
      <c r="B39" s="1312" t="s">
        <v>30</v>
      </c>
      <c r="C39" s="1313">
        <v>9117</v>
      </c>
      <c r="D39" s="1313">
        <v>170139924.266884</v>
      </c>
      <c r="E39" s="1313">
        <v>11266</v>
      </c>
      <c r="F39" s="1313">
        <v>44623319.813283302</v>
      </c>
    </row>
    <row r="40" spans="1:6">
      <c r="A40" s="1312" t="s">
        <v>29</v>
      </c>
      <c r="B40" s="1312" t="s">
        <v>28</v>
      </c>
      <c r="C40" s="1313">
        <v>1</v>
      </c>
      <c r="D40" s="1313">
        <v>172031.24709761201</v>
      </c>
      <c r="E40" s="1313">
        <v>2</v>
      </c>
      <c r="F40" s="1313">
        <v>45957</v>
      </c>
    </row>
    <row r="41" spans="1:6">
      <c r="A41" s="1312" t="s">
        <v>31</v>
      </c>
      <c r="B41" s="1312" t="s">
        <v>32</v>
      </c>
      <c r="C41" s="1313">
        <v>136</v>
      </c>
      <c r="D41" s="1313">
        <v>4101674.64490479</v>
      </c>
      <c r="E41" s="1313">
        <v>249</v>
      </c>
      <c r="F41" s="1313">
        <v>4756022.7529965201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674663.35252300603</v>
      </c>
      <c r="E44" s="1313">
        <v>17</v>
      </c>
      <c r="F44" s="1313">
        <v>293010.00751956401</v>
      </c>
    </row>
    <row r="45" spans="1:6">
      <c r="A45" s="1312" t="s">
        <v>31</v>
      </c>
      <c r="B45" s="1312" t="s">
        <v>36</v>
      </c>
      <c r="C45" s="1313">
        <v>7</v>
      </c>
      <c r="D45" s="1313">
        <v>354052.15125891101</v>
      </c>
      <c r="E45" s="1313">
        <v>8</v>
      </c>
      <c r="F45" s="1313">
        <v>136717.184017858</v>
      </c>
    </row>
    <row r="46" spans="1:6">
      <c r="A46" s="1312" t="s">
        <v>31</v>
      </c>
      <c r="B46" s="1312" t="s">
        <v>37</v>
      </c>
      <c r="C46" s="1313">
        <v>0</v>
      </c>
      <c r="D46" s="1313">
        <v>0</v>
      </c>
      <c r="E46" s="1313">
        <v>0</v>
      </c>
      <c r="F46" s="1313">
        <v>0</v>
      </c>
    </row>
    <row r="47" spans="1:6">
      <c r="A47" s="1312" t="s">
        <v>31</v>
      </c>
      <c r="B47" s="1312" t="s">
        <v>38</v>
      </c>
      <c r="C47" s="1313">
        <v>4</v>
      </c>
      <c r="D47" s="1313">
        <v>214742.82068809099</v>
      </c>
      <c r="E47" s="1313">
        <v>5</v>
      </c>
      <c r="F47" s="1313">
        <v>71283.910183268206</v>
      </c>
    </row>
    <row r="48" spans="1:6">
      <c r="A48" s="1312" t="s">
        <v>31</v>
      </c>
      <c r="B48" s="1312" t="s">
        <v>28</v>
      </c>
      <c r="C48" s="1313">
        <v>2</v>
      </c>
      <c r="D48" s="1313">
        <v>160150.86060704599</v>
      </c>
      <c r="E48" s="1313">
        <v>0</v>
      </c>
      <c r="F48" s="1313">
        <v>0</v>
      </c>
    </row>
    <row r="49" spans="1:6">
      <c r="A49" s="1312" t="s">
        <v>31</v>
      </c>
      <c r="B49" s="1312" t="s">
        <v>39</v>
      </c>
      <c r="C49" s="1313">
        <v>0</v>
      </c>
      <c r="D49" s="1313">
        <v>0</v>
      </c>
      <c r="E49" s="1313">
        <v>4</v>
      </c>
      <c r="F49" s="1313">
        <v>55934.820258380802</v>
      </c>
    </row>
    <row r="50" spans="1:6">
      <c r="A50" s="1312" t="s">
        <v>31</v>
      </c>
      <c r="B50" s="1312" t="s">
        <v>40</v>
      </c>
      <c r="C50" s="1313">
        <v>10</v>
      </c>
      <c r="D50" s="1313">
        <v>644652.61125518102</v>
      </c>
      <c r="E50" s="1313">
        <v>16</v>
      </c>
      <c r="F50" s="1313">
        <v>1174390.9059127599</v>
      </c>
    </row>
    <row r="51" spans="1:6">
      <c r="A51" s="1312" t="s">
        <v>41</v>
      </c>
      <c r="B51" s="1312" t="s">
        <v>42</v>
      </c>
      <c r="C51" s="1313">
        <v>13</v>
      </c>
      <c r="D51" s="1313">
        <v>395247.75273755501</v>
      </c>
      <c r="E51" s="1313">
        <v>18</v>
      </c>
      <c r="F51" s="1313">
        <v>210065.122437315</v>
      </c>
    </row>
    <row r="52" spans="1:6">
      <c r="A52" s="1312" t="s">
        <v>41</v>
      </c>
      <c r="B52" s="1312" t="s">
        <v>28</v>
      </c>
      <c r="C52" s="1313">
        <v>0</v>
      </c>
      <c r="D52" s="1313">
        <v>0</v>
      </c>
      <c r="E52" s="1313">
        <v>0</v>
      </c>
      <c r="F52" s="1313">
        <v>0</v>
      </c>
    </row>
    <row r="53" spans="1:6">
      <c r="A53" s="1312" t="s">
        <v>43</v>
      </c>
      <c r="B53" s="1312" t="s">
        <v>44</v>
      </c>
      <c r="C53" s="1313">
        <v>145</v>
      </c>
      <c r="D53" s="1313">
        <v>3073059.9322582502</v>
      </c>
      <c r="E53" s="1313">
        <v>279</v>
      </c>
      <c r="F53" s="1313">
        <v>1539672.9311180799</v>
      </c>
    </row>
    <row r="54" spans="1:6">
      <c r="A54" s="1312" t="s">
        <v>45</v>
      </c>
      <c r="B54" s="1312" t="s">
        <v>46</v>
      </c>
      <c r="C54" s="1313">
        <v>0</v>
      </c>
      <c r="D54" s="1313">
        <v>0</v>
      </c>
      <c r="E54" s="1313">
        <v>2</v>
      </c>
      <c r="F54" s="1313">
        <v>1244169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84</v>
      </c>
      <c r="D57" s="1313">
        <v>2410910.1598604899</v>
      </c>
      <c r="E57" s="1313">
        <v>121</v>
      </c>
      <c r="F57" s="1313">
        <v>2113090.0456216298</v>
      </c>
    </row>
    <row r="58" spans="1:6">
      <c r="A58" s="1312" t="s">
        <v>48</v>
      </c>
      <c r="B58" s="1312" t="s">
        <v>50</v>
      </c>
      <c r="C58" s="1313">
        <v>62</v>
      </c>
      <c r="D58" s="1313">
        <v>8507573.2416655608</v>
      </c>
      <c r="E58" s="1313">
        <v>77</v>
      </c>
      <c r="F58" s="1313">
        <v>2416031.8220582199</v>
      </c>
    </row>
    <row r="59" spans="1:6">
      <c r="A59" s="1312" t="s">
        <v>48</v>
      </c>
      <c r="B59" s="1312" t="s">
        <v>51</v>
      </c>
      <c r="C59" s="1313">
        <v>225</v>
      </c>
      <c r="D59" s="1313">
        <v>10126232.577784101</v>
      </c>
      <c r="E59" s="1313">
        <v>359</v>
      </c>
      <c r="F59" s="1313">
        <v>8953152.8675163109</v>
      </c>
    </row>
    <row r="60" spans="1:6">
      <c r="A60" s="1312" t="s">
        <v>48</v>
      </c>
      <c r="B60" s="1312" t="s">
        <v>52</v>
      </c>
      <c r="C60" s="1313">
        <v>81</v>
      </c>
      <c r="D60" s="1313">
        <v>5967735.1820179103</v>
      </c>
      <c r="E60" s="1313">
        <v>92</v>
      </c>
      <c r="F60" s="1313">
        <v>2526369.7929362198</v>
      </c>
    </row>
    <row r="61" spans="1:6">
      <c r="A61" s="1312" t="s">
        <v>48</v>
      </c>
      <c r="B61" s="1312" t="s">
        <v>53</v>
      </c>
      <c r="C61" s="1313">
        <v>467</v>
      </c>
      <c r="D61" s="1313">
        <v>22423367.090774499</v>
      </c>
      <c r="E61" s="1313">
        <v>843</v>
      </c>
      <c r="F61" s="1313">
        <v>9489944.9707681108</v>
      </c>
    </row>
    <row r="62" spans="1:6">
      <c r="A62" s="1312" t="s">
        <v>48</v>
      </c>
      <c r="B62" s="1312" t="s">
        <v>54</v>
      </c>
      <c r="C62" s="1313">
        <v>21</v>
      </c>
      <c r="D62" s="1313">
        <v>2402577.9653626699</v>
      </c>
      <c r="E62" s="1313">
        <v>21</v>
      </c>
      <c r="F62" s="1313">
        <v>447679.96639773902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38376.459580582799</v>
      </c>
      <c r="E65" s="1313">
        <v>1</v>
      </c>
      <c r="F65" s="1313">
        <v>3818.5195273216</v>
      </c>
    </row>
    <row r="66" spans="1:6">
      <c r="A66" s="1312" t="s">
        <v>55</v>
      </c>
      <c r="B66" s="1312" t="s">
        <v>57</v>
      </c>
      <c r="C66" s="1313">
        <v>3</v>
      </c>
      <c r="D66" s="1313">
        <v>46879.193549714502</v>
      </c>
      <c r="E66" s="1313">
        <v>12</v>
      </c>
      <c r="F66" s="1313">
        <v>58530.747577958398</v>
      </c>
    </row>
    <row r="67" spans="1:6">
      <c r="A67" s="1314" t="s">
        <v>55</v>
      </c>
      <c r="B67" s="1314" t="s">
        <v>58</v>
      </c>
      <c r="C67" s="1313">
        <v>0</v>
      </c>
      <c r="D67" s="1313">
        <v>0</v>
      </c>
      <c r="E67" s="1313">
        <v>0</v>
      </c>
      <c r="F67" s="1313">
        <v>0</v>
      </c>
    </row>
    <row r="68" spans="1:6">
      <c r="A68" s="1307" t="s">
        <v>55</v>
      </c>
      <c r="B68" s="1307" t="s">
        <v>59</v>
      </c>
      <c r="C68" s="1316">
        <v>9</v>
      </c>
      <c r="D68" s="1316">
        <v>243950.184742515</v>
      </c>
      <c r="E68" s="1316">
        <v>10</v>
      </c>
      <c r="F68" s="1316">
        <v>192889.29853664001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67397454</v>
      </c>
      <c r="E73" s="447"/>
      <c r="F73" s="326"/>
    </row>
    <row r="74" spans="1:6">
      <c r="A74" s="1312" t="s">
        <v>63</v>
      </c>
      <c r="B74" s="1312" t="s">
        <v>638</v>
      </c>
      <c r="C74" s="1326" t="s">
        <v>640</v>
      </c>
      <c r="D74" s="1327">
        <v>4485352.6350633185</v>
      </c>
      <c r="E74" s="447"/>
      <c r="F74" s="326"/>
    </row>
    <row r="75" spans="1:6">
      <c r="A75" s="1312" t="s">
        <v>64</v>
      </c>
      <c r="B75" s="1312" t="s">
        <v>637</v>
      </c>
      <c r="C75" s="1326" t="s">
        <v>641</v>
      </c>
      <c r="D75" s="1327">
        <v>22391236</v>
      </c>
      <c r="E75" s="447"/>
      <c r="F75" s="326"/>
    </row>
    <row r="76" spans="1:6">
      <c r="A76" s="1312" t="s">
        <v>64</v>
      </c>
      <c r="B76" s="1312" t="s">
        <v>638</v>
      </c>
      <c r="C76" s="1326" t="s">
        <v>642</v>
      </c>
      <c r="D76" s="1327">
        <v>685437.63506331854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599996.72987336305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5425.9768551546549</v>
      </c>
      <c r="C91" s="326"/>
      <c r="D91" s="326"/>
      <c r="E91" s="326"/>
      <c r="F91" s="326"/>
    </row>
    <row r="92" spans="1:6">
      <c r="A92" s="1307" t="s">
        <v>68</v>
      </c>
      <c r="B92" s="1308">
        <v>2790.5129558747917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6500</v>
      </c>
      <c r="C97" s="326"/>
      <c r="D97" s="326"/>
      <c r="E97" s="326"/>
      <c r="F97" s="326"/>
    </row>
    <row r="98" spans="1:6">
      <c r="A98" s="1312" t="s">
        <v>71</v>
      </c>
      <c r="B98" s="1313">
        <v>5</v>
      </c>
      <c r="C98" s="326"/>
      <c r="D98" s="326"/>
      <c r="E98" s="326"/>
      <c r="F98" s="326"/>
    </row>
    <row r="99" spans="1:6">
      <c r="A99" s="1312" t="s">
        <v>72</v>
      </c>
      <c r="B99" s="1313">
        <v>26</v>
      </c>
      <c r="C99" s="326"/>
      <c r="D99" s="326"/>
      <c r="E99" s="326"/>
      <c r="F99" s="326"/>
    </row>
    <row r="100" spans="1:6">
      <c r="A100" s="1312" t="s">
        <v>73</v>
      </c>
      <c r="B100" s="1313">
        <v>965</v>
      </c>
      <c r="C100" s="326"/>
      <c r="D100" s="326"/>
      <c r="E100" s="326"/>
      <c r="F100" s="326"/>
    </row>
    <row r="101" spans="1:6">
      <c r="A101" s="1312" t="s">
        <v>74</v>
      </c>
      <c r="B101" s="1313">
        <v>98</v>
      </c>
      <c r="C101" s="326"/>
      <c r="D101" s="326"/>
      <c r="E101" s="326"/>
      <c r="F101" s="326"/>
    </row>
    <row r="102" spans="1:6">
      <c r="A102" s="1312" t="s">
        <v>75</v>
      </c>
      <c r="B102" s="1313">
        <v>124</v>
      </c>
      <c r="C102" s="326"/>
      <c r="D102" s="326"/>
      <c r="E102" s="326"/>
      <c r="F102" s="326"/>
    </row>
    <row r="103" spans="1:6">
      <c r="A103" s="1312" t="s">
        <v>76</v>
      </c>
      <c r="B103" s="1313">
        <v>129</v>
      </c>
      <c r="C103" s="326"/>
      <c r="D103" s="326"/>
      <c r="E103" s="326"/>
      <c r="F103" s="326"/>
    </row>
    <row r="104" spans="1:6">
      <c r="A104" s="1312" t="s">
        <v>77</v>
      </c>
      <c r="B104" s="1313">
        <v>1907</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114</v>
      </c>
      <c r="C123" s="1313">
        <v>40</v>
      </c>
      <c r="D123" s="326"/>
      <c r="E123" s="326"/>
      <c r="F123" s="326"/>
    </row>
    <row r="124" spans="1:6" s="43" customFormat="1">
      <c r="A124" s="1314" t="s">
        <v>88</v>
      </c>
      <c r="B124" s="1335">
        <v>2</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148</v>
      </c>
      <c r="C129" s="326"/>
      <c r="D129" s="326"/>
      <c r="E129" s="326"/>
      <c r="F129" s="326"/>
    </row>
    <row r="130" spans="1:6">
      <c r="A130" s="1312" t="s">
        <v>290</v>
      </c>
      <c r="B130" s="1313">
        <v>2</v>
      </c>
      <c r="C130" s="326"/>
      <c r="D130" s="326"/>
      <c r="E130" s="326"/>
      <c r="F130" s="326"/>
    </row>
    <row r="131" spans="1:6">
      <c r="A131" s="1312" t="s">
        <v>291</v>
      </c>
      <c r="B131" s="1313">
        <v>3</v>
      </c>
      <c r="C131" s="326"/>
      <c r="D131" s="326"/>
      <c r="E131" s="326"/>
      <c r="F131" s="326"/>
    </row>
    <row r="132" spans="1:6">
      <c r="A132" s="1307" t="s">
        <v>292</v>
      </c>
      <c r="B132" s="1308">
        <v>34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85741.008718641446</v>
      </c>
      <c r="C3" s="43" t="s">
        <v>169</v>
      </c>
      <c r="D3" s="43"/>
      <c r="E3" s="154"/>
      <c r="F3" s="43"/>
      <c r="G3" s="43"/>
      <c r="H3" s="43"/>
      <c r="I3" s="43"/>
      <c r="J3" s="43"/>
      <c r="K3" s="96"/>
    </row>
    <row r="4" spans="1:11">
      <c r="A4" s="354" t="s">
        <v>170</v>
      </c>
      <c r="B4" s="49">
        <f>IF(ISERROR('SEAP template'!B78+'SEAP template'!C78),0,'SEAP template'!B78+'SEAP template'!C78)</f>
        <v>8216.4898110294471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0.1998217531450302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1244.1690000000001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1244.1690000000001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0.1998217531450302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248.61203078869909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44669.276813283301</v>
      </c>
      <c r="C5" s="17">
        <f>IF(ISERROR('Eigen informatie GS &amp; warmtenet'!B59),0,'Eigen informatie GS &amp; warmtenet'!B59)</f>
        <v>0</v>
      </c>
      <c r="D5" s="30">
        <f>(SUM(HH_hh_gas_kWh,HH_rest_gas_kWh)/1000)*0.903</f>
        <v>153791.69582912538</v>
      </c>
      <c r="E5" s="17">
        <f>B32*B41</f>
        <v>1525.2894612405044</v>
      </c>
      <c r="F5" s="17">
        <f>B36*B45</f>
        <v>33413.914158287887</v>
      </c>
      <c r="G5" s="18"/>
      <c r="H5" s="17"/>
      <c r="I5" s="17"/>
      <c r="J5" s="17">
        <f>B35*B44+C35*C44</f>
        <v>190.42955139345193</v>
      </c>
      <c r="K5" s="17"/>
      <c r="L5" s="17"/>
      <c r="M5" s="17"/>
      <c r="N5" s="17">
        <f>B34*B43+C34*C43</f>
        <v>13991.760542483624</v>
      </c>
      <c r="O5" s="17">
        <f>B52*B53*B54</f>
        <v>378.93601990292308</v>
      </c>
      <c r="P5" s="17">
        <f>B60*B61*B62/1000-B60*B61*B62/1000/B63</f>
        <v>1580.0938961527536</v>
      </c>
    </row>
    <row r="6" spans="1:16">
      <c r="A6" s="16" t="s">
        <v>603</v>
      </c>
      <c r="B6" s="780">
        <f>kWh_PV_kleiner_dan_10kW</f>
        <v>5425.9768551546549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50095.253668437959</v>
      </c>
      <c r="C8" s="21">
        <f>C5</f>
        <v>0</v>
      </c>
      <c r="D8" s="21">
        <f>D5</f>
        <v>153791.69582912538</v>
      </c>
      <c r="E8" s="21">
        <f>E5</f>
        <v>1525.2894612405044</v>
      </c>
      <c r="F8" s="21">
        <f>F5</f>
        <v>33413.914158287887</v>
      </c>
      <c r="G8" s="21"/>
      <c r="H8" s="21"/>
      <c r="I8" s="21"/>
      <c r="J8" s="21">
        <f>J5</f>
        <v>190.42955139345193</v>
      </c>
      <c r="K8" s="21"/>
      <c r="L8" s="21">
        <f>L5</f>
        <v>0</v>
      </c>
      <c r="M8" s="21">
        <f>M5</f>
        <v>0</v>
      </c>
      <c r="N8" s="21">
        <f>N5</f>
        <v>13991.760542483624</v>
      </c>
      <c r="O8" s="21">
        <f>O5</f>
        <v>378.93601990292308</v>
      </c>
      <c r="P8" s="21">
        <f>P5</f>
        <v>1580.0938961527536</v>
      </c>
    </row>
    <row r="9" spans="1:16">
      <c r="B9" s="19"/>
      <c r="C9" s="19"/>
      <c r="D9" s="254"/>
      <c r="E9" s="19"/>
      <c r="F9" s="19"/>
      <c r="G9" s="19"/>
      <c r="H9" s="19"/>
      <c r="I9" s="19"/>
      <c r="J9" s="19"/>
      <c r="K9" s="19"/>
      <c r="L9" s="19"/>
      <c r="M9" s="19"/>
      <c r="N9" s="19"/>
      <c r="O9" s="19"/>
      <c r="P9" s="19"/>
    </row>
    <row r="10" spans="1:16">
      <c r="A10" s="24" t="s">
        <v>213</v>
      </c>
      <c r="B10" s="25">
        <f ca="1">'EF ele_warmte'!B12</f>
        <v>0.1998217531450302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10010.121412272278</v>
      </c>
      <c r="C12" s="23">
        <f ca="1">C10*C8</f>
        <v>0</v>
      </c>
      <c r="D12" s="23">
        <f>D8*D10</f>
        <v>31065.922557483329</v>
      </c>
      <c r="E12" s="23">
        <f>E10*E8</f>
        <v>346.24070770159449</v>
      </c>
      <c r="F12" s="23">
        <f>F10*F8</f>
        <v>8921.5150802628668</v>
      </c>
      <c r="G12" s="23"/>
      <c r="H12" s="23"/>
      <c r="I12" s="23"/>
      <c r="J12" s="23">
        <f>J10*J8</f>
        <v>67.412061193281986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11215</v>
      </c>
      <c r="C26" s="36"/>
      <c r="D26" s="225"/>
    </row>
    <row r="27" spans="1:5" s="15" customFormat="1">
      <c r="A27" s="227" t="s">
        <v>866</v>
      </c>
      <c r="B27" s="37">
        <f>SUM(HH_hh_gas_aantal,HH_rest_gas_aantal)</f>
        <v>9118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8662.1</v>
      </c>
      <c r="C31" s="34" t="s">
        <v>110</v>
      </c>
      <c r="D31" s="171"/>
    </row>
    <row r="32" spans="1:5">
      <c r="A32" s="168" t="s">
        <v>72</v>
      </c>
      <c r="B32" s="33">
        <f>IF((B21*($B$26-($B$27-0.05*$B$27)-$B$60))&lt;0,0,(B21*($B$26-($B$27-0.05*$B$27)-$B$60)))</f>
        <v>38.146514941655681</v>
      </c>
      <c r="C32" s="34" t="s">
        <v>110</v>
      </c>
      <c r="D32" s="171"/>
    </row>
    <row r="33" spans="1:6">
      <c r="A33" s="168" t="s">
        <v>73</v>
      </c>
      <c r="B33" s="33">
        <f>IF((B22*($B$26-($B$27-0.05*$B$27)-$B$60))&lt;0,0,B22*($B$26-($B$27-0.05*$B$27)-$B$60))</f>
        <v>619.42385265041787</v>
      </c>
      <c r="C33" s="34" t="s">
        <v>110</v>
      </c>
      <c r="D33" s="171"/>
    </row>
    <row r="34" spans="1:6">
      <c r="A34" s="168" t="s">
        <v>74</v>
      </c>
      <c r="B34" s="33">
        <f>IF((B24*($B$26-($B$27-0.05*$B$27)-$B$60))&lt;0,0,B24*($B$26-($B$27-0.05*$B$27)-$B$60))</f>
        <v>118.75184197055336</v>
      </c>
      <c r="C34" s="33">
        <f>B26*C24</f>
        <v>2298.020114930393</v>
      </c>
      <c r="D34" s="230"/>
    </row>
    <row r="35" spans="1:6">
      <c r="A35" s="168" t="s">
        <v>76</v>
      </c>
      <c r="B35" s="33">
        <f>IF((B19*($B$26-($B$27-0.05*$B$27)-$B$60))&lt;0,0,B19*($B$26-($B$27-0.05*$B$27)-$B$60))</f>
        <v>16.582199101356846</v>
      </c>
      <c r="C35" s="33">
        <f>B35/2</f>
        <v>8.2910995506784229</v>
      </c>
      <c r="D35" s="230"/>
    </row>
    <row r="36" spans="1:6">
      <c r="A36" s="168" t="s">
        <v>77</v>
      </c>
      <c r="B36" s="33">
        <f>IF((B18*($B$26-($B$27-0.05*$B$27)-$B$60))&lt;0,0,B18*($B$26-($B$27-0.05*$B$27)-$B$60))</f>
        <v>1609.9955913360154</v>
      </c>
      <c r="C36" s="34" t="s">
        <v>110</v>
      </c>
      <c r="D36" s="171"/>
    </row>
    <row r="37" spans="1:6">
      <c r="A37" s="168" t="s">
        <v>78</v>
      </c>
      <c r="B37" s="33">
        <f>B60</f>
        <v>150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150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25946.269465298232</v>
      </c>
      <c r="C5" s="17">
        <f>IF(ISERROR('Eigen informatie GS &amp; warmtenet'!B60),0,'Eigen informatie GS &amp; warmtenet'!B60)</f>
        <v>0</v>
      </c>
      <c r="D5" s="30">
        <f>SUM(D6:D12)</f>
        <v>46810.07178437111</v>
      </c>
      <c r="E5" s="17">
        <f>SUM(E6:E12)</f>
        <v>101.22439433194609</v>
      </c>
      <c r="F5" s="17">
        <f>SUM(F6:F12)</f>
        <v>4095.3904066918658</v>
      </c>
      <c r="G5" s="18"/>
      <c r="H5" s="17"/>
      <c r="I5" s="17"/>
      <c r="J5" s="17">
        <f>SUM(J6:J12)</f>
        <v>2.1372156421481842E-2</v>
      </c>
      <c r="K5" s="17"/>
      <c r="L5" s="17"/>
      <c r="M5" s="17"/>
      <c r="N5" s="17">
        <f>SUM(N6:N12)</f>
        <v>843.93756598811103</v>
      </c>
      <c r="O5" s="17">
        <f>B38*B39*B40</f>
        <v>9.7945215316823084</v>
      </c>
      <c r="P5" s="17">
        <f>B46*B47*B48/1000-B46*B47*B48/1000/B49</f>
        <v>210.15655322598008</v>
      </c>
      <c r="R5" s="32"/>
    </row>
    <row r="6" spans="1:18">
      <c r="A6" s="32" t="s">
        <v>53</v>
      </c>
      <c r="B6" s="37">
        <f>B26</f>
        <v>9489.9449707681106</v>
      </c>
      <c r="C6" s="33"/>
      <c r="D6" s="37">
        <f>IF(ISERROR(TER_kantoor_gas_kWh/1000),0,TER_kantoor_gas_kWh/1000)*0.903</f>
        <v>20248.300482969375</v>
      </c>
      <c r="E6" s="33">
        <f>$C$26*'E Balans VL '!I12/100/3.6*1000000</f>
        <v>2.2611741734644855</v>
      </c>
      <c r="F6" s="33">
        <f>$C$26*('E Balans VL '!L12+'E Balans VL '!N12)/100/3.6*1000000</f>
        <v>824.29468562566706</v>
      </c>
      <c r="G6" s="34"/>
      <c r="H6" s="33"/>
      <c r="I6" s="33"/>
      <c r="J6" s="33">
        <f>$C$26*('E Balans VL '!D12+'E Balans VL '!E12)/100/3.6*1000000</f>
        <v>0</v>
      </c>
      <c r="K6" s="33"/>
      <c r="L6" s="33"/>
      <c r="M6" s="33"/>
      <c r="N6" s="33">
        <f>$C$26*'E Balans VL '!Y12/100/3.6*1000000</f>
        <v>12.684639098621975</v>
      </c>
      <c r="O6" s="33"/>
      <c r="P6" s="33"/>
      <c r="R6" s="32"/>
    </row>
    <row r="7" spans="1:18">
      <c r="A7" s="32" t="s">
        <v>52</v>
      </c>
      <c r="B7" s="37">
        <f t="shared" ref="B7:B12" si="0">B27</f>
        <v>2526.3697929362197</v>
      </c>
      <c r="C7" s="33"/>
      <c r="D7" s="37">
        <f>IF(ISERROR(TER_horeca_gas_kWh/1000),0,TER_horeca_gas_kWh/1000)*0.903</f>
        <v>5388.8648693621726</v>
      </c>
      <c r="E7" s="33">
        <f>$C$27*'E Balans VL '!I9/100/3.6*1000000</f>
        <v>0</v>
      </c>
      <c r="F7" s="33">
        <f>$C$27*('E Balans VL '!L9+'E Balans VL '!N9)/100/3.6*1000000</f>
        <v>205.85341736211237</v>
      </c>
      <c r="G7" s="34"/>
      <c r="H7" s="33"/>
      <c r="I7" s="33"/>
      <c r="J7" s="33">
        <f>$C$27*('E Balans VL '!D9+'E Balans VL '!E9)/100/3.6*1000000</f>
        <v>0</v>
      </c>
      <c r="K7" s="33"/>
      <c r="L7" s="33"/>
      <c r="M7" s="33"/>
      <c r="N7" s="33">
        <f>$C$27*'E Balans VL '!Y9/100/3.6*1000000</f>
        <v>0.69975739833071615</v>
      </c>
      <c r="O7" s="33"/>
      <c r="P7" s="33"/>
      <c r="R7" s="32"/>
    </row>
    <row r="8" spans="1:18">
      <c r="A8" s="6" t="s">
        <v>51</v>
      </c>
      <c r="B8" s="37">
        <f t="shared" si="0"/>
        <v>8953.1528675163117</v>
      </c>
      <c r="C8" s="33"/>
      <c r="D8" s="37">
        <f>IF(ISERROR(TER_handel_gas_kWh/1000),0,TER_handel_gas_kWh/1000)*0.903</f>
        <v>9143.9880177390423</v>
      </c>
      <c r="E8" s="33">
        <f>$C$28*'E Balans VL '!I13/100/3.6*1000000</f>
        <v>71.568053465450561</v>
      </c>
      <c r="F8" s="33">
        <f>$C$28*('E Balans VL '!L13+'E Balans VL '!N13)/100/3.6*1000000</f>
        <v>889.44008134227931</v>
      </c>
      <c r="G8" s="34"/>
      <c r="H8" s="33"/>
      <c r="I8" s="33"/>
      <c r="J8" s="33">
        <f>$C$28*('E Balans VL '!D13+'E Balans VL '!E13)/100/3.6*1000000</f>
        <v>0</v>
      </c>
      <c r="K8" s="33"/>
      <c r="L8" s="33"/>
      <c r="M8" s="33"/>
      <c r="N8" s="33">
        <f>$C$28*'E Balans VL '!Y13/100/3.6*1000000</f>
        <v>3.34453552314951</v>
      </c>
      <c r="O8" s="33"/>
      <c r="P8" s="33"/>
      <c r="R8" s="32"/>
    </row>
    <row r="9" spans="1:18">
      <c r="A9" s="32" t="s">
        <v>50</v>
      </c>
      <c r="B9" s="37">
        <f t="shared" si="0"/>
        <v>2416.0318220582199</v>
      </c>
      <c r="C9" s="33"/>
      <c r="D9" s="37">
        <f>IF(ISERROR(TER_gezond_gas_kWh/1000),0,TER_gezond_gas_kWh/1000)*0.903</f>
        <v>7682.338637224002</v>
      </c>
      <c r="E9" s="33">
        <f>$C$29*'E Balans VL '!I10/100/3.6*1000000</f>
        <v>0</v>
      </c>
      <c r="F9" s="33">
        <f>$C$29*('E Balans VL '!L10+'E Balans VL '!N10)/100/3.6*1000000</f>
        <v>220.26067150228457</v>
      </c>
      <c r="G9" s="34"/>
      <c r="H9" s="33"/>
      <c r="I9" s="33"/>
      <c r="J9" s="33">
        <f>$C$29*('E Balans VL '!D10+'E Balans VL '!E10)/100/3.6*1000000</f>
        <v>0</v>
      </c>
      <c r="K9" s="33"/>
      <c r="L9" s="33"/>
      <c r="M9" s="33"/>
      <c r="N9" s="33">
        <f>$C$29*'E Balans VL '!Y10/100/3.6*1000000</f>
        <v>17.659027468062245</v>
      </c>
      <c r="O9" s="33"/>
      <c r="P9" s="33"/>
      <c r="R9" s="32"/>
    </row>
    <row r="10" spans="1:18">
      <c r="A10" s="32" t="s">
        <v>49</v>
      </c>
      <c r="B10" s="37">
        <f t="shared" si="0"/>
        <v>2113.09004562163</v>
      </c>
      <c r="C10" s="33"/>
      <c r="D10" s="37">
        <f>IF(ISERROR(TER_ander_gas_kWh/1000),0,TER_ander_gas_kWh/1000)*0.903</f>
        <v>2177.0518743540224</v>
      </c>
      <c r="E10" s="33">
        <f>$C$30*'E Balans VL '!I14/100/3.6*1000000</f>
        <v>27.39516669303104</v>
      </c>
      <c r="F10" s="33">
        <f>$C$30*('E Balans VL '!L14+'E Balans VL '!N14)/100/3.6*1000000</f>
        <v>1938.0002553106308</v>
      </c>
      <c r="G10" s="34"/>
      <c r="H10" s="33"/>
      <c r="I10" s="33"/>
      <c r="J10" s="33">
        <f>$C$30*('E Balans VL '!D14+'E Balans VL '!E14)/100/3.6*1000000</f>
        <v>2.1372156421481842E-2</v>
      </c>
      <c r="K10" s="33"/>
      <c r="L10" s="33"/>
      <c r="M10" s="33"/>
      <c r="N10" s="33">
        <f>$C$30*'E Balans VL '!Y14/100/3.6*1000000</f>
        <v>808.13975167620549</v>
      </c>
      <c r="O10" s="33"/>
      <c r="P10" s="33"/>
      <c r="R10" s="32"/>
    </row>
    <row r="11" spans="1:18">
      <c r="A11" s="32" t="s">
        <v>54</v>
      </c>
      <c r="B11" s="37">
        <f t="shared" si="0"/>
        <v>447.67996639773901</v>
      </c>
      <c r="C11" s="33"/>
      <c r="D11" s="37">
        <f>IF(ISERROR(TER_onderwijs_gas_kWh/1000),0,TER_onderwijs_gas_kWh/1000)*0.903</f>
        <v>2169.527902722491</v>
      </c>
      <c r="E11" s="33">
        <f>$C$31*'E Balans VL '!I11/100/3.6*1000000</f>
        <v>0</v>
      </c>
      <c r="F11" s="33">
        <f>$C$31*('E Balans VL '!L11+'E Balans VL '!N11)/100/3.6*1000000</f>
        <v>17.541295548891735</v>
      </c>
      <c r="G11" s="34"/>
      <c r="H11" s="33"/>
      <c r="I11" s="33"/>
      <c r="J11" s="33">
        <f>$C$31*('E Balans VL '!D11+'E Balans VL '!E11)/100/3.6*1000000</f>
        <v>0</v>
      </c>
      <c r="K11" s="33"/>
      <c r="L11" s="33"/>
      <c r="M11" s="33"/>
      <c r="N11" s="33">
        <f>$C$31*'E Balans VL '!Y11/100/3.6*1000000</f>
        <v>1.4098548237410991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25946.269465298232</v>
      </c>
      <c r="C16" s="21">
        <f t="shared" ca="1" si="1"/>
        <v>0</v>
      </c>
      <c r="D16" s="21">
        <f t="shared" ca="1" si="1"/>
        <v>46810.07178437111</v>
      </c>
      <c r="E16" s="21">
        <f t="shared" si="1"/>
        <v>101.22439433194609</v>
      </c>
      <c r="F16" s="21">
        <f t="shared" ca="1" si="1"/>
        <v>4095.3904066918658</v>
      </c>
      <c r="G16" s="21">
        <f t="shared" si="1"/>
        <v>0</v>
      </c>
      <c r="H16" s="21">
        <f t="shared" si="1"/>
        <v>0</v>
      </c>
      <c r="I16" s="21">
        <f t="shared" si="1"/>
        <v>0</v>
      </c>
      <c r="J16" s="21">
        <f t="shared" si="1"/>
        <v>2.1372156421481842E-2</v>
      </c>
      <c r="K16" s="21">
        <f t="shared" si="1"/>
        <v>0</v>
      </c>
      <c r="L16" s="21">
        <f t="shared" ca="1" si="1"/>
        <v>0</v>
      </c>
      <c r="M16" s="21">
        <f t="shared" si="1"/>
        <v>0</v>
      </c>
      <c r="N16" s="21">
        <f t="shared" ca="1" si="1"/>
        <v>843.93756598811103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0.1998217531450302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5184.6290521292576</v>
      </c>
      <c r="C20" s="23">
        <f t="shared" ref="C20:P20" ca="1" si="2">C16*C18</f>
        <v>0</v>
      </c>
      <c r="D20" s="23">
        <f t="shared" ca="1" si="2"/>
        <v>9455.6345004429641</v>
      </c>
      <c r="E20" s="23">
        <f t="shared" si="2"/>
        <v>22.977937513351762</v>
      </c>
      <c r="F20" s="23">
        <f t="shared" ca="1" si="2"/>
        <v>1093.4692385867281</v>
      </c>
      <c r="G20" s="23">
        <f t="shared" si="2"/>
        <v>0</v>
      </c>
      <c r="H20" s="23">
        <f t="shared" si="2"/>
        <v>0</v>
      </c>
      <c r="I20" s="23">
        <f t="shared" si="2"/>
        <v>0</v>
      </c>
      <c r="J20" s="23">
        <f t="shared" si="2"/>
        <v>7.5657433732045721E-3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9489.9449707681106</v>
      </c>
      <c r="C26" s="39">
        <f>IF(ISERROR(B26*3.6/1000000/'E Balans VL '!Z12*100),0,B26*3.6/1000000/'E Balans VL '!Z12*100)</f>
        <v>0.27226562815905642</v>
      </c>
      <c r="D26" s="233" t="s">
        <v>841</v>
      </c>
      <c r="F26" s="6"/>
    </row>
    <row r="27" spans="1:18" ht="30">
      <c r="A27" s="228" t="s">
        <v>52</v>
      </c>
      <c r="B27" s="33">
        <f>IF(ISERROR(TER_horeca_ele_kWh/1000),0,TER_horeca_ele_kWh/1000)</f>
        <v>2526.3697929362197</v>
      </c>
      <c r="C27" s="39">
        <f>IF(ISERROR(B27*3.6/1000000/'E Balans VL '!Z9*100),0,B27*3.6/1000000/'E Balans VL '!Z9*100)</f>
        <v>0.18508274545525197</v>
      </c>
      <c r="D27" s="233" t="s">
        <v>841</v>
      </c>
      <c r="F27" s="6"/>
    </row>
    <row r="28" spans="1:18" ht="30">
      <c r="A28" s="168" t="s">
        <v>51</v>
      </c>
      <c r="B28" s="33">
        <f>IF(ISERROR(TER_handel_ele_kWh/1000),0,TER_handel_ele_kWh/1000)</f>
        <v>8953.1528675163117</v>
      </c>
      <c r="C28" s="39">
        <f>IF(ISERROR(B28*3.6/1000000/'E Balans VL '!Z13*100),0,B28*3.6/1000000/'E Balans VL '!Z13*100)</f>
        <v>0.27665997515500779</v>
      </c>
      <c r="D28" s="233" t="s">
        <v>841</v>
      </c>
      <c r="F28" s="6"/>
    </row>
    <row r="29" spans="1:18" ht="30">
      <c r="A29" s="228" t="s">
        <v>50</v>
      </c>
      <c r="B29" s="33">
        <f>IF(ISERROR(TER_gezond_ele_kWh/1000),0,TER_gezond_ele_kWh/1000)</f>
        <v>2416.0318220582199</v>
      </c>
      <c r="C29" s="39">
        <f>IF(ISERROR(B29*3.6/1000000/'E Balans VL '!Z10*100),0,B29*3.6/1000000/'E Balans VL '!Z10*100)</f>
        <v>0.23678597463265486</v>
      </c>
      <c r="D29" s="233" t="s">
        <v>841</v>
      </c>
      <c r="F29" s="6"/>
    </row>
    <row r="30" spans="1:18" ht="30">
      <c r="A30" s="228" t="s">
        <v>49</v>
      </c>
      <c r="B30" s="33">
        <f>IF(ISERROR(TER_ander_ele_kWh/1000),0,TER_ander_ele_kWh/1000)</f>
        <v>2113.09004562163</v>
      </c>
      <c r="C30" s="39">
        <f>IF(ISERROR(B30*3.6/1000000/'E Balans VL '!Z14*100),0,B30*3.6/1000000/'E Balans VL '!Z14*100)</f>
        <v>8.7531016060676481E-2</v>
      </c>
      <c r="D30" s="233" t="s">
        <v>841</v>
      </c>
      <c r="F30" s="6"/>
    </row>
    <row r="31" spans="1:18" ht="30">
      <c r="A31" s="228" t="s">
        <v>54</v>
      </c>
      <c r="B31" s="33">
        <f>IF(ISERROR(TER_onderwijs_ele_kWh/1000),0,TER_onderwijs_ele_kWh/1000)</f>
        <v>447.67996639773901</v>
      </c>
      <c r="C31" s="39">
        <f>IF(ISERROR(B31*3.6/1000000/'E Balans VL '!Z11*100),0,B31*3.6/1000000/'E Balans VL '!Z11*100)</f>
        <v>0.13755844303008696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6487.359580888351</v>
      </c>
      <c r="C5" s="17">
        <f>IF(ISERROR('Eigen informatie GS &amp; warmtenet'!B61),0,'Eigen informatie GS &amp; warmtenet'!B61)</f>
        <v>0</v>
      </c>
      <c r="D5" s="30">
        <f>SUM(D6:D15)</f>
        <v>5553.3926064370335</v>
      </c>
      <c r="E5" s="17">
        <f>SUM(E6:E15)</f>
        <v>21.697753675860181</v>
      </c>
      <c r="F5" s="17">
        <f>SUM(F6:F15)</f>
        <v>3139.0827232267775</v>
      </c>
      <c r="G5" s="18"/>
      <c r="H5" s="17"/>
      <c r="I5" s="17"/>
      <c r="J5" s="17">
        <f>SUM(J6:J15)</f>
        <v>5.1467498244455676</v>
      </c>
      <c r="K5" s="17"/>
      <c r="L5" s="17"/>
      <c r="M5" s="17"/>
      <c r="N5" s="17">
        <f>SUM(N6:N15)</f>
        <v>320.1536062099475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293.010007519564</v>
      </c>
      <c r="C8" s="33"/>
      <c r="D8" s="37">
        <f>IF( ISERROR(IND_metaal_Gas_kWH/1000),0,IND_metaal_Gas_kWH/1000)*0.903</f>
        <v>609.22100732827437</v>
      </c>
      <c r="E8" s="33">
        <f>C30*'E Balans VL '!I18/100/3.6*1000000</f>
        <v>1.5972432480891934</v>
      </c>
      <c r="F8" s="33">
        <f>C30*'E Balans VL '!L18/100/3.6*1000000+C30*'E Balans VL '!N18/100/3.6*1000000</f>
        <v>18.869866865155874</v>
      </c>
      <c r="G8" s="34"/>
      <c r="H8" s="33"/>
      <c r="I8" s="33"/>
      <c r="J8" s="40">
        <f>C30*'E Balans VL '!D18/100/3.6*1000000+C30*'E Balans VL '!E18/100/3.6*1000000</f>
        <v>0.24001093705277185</v>
      </c>
      <c r="K8" s="33"/>
      <c r="L8" s="33"/>
      <c r="M8" s="33"/>
      <c r="N8" s="33">
        <f>C30*'E Balans VL '!Y18/100/3.6*1000000</f>
        <v>6.3302875923562816</v>
      </c>
      <c r="O8" s="33"/>
      <c r="P8" s="33"/>
      <c r="R8" s="32"/>
    </row>
    <row r="9" spans="1:18">
      <c r="A9" s="6" t="s">
        <v>32</v>
      </c>
      <c r="B9" s="37">
        <f t="shared" si="0"/>
        <v>4756.0227529965205</v>
      </c>
      <c r="C9" s="33"/>
      <c r="D9" s="37">
        <f>IF( ISERROR(IND_andere_gas_kWh/1000),0,IND_andere_gas_kWh/1000)*0.903</f>
        <v>3703.8122043490253</v>
      </c>
      <c r="E9" s="33">
        <f>C31*'E Balans VL '!I19/100/3.6*1000000</f>
        <v>15.353251399990228</v>
      </c>
      <c r="F9" s="33">
        <f>C31*'E Balans VL '!L19/100/3.6*1000000+C31*'E Balans VL '!N19/100/3.6*1000000</f>
        <v>3075.2816471582696</v>
      </c>
      <c r="G9" s="34"/>
      <c r="H9" s="33"/>
      <c r="I9" s="33"/>
      <c r="J9" s="40">
        <f>C31*'E Balans VL '!D19/100/3.6*1000000+C31*'E Balans VL '!E19/100/3.6*1000000</f>
        <v>0</v>
      </c>
      <c r="K9" s="33"/>
      <c r="L9" s="33"/>
      <c r="M9" s="33"/>
      <c r="N9" s="33">
        <f>C31*'E Balans VL '!Y19/100/3.6*1000000</f>
        <v>192.18538576051373</v>
      </c>
      <c r="O9" s="33"/>
      <c r="P9" s="33"/>
      <c r="R9" s="32"/>
    </row>
    <row r="10" spans="1:18">
      <c r="A10" s="6" t="s">
        <v>40</v>
      </c>
      <c r="B10" s="37">
        <f t="shared" si="0"/>
        <v>1174.39090591276</v>
      </c>
      <c r="C10" s="33"/>
      <c r="D10" s="37">
        <f>IF( ISERROR(IND_voed_gas_kWh/1000),0,IND_voed_gas_kWh/1000)*0.903</f>
        <v>582.12130796342842</v>
      </c>
      <c r="E10" s="33">
        <f>C32*'E Balans VL '!I20/100/3.6*1000000</f>
        <v>2.4618111509525207</v>
      </c>
      <c r="F10" s="33">
        <f>C32*'E Balans VL '!L20/100/3.6*1000000+C32*'E Balans VL '!N20/100/3.6*1000000</f>
        <v>22.881193397884868</v>
      </c>
      <c r="G10" s="34"/>
      <c r="H10" s="33"/>
      <c r="I10" s="33"/>
      <c r="J10" s="40">
        <f>C32*'E Balans VL '!D20/100/3.6*1000000+C32*'E Balans VL '!E20/100/3.6*1000000</f>
        <v>0</v>
      </c>
      <c r="K10" s="33"/>
      <c r="L10" s="33"/>
      <c r="M10" s="33"/>
      <c r="N10" s="33">
        <f>C32*'E Balans VL '!Y20/100/3.6*1000000</f>
        <v>46.714014348442028</v>
      </c>
      <c r="O10" s="33"/>
      <c r="P10" s="33"/>
      <c r="R10" s="32"/>
    </row>
    <row r="11" spans="1:18">
      <c r="A11" s="6" t="s">
        <v>39</v>
      </c>
      <c r="B11" s="37">
        <f t="shared" si="0"/>
        <v>55.934820258380803</v>
      </c>
      <c r="C11" s="33"/>
      <c r="D11" s="37">
        <f>IF( ISERROR(IND_textiel_gas_kWh/1000),0,IND_textiel_gas_kWh/1000)*0.903</f>
        <v>0</v>
      </c>
      <c r="E11" s="33">
        <f>C33*'E Balans VL '!I21/100/3.6*1000000</f>
        <v>4.806310962077634E-2</v>
      </c>
      <c r="F11" s="33">
        <f>C33*'E Balans VL '!L21/100/3.6*1000000+C33*'E Balans VL '!N21/100/3.6*1000000</f>
        <v>1.1727315604682522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136.71718401785799</v>
      </c>
      <c r="C12" s="33"/>
      <c r="D12" s="37">
        <f>IF( ISERROR(IND_min_gas_kWh/1000),0,IND_min_gas_kWh/1000)*0.903</f>
        <v>319.70909258679666</v>
      </c>
      <c r="E12" s="33">
        <f>C34*'E Balans VL '!I22/100/3.6*1000000</f>
        <v>2.2373847672074638</v>
      </c>
      <c r="F12" s="33">
        <f>C34*'E Balans VL '!L22/100/3.6*1000000+C34*'E Balans VL '!N22/100/3.6*1000000</f>
        <v>20.867735540495577</v>
      </c>
      <c r="G12" s="34"/>
      <c r="H12" s="33"/>
      <c r="I12" s="33"/>
      <c r="J12" s="40">
        <f>C34*'E Balans VL '!D22/100/3.6*1000000+C34*'E Balans VL '!E22/100/3.6*1000000</f>
        <v>4.892638481442277</v>
      </c>
      <c r="K12" s="33"/>
      <c r="L12" s="33"/>
      <c r="M12" s="33"/>
      <c r="N12" s="33">
        <f>C34*'E Balans VL '!Y22/100/3.6*1000000</f>
        <v>74.923918508635495</v>
      </c>
      <c r="O12" s="33"/>
      <c r="P12" s="33"/>
      <c r="R12" s="32"/>
    </row>
    <row r="13" spans="1:18">
      <c r="A13" s="6" t="s">
        <v>38</v>
      </c>
      <c r="B13" s="37">
        <f t="shared" si="0"/>
        <v>71.283910183268205</v>
      </c>
      <c r="C13" s="33"/>
      <c r="D13" s="37">
        <f>IF( ISERROR(IND_papier_gas_kWh/1000),0,IND_papier_gas_kWh/1000)*0.903</f>
        <v>193.91276708134615</v>
      </c>
      <c r="E13" s="33">
        <f>C35*'E Balans VL '!I23/100/3.6*1000000</f>
        <v>0</v>
      </c>
      <c r="F13" s="33">
        <f>C35*'E Balans VL '!L23/100/3.6*1000000+C35*'E Balans VL '!N23/100/3.6*1000000</f>
        <v>9.5487045033488486E-3</v>
      </c>
      <c r="G13" s="34"/>
      <c r="H13" s="33"/>
      <c r="I13" s="33"/>
      <c r="J13" s="40">
        <f>C35*'E Balans VL '!D23/100/3.6*1000000+C35*'E Balans VL '!E23/100/3.6*1000000</f>
        <v>1.4100405950518939E-2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144.61622712816254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6487.359580888351</v>
      </c>
      <c r="C18" s="21">
        <f>C5+C16</f>
        <v>0</v>
      </c>
      <c r="D18" s="21">
        <f>MAX((D5+D16),0)</f>
        <v>5553.3926064370335</v>
      </c>
      <c r="E18" s="21">
        <f>MAX((E5+E16),0)</f>
        <v>21.697753675860181</v>
      </c>
      <c r="F18" s="21">
        <f>MAX((F5+F16),0)</f>
        <v>3139.0827232267775</v>
      </c>
      <c r="G18" s="21"/>
      <c r="H18" s="21"/>
      <c r="I18" s="21"/>
      <c r="J18" s="21">
        <f>MAX((J5+J16),0)</f>
        <v>5.1467498244455676</v>
      </c>
      <c r="K18" s="21"/>
      <c r="L18" s="21">
        <f>MAX((L5+L16),0)</f>
        <v>0</v>
      </c>
      <c r="M18" s="21"/>
      <c r="N18" s="21">
        <f>MAX((N5+N16),0)</f>
        <v>320.1536062099475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0.1998217531450302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1296.3155647353187</v>
      </c>
      <c r="C22" s="23">
        <f ca="1">C18*C20</f>
        <v>0</v>
      </c>
      <c r="D22" s="23">
        <f>D18*D20</f>
        <v>1121.7853065002807</v>
      </c>
      <c r="E22" s="23">
        <f>E18*E20</f>
        <v>4.9253900844202612</v>
      </c>
      <c r="F22" s="23">
        <f>F18*F20</f>
        <v>838.13508710154963</v>
      </c>
      <c r="G22" s="23"/>
      <c r="H22" s="23"/>
      <c r="I22" s="23"/>
      <c r="J22" s="23">
        <f>J18*J20</f>
        <v>1.8219494378537309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293.010007519564</v>
      </c>
      <c r="C30" s="39">
        <f>IF(ISERROR(B30*3.6/1000000/'E Balans VL '!Z18*100),0,B30*3.6/1000000/'E Balans VL '!Z18*100)</f>
        <v>1.7644259207473582E-2</v>
      </c>
      <c r="D30" s="233" t="s">
        <v>841</v>
      </c>
    </row>
    <row r="31" spans="1:18" ht="30">
      <c r="A31" s="6" t="s">
        <v>32</v>
      </c>
      <c r="B31" s="37">
        <f>IF( ISERROR(IND_ander_ele_kWh/1000),0,IND_ander_ele_kWh/1000)</f>
        <v>4756.0227529965205</v>
      </c>
      <c r="C31" s="39">
        <f>IF(ISERROR(B31*3.6/1000000/'E Balans VL '!Z19*100),0,B31*3.6/1000000/'E Balans VL '!Z19*100)</f>
        <v>0.19377021305727873</v>
      </c>
      <c r="D31" s="233" t="s">
        <v>841</v>
      </c>
    </row>
    <row r="32" spans="1:18" ht="30">
      <c r="A32" s="168" t="s">
        <v>40</v>
      </c>
      <c r="B32" s="37">
        <f>IF( ISERROR(IND_voed_ele_kWh/1000),0,IND_voed_ele_kWh/1000)</f>
        <v>1174.39090591276</v>
      </c>
      <c r="C32" s="39">
        <f>IF(ISERROR(B32*3.6/1000000/'E Balans VL '!Z20*100),0,B32*3.6/1000000/'E Balans VL '!Z20*100)</f>
        <v>3.3956367192090747E-2</v>
      </c>
      <c r="D32" s="233" t="s">
        <v>841</v>
      </c>
    </row>
    <row r="33" spans="1:5" ht="30">
      <c r="A33" s="168" t="s">
        <v>39</v>
      </c>
      <c r="B33" s="37">
        <f>IF( ISERROR(IND_textiel_ele_kWh/1000),0,IND_textiel_ele_kWh/1000)</f>
        <v>55.934820258380803</v>
      </c>
      <c r="C33" s="39">
        <f>IF(ISERROR(B33*3.6/1000000/'E Balans VL '!Z21*100),0,B33*3.6/1000000/'E Balans VL '!Z21*100)</f>
        <v>9.1986812671342282E-3</v>
      </c>
      <c r="D33" s="233" t="s">
        <v>841</v>
      </c>
    </row>
    <row r="34" spans="1:5" ht="30">
      <c r="A34" s="168" t="s">
        <v>36</v>
      </c>
      <c r="B34" s="37">
        <f>IF( ISERROR(IND_min_ele_kWh/1000),0,IND_min_ele_kWh/1000)</f>
        <v>136.71718401785799</v>
      </c>
      <c r="C34" s="39">
        <f>IF(ISERROR(B34*3.6/1000000/'E Balans VL '!Z22*100),0,B34*3.6/1000000/'E Balans VL '!Z22*100)</f>
        <v>5.8376967165558069E-2</v>
      </c>
      <c r="D34" s="233" t="s">
        <v>841</v>
      </c>
    </row>
    <row r="35" spans="1:5" ht="30">
      <c r="A35" s="168" t="s">
        <v>38</v>
      </c>
      <c r="B35" s="37">
        <f>IF( ISERROR(IND_papier_ele_kWh/1000),0,IND_papier_ele_kWh/1000)</f>
        <v>71.283910183268205</v>
      </c>
      <c r="C35" s="39">
        <f>IF(ISERROR(B35*3.6/1000000/'E Balans VL '!Z22*100),0,B35*3.6/1000000/'E Balans VL '!Z22*100)</f>
        <v>3.0437567260438045E-2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210.06512243731501</v>
      </c>
      <c r="C5" s="17">
        <f>'Eigen informatie GS &amp; warmtenet'!B62</f>
        <v>0</v>
      </c>
      <c r="D5" s="30">
        <f>IF(ISERROR(SUM(LB_lb_gas_kWh,LB_rest_gas_kWh)/1000),0,SUM(LB_lb_gas_kWh,LB_rest_gas_kWh)/1000)*0.903</f>
        <v>356.90872072201216</v>
      </c>
      <c r="E5" s="17">
        <f>B17*'E Balans VL '!I25/3.6*1000000/100</f>
        <v>6.0166206018757462</v>
      </c>
      <c r="F5" s="17">
        <f>B17*('E Balans VL '!L25/3.6*1000000+'E Balans VL '!N25/3.6*1000000)/100</f>
        <v>664.95766580544694</v>
      </c>
      <c r="G5" s="18"/>
      <c r="H5" s="17"/>
      <c r="I5" s="17"/>
      <c r="J5" s="17">
        <f>('E Balans VL '!D25+'E Balans VL '!E25)/3.6*1000000*landbouw!B17/100</f>
        <v>53.412964088489552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210.06512243731501</v>
      </c>
      <c r="C8" s="21">
        <f>C5+C6</f>
        <v>0</v>
      </c>
      <c r="D8" s="21">
        <f>MAX((D5+D6),0)</f>
        <v>356.90872072201216</v>
      </c>
      <c r="E8" s="21">
        <f>MAX((E5+E6),0)</f>
        <v>6.0166206018757462</v>
      </c>
      <c r="F8" s="21">
        <f>MAX((F5+F6),0)</f>
        <v>664.95766580544694</v>
      </c>
      <c r="G8" s="21"/>
      <c r="H8" s="21"/>
      <c r="I8" s="21"/>
      <c r="J8" s="21">
        <f>MAX((J5+J6),0)</f>
        <v>53.412964088489552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0.1998217531450302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41.975581040049704</v>
      </c>
      <c r="C12" s="23">
        <f ca="1">C8*C10</f>
        <v>0</v>
      </c>
      <c r="D12" s="23">
        <f>D8*D10</f>
        <v>72.095561585846468</v>
      </c>
      <c r="E12" s="23">
        <f>E8*E10</f>
        <v>1.3657728766257944</v>
      </c>
      <c r="F12" s="23">
        <f>F8*F10</f>
        <v>177.54369677005434</v>
      </c>
      <c r="G12" s="23"/>
      <c r="H12" s="23"/>
      <c r="I12" s="23"/>
      <c r="J12" s="23">
        <f>J8*J10</f>
        <v>18.9081892873253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2.908925402528454E-2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45.206410257682798</v>
      </c>
      <c r="C26" s="243">
        <f>B26*'GWP N2O_CH4'!B5</f>
        <v>949.33461541133875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6.1375482240865438</v>
      </c>
      <c r="C27" s="243">
        <f>B27*'GWP N2O_CH4'!B5</f>
        <v>128.88851270581742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0.6194827754875093</v>
      </c>
      <c r="C28" s="243">
        <f>B28*'GWP N2O_CH4'!B4</f>
        <v>192.03966040112789</v>
      </c>
      <c r="D28" s="50"/>
    </row>
    <row r="29" spans="1:4">
      <c r="A29" s="41" t="s">
        <v>272</v>
      </c>
      <c r="B29" s="243">
        <f>B34*'ha_N2O bodem landbouw'!B4</f>
        <v>3.1209607169981806</v>
      </c>
      <c r="C29" s="243">
        <f>B29*'GWP N2O_CH4'!B4</f>
        <v>967.49782226943603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7.0902641820136815E-4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6.6978468283105102E-4</v>
      </c>
      <c r="C5" s="434" t="s">
        <v>210</v>
      </c>
      <c r="D5" s="419">
        <f>SUM(D6:D11)</f>
        <v>1.2353458512147201E-3</v>
      </c>
      <c r="E5" s="419">
        <f>SUM(E6:E11)</f>
        <v>4.8222419041567694E-4</v>
      </c>
      <c r="F5" s="432" t="s">
        <v>210</v>
      </c>
      <c r="G5" s="419">
        <f>SUM(G6:G11)</f>
        <v>0.19240519146711396</v>
      </c>
      <c r="H5" s="419">
        <f>SUM(H6:H11)</f>
        <v>6.0379040154799085E-2</v>
      </c>
      <c r="I5" s="434" t="s">
        <v>210</v>
      </c>
      <c r="J5" s="434" t="s">
        <v>210</v>
      </c>
      <c r="K5" s="434" t="s">
        <v>210</v>
      </c>
      <c r="L5" s="434" t="s">
        <v>210</v>
      </c>
      <c r="M5" s="419">
        <f>SUM(M6:M11)</f>
        <v>1.5327938897139251E-2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4.7260479167162426E-4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7.8796747926392573E-4</v>
      </c>
      <c r="E6" s="886">
        <f>vkm_GW_PW*SUMIFS(TableVerdeelsleutelVkm[LPG],TableVerdeelsleutelVkm[Voertuigtype],"Lichte voertuigen")*SUMIFS(TableECFTransport[EnergieConsumptieFactor (PJ per km)],TableECFTransport[Index],CONCATENATE($A6,"_LPG_LPG"))</f>
        <v>3.1239705717273552E-4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9.3883163232012873E-2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3.8643304320142256E-2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8.1301079520067366E-3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1.0912785915547295E-6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4.3258971213837628E-2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3.1918859231273257E-7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2.4838569699404539E-3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1.9592184676864744E-4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4.4737837195079439E-4</v>
      </c>
      <c r="E8" s="422">
        <f>vkm_NGW_PW*SUMIFS(TableVerdeelsleutelVkm[LPG],TableVerdeelsleutelVkm[Voertuigtype],"Lichte voertuigen")*SUMIFS(TableECFTransport[EnergieConsumptieFactor (PJ per km)],TableECFTransport[Index],CONCATENATE($A8,"_LPG_LPG"))</f>
        <v>1.6982713324294142E-4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4.6750027083553594E-2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2.1735357770489547E-2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4.2251704721257555E-3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1.6676579922460064E-7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8.5130299377098873E-3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5.8875574971284105E-8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4.8880350306630487E-4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186.05130078640306</v>
      </c>
      <c r="C14" s="21"/>
      <c r="D14" s="21">
        <f t="shared" ref="D14:M14" si="0">((D5)*10^9/3600)+D12</f>
        <v>343.15162533742227</v>
      </c>
      <c r="E14" s="21">
        <f t="shared" si="0"/>
        <v>133.95116400435469</v>
      </c>
      <c r="F14" s="21"/>
      <c r="G14" s="21">
        <f t="shared" si="0"/>
        <v>53445.886518642772</v>
      </c>
      <c r="H14" s="21">
        <f t="shared" si="0"/>
        <v>16771.955598555302</v>
      </c>
      <c r="I14" s="21"/>
      <c r="J14" s="21"/>
      <c r="K14" s="21"/>
      <c r="L14" s="21"/>
      <c r="M14" s="21">
        <f t="shared" si="0"/>
        <v>4257.7608047609028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0.1998217531450302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37.177097098052393</v>
      </c>
      <c r="C18" s="23"/>
      <c r="D18" s="23">
        <f t="shared" ref="D18:M18" si="1">D14*D16</f>
        <v>69.316628318159303</v>
      </c>
      <c r="E18" s="23">
        <f t="shared" si="1"/>
        <v>30.406914228988516</v>
      </c>
      <c r="F18" s="23"/>
      <c r="G18" s="23">
        <f t="shared" si="1"/>
        <v>14270.051700477621</v>
      </c>
      <c r="H18" s="23">
        <f t="shared" si="1"/>
        <v>4176.2169440402704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1.1580353883038172E-4</v>
      </c>
      <c r="C50" s="315">
        <f t="shared" ref="C50:P50" si="2">SUM(C51:C52)</f>
        <v>0</v>
      </c>
      <c r="D50" s="315">
        <f t="shared" si="2"/>
        <v>0</v>
      </c>
      <c r="E50" s="315">
        <f t="shared" si="2"/>
        <v>0</v>
      </c>
      <c r="F50" s="315">
        <f t="shared" si="2"/>
        <v>0</v>
      </c>
      <c r="G50" s="315">
        <f t="shared" si="2"/>
        <v>7.2496516293994008E-3</v>
      </c>
      <c r="H50" s="315">
        <f t="shared" si="2"/>
        <v>0</v>
      </c>
      <c r="I50" s="315">
        <f t="shared" si="2"/>
        <v>0</v>
      </c>
      <c r="J50" s="315">
        <f t="shared" si="2"/>
        <v>0</v>
      </c>
      <c r="K50" s="315">
        <f t="shared" si="2"/>
        <v>0</v>
      </c>
      <c r="L50" s="315">
        <f t="shared" si="2"/>
        <v>0</v>
      </c>
      <c r="M50" s="315">
        <f t="shared" si="2"/>
        <v>4.1625894414337261E-4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1.1580353883038172E-4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7.2496516293994008E-3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4.1625894414337261E-4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32.167649675106034</v>
      </c>
      <c r="C54" s="21">
        <f t="shared" ref="C54:P54" si="3">(C50)*10^9/3600</f>
        <v>0</v>
      </c>
      <c r="D54" s="21">
        <f t="shared" si="3"/>
        <v>0</v>
      </c>
      <c r="E54" s="21">
        <f t="shared" si="3"/>
        <v>0</v>
      </c>
      <c r="F54" s="21">
        <f t="shared" si="3"/>
        <v>0</v>
      </c>
      <c r="G54" s="21">
        <f t="shared" si="3"/>
        <v>2013.7921192776114</v>
      </c>
      <c r="H54" s="21">
        <f t="shared" si="3"/>
        <v>0</v>
      </c>
      <c r="I54" s="21">
        <f t="shared" si="3"/>
        <v>0</v>
      </c>
      <c r="J54" s="21">
        <f t="shared" si="3"/>
        <v>0</v>
      </c>
      <c r="K54" s="21">
        <f t="shared" si="3"/>
        <v>0</v>
      </c>
      <c r="L54" s="21">
        <f t="shared" si="3"/>
        <v>0</v>
      </c>
      <c r="M54" s="21">
        <f t="shared" si="3"/>
        <v>115.62748448427017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0.1998217531450302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6.4277961526348486</v>
      </c>
      <c r="C58" s="23">
        <f t="shared" ref="C58:P58" ca="1" si="4">C54*C56</f>
        <v>0</v>
      </c>
      <c r="D58" s="23">
        <f t="shared" si="4"/>
        <v>0</v>
      </c>
      <c r="E58" s="23">
        <f t="shared" si="4"/>
        <v>0</v>
      </c>
      <c r="F58" s="23">
        <f t="shared" si="4"/>
        <v>0</v>
      </c>
      <c r="G58" s="23">
        <f t="shared" si="4"/>
        <v>537.68249584712225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8216.4898110294471</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8216.4898110294471</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2021-06-29T14:11:40Z</dcterms:modified>
</cp:coreProperties>
</file>