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P5" i="13"/>
  <c r="P8" i="13" s="1"/>
  <c r="B37" i="13"/>
  <c r="D6" i="17"/>
  <c r="D8" i="17" s="1"/>
  <c r="D12" i="17" s="1"/>
  <c r="E54" i="14" s="1"/>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<sst xmlns="http://schemas.openxmlformats.org/spreadsheetml/2006/main" count="2448" uniqueCount="883">
  <si>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</si>
  <si>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</si>
  <si>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</si>
  <si>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</si>
  <si>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</si>
  <si>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</si>
  <si>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</si>
  <si>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</si>
  <si>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</si>
  <si>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</si>
  <si>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</si>
  <si>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</si>
  <si>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</si>
  <si>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</si>
  <si>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</si>
  <si>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</si>
  <si>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</si>
  <si>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</si>
  <si>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</si>
  <si>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</si>
  <si>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</si>
  <si>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</si>
  <si>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</si>
  <si>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</si>
  <si>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</si>
  <si>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</si>
  <si>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</si>
  <si>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</si>
  <si>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</si>
  <si>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</si>
  <si>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</si>
  <si>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</si>
  <si>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</si>
  <si>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</si>
  <si>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</si>
  <si>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</si>
  <si>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</si>
  <si>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</si>
  <si>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</si>
  <si>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</si>
  <si>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</si>
  <si>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</si>
  <si>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</si>
  <si>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</si>
  <si>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</si>
  <si>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</si>
  <si>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</si>
  <si>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</si>
  <si>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</si>
  <si>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</si>
  <si>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</si>
  <si>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</si>
  <si>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</si>
  <si>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</si>
  <si>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</si>
  <si>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</si>
  <si>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</si>
  <si>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</si>
  <si>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</si>
  <si>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</si>
  <si>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</si>
  <si>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</si>
  <si>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</si>
  <si>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</si>
  <si>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</si>
  <si>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</si>
  <si>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</si>
  <si>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</si>
  <si>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</si>
  <si>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</si>
  <si>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</si>
  <si>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</si>
  <si>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</si>
  <si>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</si>
  <si>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</si>
  <si>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</si>
  <si>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</si>
  <si>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</si>
  <si>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</si>
  <si>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</si>
  <si>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</si>
  <si>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</si>
  <si>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</si>
  <si>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</si>
  <si>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</si>
  <si>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</si>
  <si>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</si>
  <si>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</si>
  <si>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</si>
  <si>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</si>
  <si>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</si>
  <si>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</si>
  <si>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</si>
  <si>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</si>
  <si>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</si>
  <si>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</si>
  <si>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</si>
  <si>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</si>
  <si>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</si>
  <si>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</si>
  <si>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</si>
  <si>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</si>
  <si>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</si>
  <si>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</si>
  <si>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</si>
  <si>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</si>
  <si>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</si>
  <si>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</si>
  <si>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</si>
  <si>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</si>
  <si>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</si>
  <si>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</si>
  <si>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</si>
  <si>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</si>
  <si>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</si>
  <si>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</si>
  <si>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</si>
  <si>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</si>
  <si>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</si>
  <si>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</si>
  <si>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</si>
  <si>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</si>
  <si>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</si>
  <si>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</si>
  <si>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</si>
  <si>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</si>
  <si>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</si>
  <si>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</si>
  <si>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</si>
  <si>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</si>
  <si>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</si>
  <si>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</si>
  <si>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</si>
  <si>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</si>
  <si>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</si>
  <si>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</si>
  <si>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</si>
  <si>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</si>
  <si>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</si>
  <si>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</si>
  <si>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</si>
  <si>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</si>
  <si>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</si>
  <si>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</si>
  <si>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</si>
  <si>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</si>
  <si>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</si>
  <si>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</si>
  <si>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</si>
  <si>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</si>
  <si>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</si>
  <si>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</si>
  <si>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</si>
  <si>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</si>
  <si>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</si>
  <si>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</si>
  <si>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</si>
  <si>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</si>
  <si>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</si>
  <si>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</si>
  <si>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</si>
  <si>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</si>
  <si>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</si>
  <si>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</si>
  <si>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</si>
  <si>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</si>
  <si>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</si>
  <si>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</si>
  <si>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</si>
  <si>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</si>
  <si>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</si>
  <si>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</si>
  <si>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</si>
  <si>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</si>
  <si>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</si>
  <si>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</si>
  <si>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</si>
  <si>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</si>
  <si>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</si>
  <si>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</si>
  <si>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</si>
  <si>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</si>
  <si>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</si>
  <si>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</si>
  <si>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</si>
  <si>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</si>
  <si>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</si>
  <si>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</si>
  <si>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</si>
  <si>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</si>
  <si>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</si>
  <si>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</si>
  <si>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</si>
  <si>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</si>
  <si>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</si>
  <si>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</si>
  <si>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</si>
  <si>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</si>
  <si>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</si>
  <si>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</si>
  <si>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</si>
  <si>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</si>
  <si>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</si>
  <si>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</si>
  <si>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</si>
  <si>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</si>
  <si>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</si>
  <si>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</si>
  <si>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</si>
  <si>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</si>
  <si>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</si>
  <si>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</si>
  <si>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</si>
  <si>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</si>
  <si>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</si>
  <si>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</si>
  <si>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</si>
  <si>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</si>
  <si>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</si>
  <si>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</si>
  <si>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</si>
  <si>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</si>
  <si>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</si>
  <si>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</si>
  <si>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</si>
  <si>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</si>
  <si>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</si>
  <si>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</si>
  <si>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</si>
  <si>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</si>
  <si>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</si>
  <si>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</si>
  <si>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</si>
  <si>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</si>
  <si>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</si>
  <si>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</si>
  <si>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</si>
  <si>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</si>
  <si>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</si>
  <si>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</si>
  <si>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</si>
  <si>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</si>
  <si>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</si>
  <si>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</si>
  <si>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</si>
  <si>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</si>
  <si>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</si>
  <si>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</si>
  <si>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</si>
  <si>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</si>
  <si>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</si>
  <si>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</si>
  <si>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</si>
  <si>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</si>
  <si>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</si>
  <si>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</si>
  <si>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</si>
  <si>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</si>
  <si>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</si>
  <si>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</si>
  <si>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</si>
  <si>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</si>
  <si>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</si>
  <si>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</si>
  <si>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</si>
  <si>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</si>
  <si>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</si>
  <si>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</si>
  <si>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</si>
  <si>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</si>
  <si>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</si>
  <si>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</si>
  <si>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</si>
  <si>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</si>
  <si>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</si>
  <si>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</si>
  <si>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</si>
  <si>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</si>
  <si>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</si>
  <si>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</si>
  <si>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</si>
  <si>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</si>
  <si>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</si>
  <si>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</si>
  <si>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</si>
  <si>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</si>
  <si>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</si>
  <si>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</si>
  <si>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</si>
  <si>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</si>
  <si>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</si>
  <si>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</si>
  <si>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</si>
  <si>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</si>
  <si>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</si>
  <si>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</si>
  <si>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</si>
  <si>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</si>
  <si>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</si>
  <si>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</si>
  <si>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</si>
  <si>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</si>
  <si>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</si>
  <si>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</si>
  <si>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</si>
  <si>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</si>
  <si>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</si>
  <si>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</si>
  <si>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</si>
  <si>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</si>
  <si>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</si>
  <si>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</si>
  <si>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</si>
  <si>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</si>
  <si>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</si>
  <si>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</si>
  <si>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</si>
  <si>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</si>
  <si>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</si>
  <si>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</si>
  <si>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</si>
  <si>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</si>
  <si>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</si>
  <si>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</si>
  <si>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</si>
  <si>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</si>
  <si>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</si>
  <si>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</si>
  <si>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</si>
  <si>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</si>
  <si>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</si>
  <si>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</si>
  <si>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</si>
  <si>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</si>
  <si>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</si>
  <si>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</si>
  <si>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</si>
  <si>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</si>
  <si>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</si>
  <si>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</si>
  <si>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</si>
  <si>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</si>
  <si>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</si>
  <si>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</si>
  <si>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</si>
  <si>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</si>
  <si>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</si>
  <si>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</si>
  <si>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</si>
  <si>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</si>
  <si>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</si>
  <si>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</si>
  <si>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</si>
  <si>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</si>
  <si>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</si>
  <si>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</si>
  <si>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</si>
  <si>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</si>
  <si>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</si>
  <si>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</si>
  <si>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</si>
  <si>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</si>
  <si>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</si>
  <si>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</si>
  <si>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</si>
  <si>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</si>
  <si>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</si>
  <si>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</si>
  <si>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</si>
  <si>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</si>
  <si>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</si>
  <si>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</si>
  <si>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</si>
  <si>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</si>
  <si>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</si>
  <si>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</si>
  <si>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</si>
  <si>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</si>
  <si>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</si>
  <si>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</si>
  <si>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</si>
  <si>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</si>
  <si>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</si>
  <si>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</si>
  <si>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</si>
  <si>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</si>
  <si>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</si>
  <si>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</si>
  <si>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</si>
  <si>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</si>
  <si>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</si>
  <si>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</si>
  <si>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</si>
  <si>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</si>
  <si>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</si>
  <si>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</si>
  <si>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</si>
  <si>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</si>
  <si>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</si>
  <si>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</si>
  <si>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</si>
  <si>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</si>
  <si>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</si>
  <si>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</si>
  <si>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</si>
  <si>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</si>
  <si>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</si>
  <si>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</si>
  <si>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</si>
  <si>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</si>
  <si>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</si>
  <si>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</si>
  <si>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</si>
  <si>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</si>
  <si>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</si>
  <si>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</si>
  <si>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</si>
  <si>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</si>
  <si>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</si>
  <si>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</si>
  <si>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</si>
  <si>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</si>
  <si>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</si>
  <si>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</si>
  <si>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</si>
  <si>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</si>
  <si>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</si>
  <si>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</si>
  <si>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</si>
  <si>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</si>
  <si>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</si>
  <si>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</si>
  <si>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</si>
  <si>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</si>
  <si>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</si>
  <si>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</si>
  <si>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</si>
  <si>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</si>
  <si>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</si>
  <si>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</si>
  <si>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</si>
  <si>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</si>
  <si>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</si>
  <si>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</si>
  <si>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</si>
  <si>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</si>
  <si>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</si>
  <si>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</si>
  <si>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</si>
  <si>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</si>
  <si>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</si>
  <si>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</si>
  <si>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</si>
  <si>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</si>
  <si>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</si>
  <si>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</si>
  <si>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</si>
  <si>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</si>
  <si>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</si>
  <si>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</si>
  <si>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</si>
  <si>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</si>
  <si>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</si>
  <si>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</si>
  <si>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</si>
  <si>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</si>
  <si>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</si>
  <si>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</si>
  <si>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</si>
  <si>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</si>
  <si>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</si>
  <si>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</si>
  <si>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</si>
  <si>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</si>
  <si>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</si>
  <si>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</si>
  <si>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</si>
  <si>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</si>
  <si>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</si>
  <si>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</si>
  <si>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</si>
  <si>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</si>
  <si>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</si>
  <si>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</si>
  <si>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</si>
  <si>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</si>
  <si>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</si>
  <si>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</si>
  <si>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</si>
  <si>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</si>
  <si>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</si>
  <si>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</si>
  <si>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</si>
  <si>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</si>
  <si>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</si>
  <si>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</si>
  <si>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</si>
  <si>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</si>
  <si>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</si>
  <si>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</si>
  <si>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</si>
  <si>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</si>
  <si>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</si>
  <si>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</si>
  <si>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</si>
  <si>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</si>
  <si>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</si>
  <si>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</si>
  <si>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</si>
  <si>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</si>
  <si>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</si>
  <si>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</si>
  <si>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</si>
  <si>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</si>
  <si>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</si>
  <si>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</si>
  <si>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</si>
  <si>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</si>
  <si>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</si>
  <si>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</si>
  <si>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</si>
  <si>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</si>
  <si>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</si>
  <si>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</si>
  <si>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</si>
  <si>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</si>
  <si>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</si>
  <si>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</si>
  <si>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</si>
  <si>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</si>
  <si>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</si>
  <si>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</si>
  <si>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</si>
  <si>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</si>
  <si>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</si>
  <si>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</si>
  <si>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</si>
  <si>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</si>
  <si>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</si>
  <si>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</si>
  <si>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</si>
  <si>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</si>
  <si>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</si>
  <si>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</si>
  <si>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</si>
  <si>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</si>
  <si>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</si>
  <si>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</si>
  <si>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</si>
  <si>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</si>
  <si>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</si>
  <si>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</si>
  <si>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</si>
  <si>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</si>
  <si>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</si>
  <si>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</si>
  <si>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</si>
  <si>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</si>
  <si>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</si>
  <si>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</si>
  <si>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</si>
  <si>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</si>
  <si>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</si>
  <si>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</si>
  <si>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</si>
  <si>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</si>
  <si>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</si>
  <si>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</si>
  <si>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</si>
  <si>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</si>
  <si>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</si>
  <si>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</si>
  <si>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</si>
  <si>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</si>
  <si>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</si>
  <si>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</si>
  <si>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</si>
  <si>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</si>
  <si>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</si>
  <si>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</si>
  <si>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</si>
  <si>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</si>
  <si>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</si>
  <si>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</si>
  <si>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</si>
  <si>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</si>
  <si>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</si>
  <si>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</si>
  <si>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</si>
  <si>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</si>
  <si>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</si>
  <si>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</si>
  <si>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</si>
  <si>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</si>
  <si>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</si>
  <si>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</si>
  <si>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</si>
  <si>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</si>
  <si>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</si>
  <si>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</si>
  <si>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</si>
  <si>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</si>
  <si>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</si>
  <si>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</si>
  <si>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</si>
  <si>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</si>
  <si>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</si>
  <si>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</si>
  <si>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</si>
  <si>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</si>
  <si>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</si>
  <si>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</si>
  <si>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</si>
  <si>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</si>
  <si>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</si>
  <si>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</si>
  <si>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</si>
  <si>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</si>
  <si>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</si>
  <si>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</si>
  <si>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</si>
  <si>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</si>
  <si>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</si>
  <si>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</si>
  <si>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</si>
  <si>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</si>
  <si>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</si>
  <si>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</si>
  <si>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</si>
  <si>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</si>
  <si>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</si>
  <si>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</si>
  <si>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</si>
  <si>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</si>
  <si>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</si>
  <si>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</si>
  <si>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</si>
  <si>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</si>
  <si>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</si>
  <si>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</si>
  <si>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</si>
  <si>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</si>
  <si>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</si>
  <si>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</si>
  <si>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</si>
  <si>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</si>
  <si>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</si>
  <si>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</si>
  <si>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</si>
  <si>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</si>
  <si>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</si>
  <si>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</si>
  <si>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</si>
  <si>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</si>
  <si>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</si>
  <si>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</si>
  <si>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</si>
  <si>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</si>
  <si>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</si>
  <si>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</si>
  <si>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</si>
  <si>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</si>
  <si>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</si>
  <si>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</si>
  <si>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</si>
  <si>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</si>
  <si>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</si>
  <si>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</si>
  <si>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</si>
  <si>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</si>
  <si>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</si>
  <si>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</si>
  <si>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</si>
  <si>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</si>
  <si>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</si>
  <si>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</si>
  <si>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</si>
  <si>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</si>
  <si>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</si>
  <si>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</si>
  <si>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</si>
  <si>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</si>
  <si>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</si>
  <si>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</si>
  <si>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</si>
  <si>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</si>
  <si>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</si>
  <si>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</si>
  <si>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</si>
  <si>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</si>
  <si>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</si>
  <si>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</si>
  <si>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</si>
  <si>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</si>
  <si>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</si>
  <si>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</si>
  <si>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</si>
  <si>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</si>
  <si>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</si>
  <si>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</si>
  <si>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</si>
  <si>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</si>
  <si>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</si>
  <si>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</si>
  <si>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</si>
  <si>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</si>
  <si>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</si>
  <si>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</si>
  <si>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</si>
  <si>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</si>
  <si>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</si>
  <si>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</si>
  <si>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</si>
  <si>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</si>
  <si>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</si>
  <si>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</si>
  <si>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</si>
  <si>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</si>
  <si>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</si>
  <si>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</si>
  <si>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</si>
  <si>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</si>
  <si>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</si>
  <si>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</si>
  <si>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</si>
  <si>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</si>
  <si>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</si>
  <si>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</si>
  <si>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</si>
  <si>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</si>
  <si>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</si>
  <si>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</si>
  <si>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</si>
  <si>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</si>
  <si>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</si>
  <si>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</si>
  <si>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</si>
  <si>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</si>
  <si>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</si>
  <si>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</si>
  <si>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</si>
  <si>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</si>
  <si>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</si>
  <si>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</si>
  <si>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</si>
  <si>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</si>
  <si>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</si>
  <si>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</si>
  <si>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</si>
  <si>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</si>
  <si>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</si>
  <si>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</si>
  <si>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</si>
  <si>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</si>
  <si>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</si>
  <si>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</si>
  <si>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</si>
  <si>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</si>
  <si>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</si>
  <si>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</si>
  <si>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</si>
  <si>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</si>
  <si>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</si>
  <si>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</si>
  <si>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</si>
  <si>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</si>
  <si>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</si>
  <si>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</si>
  <si>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</si>
  <si>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</si>
  <si>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</si>
  <si>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</si>
  <si>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</si>
  <si>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</si>
  <si>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</si>
  <si>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</si>
  <si>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</si>
  <si>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</si>
  <si>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</si>
  <si>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</si>
  <si>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</si>
  <si>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</si>
  <si>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</si>
  <si>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</si>
  <si>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</si>
  <si>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</si>
  <si>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</si>
  <si>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</si>
  <si>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</si>
  <si>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</si>
  <si>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</si>
  <si>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</si>
  <si>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</si>
  <si>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</si>
  <si>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</si>
  <si>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</si>
  <si>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</si>
  <si>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</si>
  <si>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</si>
  <si>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</si>
  <si>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</si>
  <si>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</si>
  <si>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</si>
  <si>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</si>
  <si>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</si>
  <si>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</si>
  <si>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</si>
  <si>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</si>
  <si>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</si>
  <si>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</si>
  <si>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</si>
  <si>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</si>
  <si>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</si>
  <si>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</si>
  <si>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</si>
  <si>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</si>
  <si>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</si>
  <si>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</si>
  <si>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</si>
  <si>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</si>
  <si>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</si>
  <si>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</si>
  <si>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</si>
  <si>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</si>
  <si>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</si>
  <si>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</si>
  <si>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</si>
  <si>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</si>
  <si>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</si>
  <si>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</si>
  <si>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</si>
  <si>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</si>
  <si>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</si>
  <si>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</si>
  <si>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</si>
  <si>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</si>
  <si>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</si>
  <si>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</si>
  <si>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</si>
  <si>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</si>
  <si>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</si>
  <si>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</si>
  <si>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</si>
  <si>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</si>
  <si>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</si>
  <si>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</si>
  <si>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</si>
  <si>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</si>
  <si>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</si>
  <si>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</si>
  <si>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</si>
  <si>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</si>
  <si>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</si>
  <si>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</si>
  <si>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</si>
  <si>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</si>
  <si>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</si>
  <si>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</si>
  <si>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</si>
  <si>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</si>
  <si>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</si>
  <si>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</si>
  <si>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</si>
  <si>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</si>
  <si>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</si>
  <si>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</si>
  <si>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</si>
  <si>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</si>
  <si>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</si>
  <si>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</si>
  <si>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</si>
  <si>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</si>
  <si>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</si>
  <si>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</si>
  <si>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</si>
  <si>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</si>
  <si>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</si>
  <si>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</si>
  <si>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</si>
  <si>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73032</t>
  </si>
  <si>
    <t>HOESELT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</si>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</sst>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79687.332974728997</c:v>
                </c:pt>
                <c:pt idx="1">
                  <c:v>20050.903470651432</c:v>
                </c:pt>
                <c:pt idx="2">
                  <c:v>589.31939599999998</c:v>
                </c:pt>
                <c:pt idx="3">
                  <c:v>5122.4862416412734</c:v>
                </c:pt>
                <c:pt idx="4">
                  <c:v>8598.775438478453</c:v>
                </c:pt>
                <c:pt idx="5">
                  <c:v>92015.314413337692</c:v>
                </c:pt>
                <c:pt idx="6">
                  <c:v>480.25310969935401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79687.332974728997</c:v>
                </c:pt>
                <c:pt idx="1">
                  <c:v>20050.903470651432</c:v>
                </c:pt>
                <c:pt idx="2">
                  <c:v>589.31939599999998</c:v>
                </c:pt>
                <c:pt idx="3">
                  <c:v>5122.4862416412734</c:v>
                </c:pt>
                <c:pt idx="4">
                  <c:v>8598.775438478453</c:v>
                </c:pt>
                <c:pt idx="5">
                  <c:v>92015.314413337692</c:v>
                </c:pt>
                <c:pt idx="6">
                  <c:v>480.25310969935401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16715.33842326091</c:v>
                </c:pt>
                <c:pt idx="1">
                  <c:v>3901.2324869869976</c:v>
                </c:pt>
                <c:pt idx="2">
                  <c:v>109.22944824930617</c:v>
                </c:pt>
                <c:pt idx="3">
                  <c:v>1290.9352283924754</c:v>
                </c:pt>
                <c:pt idx="4">
                  <c:v>1616.658320651489</c:v>
                </c:pt>
                <c:pt idx="5">
                  <c:v>22884.111853753893</c:v>
                </c:pt>
                <c:pt idx="6">
                  <c:v>121.09166694721839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16715.33842326091</c:v>
                </c:pt>
                <c:pt idx="1">
                  <c:v>3901.2324869869976</c:v>
                </c:pt>
                <c:pt idx="2">
                  <c:v>109.22944824930617</c:v>
                </c:pt>
                <c:pt idx="3">
                  <c:v>1290.9352283924754</c:v>
                </c:pt>
                <c:pt idx="4">
                  <c:v>1616.658320651489</c:v>
                </c:pt>
                <c:pt idx="5">
                  <c:v>22884.111853753893</c:v>
                </c:pt>
                <c:pt idx="6">
                  <c:v>121.09166694721839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73032</v>
      </c>
      <c r="B6" s="386"/>
      <c r="C6" s="387"/>
    </row>
    <row r="7" spans="1:7" s="384" customFormat="1" ht="15.75" customHeight="1">
      <c r="A7" s="388" t="str">
        <f>txtMunicipality</f>
        <v>HOESELT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9364.4075099999991</v>
      </c>
      <c r="D10" s="682">
        <f ca="1">tertiair!C16</f>
        <v>0</v>
      </c>
      <c r="E10" s="682">
        <f ca="1">tertiair!D16</f>
        <v>9404.592790319999</v>
      </c>
      <c r="F10" s="682">
        <f>tertiair!E16</f>
        <v>33.325649348180484</v>
      </c>
      <c r="G10" s="682">
        <f ca="1">tertiair!F16</f>
        <v>1376.3549416495282</v>
      </c>
      <c r="H10" s="682">
        <f>tertiair!G16</f>
        <v>0</v>
      </c>
      <c r="I10" s="682">
        <f>tertiair!H16</f>
        <v>0</v>
      </c>
      <c r="J10" s="682">
        <f>tertiair!I16</f>
        <v>0</v>
      </c>
      <c r="K10" s="682">
        <f>tertiair!J16</f>
        <v>1.1010080908934348E-2</v>
      </c>
      <c r="L10" s="682">
        <f>tertiair!K16</f>
        <v>0</v>
      </c>
      <c r="M10" s="682">
        <f ca="1">tertiair!L16</f>
        <v>0</v>
      </c>
      <c r="N10" s="682">
        <f>tertiair!M16</f>
        <v>0</v>
      </c>
      <c r="O10" s="682">
        <f ca="1">tertiair!N16</f>
        <v>404.09456618047568</v>
      </c>
      <c r="P10" s="682">
        <f>tertiair!O16</f>
        <v>4.8972607658411542</v>
      </c>
      <c r="Q10" s="683">
        <f>tertiair!P16</f>
        <v>52.539138306495019</v>
      </c>
      <c r="R10" s="685">
        <f ca="1">SUM(C10:Q10)</f>
        <v>20640.222866651431</v>
      </c>
      <c r="S10" s="67"/>
    </row>
    <row r="11" spans="1:19" s="445" customFormat="1">
      <c r="A11" s="803" t="s">
        <v>220</v>
      </c>
      <c r="B11" s="808"/>
      <c r="C11" s="682">
        <f>huishoudens!B8</f>
        <v>16275.160669820465</v>
      </c>
      <c r="D11" s="682">
        <f>huishoudens!C8</f>
        <v>0</v>
      </c>
      <c r="E11" s="682">
        <f>huishoudens!D8</f>
        <v>23135.621907152996</v>
      </c>
      <c r="F11" s="682">
        <f>huishoudens!E8</f>
        <v>1425.3956868938869</v>
      </c>
      <c r="G11" s="682">
        <f>huishoudens!F8</f>
        <v>32376.267447815328</v>
      </c>
      <c r="H11" s="682">
        <f>huishoudens!G8</f>
        <v>0</v>
      </c>
      <c r="I11" s="682">
        <f>huishoudens!H8</f>
        <v>0</v>
      </c>
      <c r="J11" s="682">
        <f>huishoudens!I8</f>
        <v>0</v>
      </c>
      <c r="K11" s="682">
        <f>huishoudens!J8</f>
        <v>161.97300353793125</v>
      </c>
      <c r="L11" s="682">
        <f>huishoudens!K8</f>
        <v>0</v>
      </c>
      <c r="M11" s="682">
        <f>huishoudens!L8</f>
        <v>0</v>
      </c>
      <c r="N11" s="682">
        <f>huishoudens!M8</f>
        <v>0</v>
      </c>
      <c r="O11" s="682">
        <f>huishoudens!N8</f>
        <v>5731.1865324671307</v>
      </c>
      <c r="P11" s="682">
        <f>huishoudens!O8</f>
        <v>234.10706988766975</v>
      </c>
      <c r="Q11" s="683">
        <f>huishoudens!P8</f>
        <v>347.62065715360575</v>
      </c>
      <c r="R11" s="685">
        <f>SUM(C11:Q11)</f>
        <v>79687.332974728997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5502.9622099999997</v>
      </c>
      <c r="D13" s="682">
        <f>industrie!C18</f>
        <v>0</v>
      </c>
      <c r="E13" s="682">
        <f>industrie!D18</f>
        <v>2513.1057761249995</v>
      </c>
      <c r="F13" s="682">
        <f>industrie!E18</f>
        <v>15.186848105799626</v>
      </c>
      <c r="G13" s="682">
        <f>industrie!F18</f>
        <v>319.1567069701195</v>
      </c>
      <c r="H13" s="682">
        <f>industrie!G18</f>
        <v>0</v>
      </c>
      <c r="I13" s="682">
        <f>industrie!H18</f>
        <v>0</v>
      </c>
      <c r="J13" s="682">
        <f>industrie!I18</f>
        <v>0</v>
      </c>
      <c r="K13" s="682">
        <f>industrie!J18</f>
        <v>1.0821294207568042</v>
      </c>
      <c r="L13" s="682">
        <f>industrie!K18</f>
        <v>0</v>
      </c>
      <c r="M13" s="682">
        <f>industrie!L18</f>
        <v>0</v>
      </c>
      <c r="N13" s="682">
        <f>industrie!M18</f>
        <v>0</v>
      </c>
      <c r="O13" s="682">
        <f>industrie!N18</f>
        <v>247.28176785677982</v>
      </c>
      <c r="P13" s="682">
        <f>industrie!O18</f>
        <v>0</v>
      </c>
      <c r="Q13" s="683">
        <f>industrie!P18</f>
        <v>0</v>
      </c>
      <c r="R13" s="685">
        <f>SUM(C13:Q13)</f>
        <v>8598.775438478453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31142.530389820466</v>
      </c>
      <c r="D16" s="718">
        <f t="shared" ref="D16:R16" ca="1" si="0">SUM(D9:D15)</f>
        <v>0</v>
      </c>
      <c r="E16" s="718">
        <f t="shared" ca="1" si="0"/>
        <v>35053.320473597996</v>
      </c>
      <c r="F16" s="718">
        <f t="shared" si="0"/>
        <v>1473.9081843478668</v>
      </c>
      <c r="G16" s="718">
        <f t="shared" ca="1" si="0"/>
        <v>34071.779096434977</v>
      </c>
      <c r="H16" s="718">
        <f t="shared" si="0"/>
        <v>0</v>
      </c>
      <c r="I16" s="718">
        <f t="shared" si="0"/>
        <v>0</v>
      </c>
      <c r="J16" s="718">
        <f t="shared" si="0"/>
        <v>0</v>
      </c>
      <c r="K16" s="718">
        <f t="shared" si="0"/>
        <v>163.06614303959699</v>
      </c>
      <c r="L16" s="718">
        <f t="shared" si="0"/>
        <v>0</v>
      </c>
      <c r="M16" s="718">
        <f t="shared" ca="1" si="0"/>
        <v>0</v>
      </c>
      <c r="N16" s="718">
        <f t="shared" si="0"/>
        <v>0</v>
      </c>
      <c r="O16" s="718">
        <f t="shared" ca="1" si="0"/>
        <v>6382.562866504386</v>
      </c>
      <c r="P16" s="718">
        <f t="shared" si="0"/>
        <v>239.00433065351092</v>
      </c>
      <c r="Q16" s="718">
        <f t="shared" si="0"/>
        <v>400.15979546010078</v>
      </c>
      <c r="R16" s="718">
        <f t="shared" ca="1" si="0"/>
        <v>108926.33127985887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6.2926575074247495</v>
      </c>
      <c r="D19" s="682">
        <f>transport!C54</f>
        <v>0</v>
      </c>
      <c r="E19" s="682">
        <f>transport!D54</f>
        <v>0</v>
      </c>
      <c r="F19" s="682">
        <f>transport!E54</f>
        <v>0</v>
      </c>
      <c r="G19" s="682">
        <f>transport!F54</f>
        <v>0</v>
      </c>
      <c r="H19" s="682">
        <f>transport!G54</f>
        <v>449.15854871717113</v>
      </c>
      <c r="I19" s="682">
        <f>transport!H54</f>
        <v>0</v>
      </c>
      <c r="J19" s="682">
        <f>transport!I54</f>
        <v>0</v>
      </c>
      <c r="K19" s="682">
        <f>transport!J54</f>
        <v>0</v>
      </c>
      <c r="L19" s="682">
        <f>transport!K54</f>
        <v>0</v>
      </c>
      <c r="M19" s="682">
        <f>transport!L54</f>
        <v>0</v>
      </c>
      <c r="N19" s="682">
        <f>transport!M54</f>
        <v>24.801903474758159</v>
      </c>
      <c r="O19" s="682">
        <f>transport!N54</f>
        <v>0</v>
      </c>
      <c r="P19" s="682">
        <f>transport!O54</f>
        <v>0</v>
      </c>
      <c r="Q19" s="683">
        <f>transport!P54</f>
        <v>0</v>
      </c>
      <c r="R19" s="685">
        <f>SUM(C19:Q19)</f>
        <v>480.25310969935401</v>
      </c>
      <c r="S19" s="67"/>
    </row>
    <row r="20" spans="1:19" s="445" customFormat="1">
      <c r="A20" s="803" t="s">
        <v>302</v>
      </c>
      <c r="B20" s="808"/>
      <c r="C20" s="682">
        <f>transport!B14</f>
        <v>161.19458856485258</v>
      </c>
      <c r="D20" s="682">
        <f>transport!C14</f>
        <v>0</v>
      </c>
      <c r="E20" s="682">
        <f>transport!D14</f>
        <v>260.11985490661488</v>
      </c>
      <c r="F20" s="682">
        <f>transport!E14</f>
        <v>160.79048331676825</v>
      </c>
      <c r="G20" s="682">
        <f>transport!F14</f>
        <v>0</v>
      </c>
      <c r="H20" s="682">
        <f>transport!G14</f>
        <v>70130.751005298749</v>
      </c>
      <c r="I20" s="682">
        <f>transport!H14</f>
        <v>16226.026163095459</v>
      </c>
      <c r="J20" s="682">
        <f>transport!I14</f>
        <v>0</v>
      </c>
      <c r="K20" s="682">
        <f>transport!J14</f>
        <v>0</v>
      </c>
      <c r="L20" s="682">
        <f>transport!K14</f>
        <v>0</v>
      </c>
      <c r="M20" s="682">
        <f>transport!L14</f>
        <v>0</v>
      </c>
      <c r="N20" s="682">
        <f>transport!M14</f>
        <v>5076.4323181552427</v>
      </c>
      <c r="O20" s="682">
        <f>transport!N14</f>
        <v>0</v>
      </c>
      <c r="P20" s="682">
        <f>transport!O14</f>
        <v>0</v>
      </c>
      <c r="Q20" s="683">
        <f>transport!P14</f>
        <v>0</v>
      </c>
      <c r="R20" s="685">
        <f>SUM(C20:Q20)</f>
        <v>92015.314413337692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167.48724607227734</v>
      </c>
      <c r="D22" s="806">
        <f t="shared" ref="D22:R22" si="1">SUM(D18:D21)</f>
        <v>0</v>
      </c>
      <c r="E22" s="806">
        <f t="shared" si="1"/>
        <v>260.11985490661488</v>
      </c>
      <c r="F22" s="806">
        <f t="shared" si="1"/>
        <v>160.79048331676825</v>
      </c>
      <c r="G22" s="806">
        <f t="shared" si="1"/>
        <v>0</v>
      </c>
      <c r="H22" s="806">
        <f t="shared" si="1"/>
        <v>70579.909554015918</v>
      </c>
      <c r="I22" s="806">
        <f t="shared" si="1"/>
        <v>16226.026163095459</v>
      </c>
      <c r="J22" s="806">
        <f t="shared" si="1"/>
        <v>0</v>
      </c>
      <c r="K22" s="806">
        <f t="shared" si="1"/>
        <v>0</v>
      </c>
      <c r="L22" s="806">
        <f t="shared" si="1"/>
        <v>0</v>
      </c>
      <c r="M22" s="806">
        <f t="shared" si="1"/>
        <v>0</v>
      </c>
      <c r="N22" s="806">
        <f t="shared" si="1"/>
        <v>5101.2342216300012</v>
      </c>
      <c r="O22" s="806">
        <f t="shared" si="1"/>
        <v>0</v>
      </c>
      <c r="P22" s="806">
        <f t="shared" si="1"/>
        <v>0</v>
      </c>
      <c r="Q22" s="806">
        <f t="shared" si="1"/>
        <v>0</v>
      </c>
      <c r="R22" s="806">
        <f t="shared" si="1"/>
        <v>92495.56752303704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1089.8738410000001</v>
      </c>
      <c r="D24" s="682">
        <f>+landbouw!C8</f>
        <v>0</v>
      </c>
      <c r="E24" s="682">
        <f>+landbouw!D8</f>
        <v>169.89852352199998</v>
      </c>
      <c r="F24" s="682">
        <f>+landbouw!E8</f>
        <v>40.644729217158513</v>
      </c>
      <c r="G24" s="682">
        <f>+landbouw!F8</f>
        <v>3535.9718840336736</v>
      </c>
      <c r="H24" s="682">
        <f>+landbouw!G8</f>
        <v>0</v>
      </c>
      <c r="I24" s="682">
        <f>+landbouw!H8</f>
        <v>0</v>
      </c>
      <c r="J24" s="682">
        <f>+landbouw!I8</f>
        <v>0</v>
      </c>
      <c r="K24" s="682">
        <f>+landbouw!J8</f>
        <v>286.09726386844039</v>
      </c>
      <c r="L24" s="682">
        <f>+landbouw!K8</f>
        <v>0</v>
      </c>
      <c r="M24" s="682">
        <f>+landbouw!L8</f>
        <v>0</v>
      </c>
      <c r="N24" s="682">
        <f>+landbouw!M8</f>
        <v>0</v>
      </c>
      <c r="O24" s="682">
        <f>+landbouw!N8</f>
        <v>0</v>
      </c>
      <c r="P24" s="682">
        <f>+landbouw!O8</f>
        <v>0</v>
      </c>
      <c r="Q24" s="683">
        <f>+landbouw!P8</f>
        <v>0</v>
      </c>
      <c r="R24" s="685">
        <f>SUM(C24:Q24)</f>
        <v>5122.4862416412734</v>
      </c>
      <c r="S24" s="67"/>
    </row>
    <row r="25" spans="1:19" s="445" customFormat="1" ht="15" thickBot="1">
      <c r="A25" s="825" t="s">
        <v>703</v>
      </c>
      <c r="B25" s="938"/>
      <c r="C25" s="939">
        <f>IF(Onbekend_ele_kWh="---",0,Onbekend_ele_kWh)/1000+IF(REST_rest_ele_kWh="---",0,REST_rest_ele_kWh)/1000</f>
        <v>316.92125500000003</v>
      </c>
      <c r="D25" s="939"/>
      <c r="E25" s="939">
        <f>IF(onbekend_gas_kWh="---",0,onbekend_gas_kWh)/1000+IF(REST_rest_gas_kWh="---",0,REST_rest_gas_kWh)/1000</f>
        <v>778.42376400000001</v>
      </c>
      <c r="F25" s="939"/>
      <c r="G25" s="939"/>
      <c r="H25" s="939"/>
      <c r="I25" s="939"/>
      <c r="J25" s="939"/>
      <c r="K25" s="939"/>
      <c r="L25" s="939"/>
      <c r="M25" s="939"/>
      <c r="N25" s="939"/>
      <c r="O25" s="939"/>
      <c r="P25" s="939"/>
      <c r="Q25" s="940"/>
      <c r="R25" s="685">
        <f>SUM(C25:Q25)</f>
        <v>1095.3450190000001</v>
      </c>
      <c r="S25" s="67"/>
    </row>
    <row r="26" spans="1:19" s="445" customFormat="1" ht="15.75" thickBot="1">
      <c r="A26" s="690" t="s">
        <v>704</v>
      </c>
      <c r="B26" s="811"/>
      <c r="C26" s="806">
        <f>SUM(C24:C25)</f>
        <v>1406.7950960000001</v>
      </c>
      <c r="D26" s="806">
        <f t="shared" ref="D26:R26" si="2">SUM(D24:D25)</f>
        <v>0</v>
      </c>
      <c r="E26" s="806">
        <f t="shared" si="2"/>
        <v>948.32228752200001</v>
      </c>
      <c r="F26" s="806">
        <f t="shared" si="2"/>
        <v>40.644729217158513</v>
      </c>
      <c r="G26" s="806">
        <f t="shared" si="2"/>
        <v>3535.9718840336736</v>
      </c>
      <c r="H26" s="806">
        <f t="shared" si="2"/>
        <v>0</v>
      </c>
      <c r="I26" s="806">
        <f t="shared" si="2"/>
        <v>0</v>
      </c>
      <c r="J26" s="806">
        <f t="shared" si="2"/>
        <v>0</v>
      </c>
      <c r="K26" s="806">
        <f t="shared" si="2"/>
        <v>286.09726386844039</v>
      </c>
      <c r="L26" s="806">
        <f t="shared" si="2"/>
        <v>0</v>
      </c>
      <c r="M26" s="806">
        <f t="shared" si="2"/>
        <v>0</v>
      </c>
      <c r="N26" s="806">
        <f t="shared" si="2"/>
        <v>0</v>
      </c>
      <c r="O26" s="806">
        <f t="shared" si="2"/>
        <v>0</v>
      </c>
      <c r="P26" s="806">
        <f t="shared" si="2"/>
        <v>0</v>
      </c>
      <c r="Q26" s="806">
        <f t="shared" si="2"/>
        <v>0</v>
      </c>
      <c r="R26" s="806">
        <f t="shared" si="2"/>
        <v>6217.8312606412737</v>
      </c>
      <c r="S26" s="67"/>
    </row>
    <row r="27" spans="1:19" s="445" customFormat="1" ht="17.25" thickTop="1" thickBot="1">
      <c r="A27" s="691" t="s">
        <v>115</v>
      </c>
      <c r="B27" s="798"/>
      <c r="C27" s="692">
        <f ca="1">C22+C16+C26</f>
        <v>32716.812731892744</v>
      </c>
      <c r="D27" s="692">
        <f t="shared" ref="D27:R27" ca="1" si="3">D22+D16+D26</f>
        <v>0</v>
      </c>
      <c r="E27" s="692">
        <f t="shared" ca="1" si="3"/>
        <v>36261.762616026615</v>
      </c>
      <c r="F27" s="692">
        <f t="shared" si="3"/>
        <v>1675.3433968817938</v>
      </c>
      <c r="G27" s="692">
        <f t="shared" ca="1" si="3"/>
        <v>37607.750980468649</v>
      </c>
      <c r="H27" s="692">
        <f t="shared" si="3"/>
        <v>70579.909554015918</v>
      </c>
      <c r="I27" s="692">
        <f t="shared" si="3"/>
        <v>16226.026163095459</v>
      </c>
      <c r="J27" s="692">
        <f t="shared" si="3"/>
        <v>0</v>
      </c>
      <c r="K27" s="692">
        <f t="shared" si="3"/>
        <v>449.16340690803736</v>
      </c>
      <c r="L27" s="692">
        <f t="shared" si="3"/>
        <v>0</v>
      </c>
      <c r="M27" s="692">
        <f t="shared" ca="1" si="3"/>
        <v>0</v>
      </c>
      <c r="N27" s="692">
        <f t="shared" si="3"/>
        <v>5101.2342216300012</v>
      </c>
      <c r="O27" s="692">
        <f t="shared" ca="1" si="3"/>
        <v>6382.562866504386</v>
      </c>
      <c r="P27" s="692">
        <f t="shared" si="3"/>
        <v>239.00433065351092</v>
      </c>
      <c r="Q27" s="692">
        <f t="shared" si="3"/>
        <v>400.15979546010078</v>
      </c>
      <c r="R27" s="692">
        <f t="shared" ca="1" si="3"/>
        <v>207639.73006353719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1735.678602200561</v>
      </c>
      <c r="D40" s="682">
        <f ca="1">tertiair!C20</f>
        <v>0</v>
      </c>
      <c r="E40" s="682">
        <f ca="1">tertiair!D20</f>
        <v>1899.72774364464</v>
      </c>
      <c r="F40" s="682">
        <f>tertiair!E20</f>
        <v>7.5649224020369701</v>
      </c>
      <c r="G40" s="682">
        <f ca="1">tertiair!F20</f>
        <v>367.48676942042403</v>
      </c>
      <c r="H40" s="682">
        <f>tertiair!G20</f>
        <v>0</v>
      </c>
      <c r="I40" s="682">
        <f>tertiair!H20</f>
        <v>0</v>
      </c>
      <c r="J40" s="682">
        <f>tertiair!I20</f>
        <v>0</v>
      </c>
      <c r="K40" s="682">
        <f>tertiair!J20</f>
        <v>3.8975686417627589E-3</v>
      </c>
      <c r="L40" s="682">
        <f>tertiair!K20</f>
        <v>0</v>
      </c>
      <c r="M40" s="682">
        <f ca="1">tertiair!L20</f>
        <v>0</v>
      </c>
      <c r="N40" s="682">
        <f>tertiair!M20</f>
        <v>0</v>
      </c>
      <c r="O40" s="682">
        <f ca="1">tertiair!N20</f>
        <v>0</v>
      </c>
      <c r="P40" s="682">
        <f>tertiair!O20</f>
        <v>0</v>
      </c>
      <c r="Q40" s="765">
        <f>tertiair!P20</f>
        <v>0</v>
      </c>
      <c r="R40" s="844">
        <f t="shared" ca="1" si="4"/>
        <v>4010.4619352363038</v>
      </c>
    </row>
    <row r="41" spans="1:18">
      <c r="A41" s="816" t="s">
        <v>220</v>
      </c>
      <c r="B41" s="823"/>
      <c r="C41" s="682">
        <f ca="1">huishoudens!B12</f>
        <v>3016.5761252719699</v>
      </c>
      <c r="D41" s="682">
        <f ca="1">huishoudens!C12</f>
        <v>0</v>
      </c>
      <c r="E41" s="682">
        <f>huishoudens!D12</f>
        <v>4673.3956252449052</v>
      </c>
      <c r="F41" s="682">
        <f>huishoudens!E12</f>
        <v>323.56482092491234</v>
      </c>
      <c r="G41" s="682">
        <f>huishoudens!F12</f>
        <v>8644.463408566693</v>
      </c>
      <c r="H41" s="682">
        <f>huishoudens!G12</f>
        <v>0</v>
      </c>
      <c r="I41" s="682">
        <f>huishoudens!H12</f>
        <v>0</v>
      </c>
      <c r="J41" s="682">
        <f>huishoudens!I12</f>
        <v>0</v>
      </c>
      <c r="K41" s="682">
        <f>huishoudens!J12</f>
        <v>57.338443252427659</v>
      </c>
      <c r="L41" s="682">
        <f>huishoudens!K12</f>
        <v>0</v>
      </c>
      <c r="M41" s="682">
        <f>huishoudens!L12</f>
        <v>0</v>
      </c>
      <c r="N41" s="682">
        <f>huishoudens!M12</f>
        <v>0</v>
      </c>
      <c r="O41" s="682">
        <f>huishoudens!N12</f>
        <v>0</v>
      </c>
      <c r="P41" s="682">
        <f>huishoudens!O12</f>
        <v>0</v>
      </c>
      <c r="Q41" s="765">
        <f>huishoudens!P12</f>
        <v>0</v>
      </c>
      <c r="R41" s="844">
        <f t="shared" ca="1" si="4"/>
        <v>16715.33842326091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1019.9656247782527</v>
      </c>
      <c r="D43" s="682">
        <f ca="1">industrie!C22</f>
        <v>0</v>
      </c>
      <c r="E43" s="682">
        <f>industrie!D22</f>
        <v>507.64736677724994</v>
      </c>
      <c r="F43" s="682">
        <f>industrie!E22</f>
        <v>3.4474145200165154</v>
      </c>
      <c r="G43" s="682">
        <f>industrie!F22</f>
        <v>85.214840761021918</v>
      </c>
      <c r="H43" s="682">
        <f>industrie!G22</f>
        <v>0</v>
      </c>
      <c r="I43" s="682">
        <f>industrie!H22</f>
        <v>0</v>
      </c>
      <c r="J43" s="682">
        <f>industrie!I22</f>
        <v>0</v>
      </c>
      <c r="K43" s="682">
        <f>industrie!J22</f>
        <v>0.38307381494790865</v>
      </c>
      <c r="L43" s="682">
        <f>industrie!K22</f>
        <v>0</v>
      </c>
      <c r="M43" s="682">
        <f>industrie!L22</f>
        <v>0</v>
      </c>
      <c r="N43" s="682">
        <f>industrie!M22</f>
        <v>0</v>
      </c>
      <c r="O43" s="682">
        <f>industrie!N22</f>
        <v>0</v>
      </c>
      <c r="P43" s="682">
        <f>industrie!O22</f>
        <v>0</v>
      </c>
      <c r="Q43" s="765">
        <f>industrie!P22</f>
        <v>0</v>
      </c>
      <c r="R43" s="843">
        <f t="shared" ca="1" si="4"/>
        <v>1616.658320651489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5772.2203522507843</v>
      </c>
      <c r="D46" s="718">
        <f t="shared" ref="D46:Q46" ca="1" si="5">SUM(D39:D45)</f>
        <v>0</v>
      </c>
      <c r="E46" s="718">
        <f t="shared" ca="1" si="5"/>
        <v>7080.7707356667952</v>
      </c>
      <c r="F46" s="718">
        <f t="shared" si="5"/>
        <v>334.57715784696586</v>
      </c>
      <c r="G46" s="718">
        <f t="shared" ca="1" si="5"/>
        <v>9097.1650187481391</v>
      </c>
      <c r="H46" s="718">
        <f t="shared" si="5"/>
        <v>0</v>
      </c>
      <c r="I46" s="718">
        <f t="shared" si="5"/>
        <v>0</v>
      </c>
      <c r="J46" s="718">
        <f t="shared" si="5"/>
        <v>0</v>
      </c>
      <c r="K46" s="718">
        <f t="shared" si="5"/>
        <v>57.725414636017327</v>
      </c>
      <c r="L46" s="718">
        <f t="shared" si="5"/>
        <v>0</v>
      </c>
      <c r="M46" s="718">
        <f t="shared" ca="1" si="5"/>
        <v>0</v>
      </c>
      <c r="N46" s="718">
        <f t="shared" si="5"/>
        <v>0</v>
      </c>
      <c r="O46" s="718">
        <f t="shared" ca="1" si="5"/>
        <v>0</v>
      </c>
      <c r="P46" s="718">
        <f t="shared" si="5"/>
        <v>0</v>
      </c>
      <c r="Q46" s="718">
        <f t="shared" si="5"/>
        <v>0</v>
      </c>
      <c r="R46" s="718">
        <f ca="1">SUM(R39:R45)</f>
        <v>22342.458679148702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1.1663344397336952</v>
      </c>
      <c r="D49" s="682">
        <f ca="1">transport!C58</f>
        <v>0</v>
      </c>
      <c r="E49" s="682">
        <f>transport!D58</f>
        <v>0</v>
      </c>
      <c r="F49" s="682">
        <f>transport!E58</f>
        <v>0</v>
      </c>
      <c r="G49" s="682">
        <f>transport!F58</f>
        <v>0</v>
      </c>
      <c r="H49" s="682">
        <f>transport!G58</f>
        <v>119.9253325074847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121.09166694721839</v>
      </c>
    </row>
    <row r="50" spans="1:18">
      <c r="A50" s="819" t="s">
        <v>302</v>
      </c>
      <c r="B50" s="829"/>
      <c r="C50" s="688">
        <f ca="1">transport!B18</f>
        <v>29.877170324312161</v>
      </c>
      <c r="D50" s="688">
        <f>transport!C18</f>
        <v>0</v>
      </c>
      <c r="E50" s="688">
        <f>transport!D18</f>
        <v>52.544210691136207</v>
      </c>
      <c r="F50" s="688">
        <f>transport!E18</f>
        <v>36.499439712906394</v>
      </c>
      <c r="G50" s="688">
        <f>transport!F18</f>
        <v>0</v>
      </c>
      <c r="H50" s="688">
        <f>transport!G18</f>
        <v>18724.910518414767</v>
      </c>
      <c r="I50" s="688">
        <f>transport!H18</f>
        <v>4040.2805146107694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22884.111853753893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31.043504764045856</v>
      </c>
      <c r="D52" s="718">
        <f t="shared" ref="D52:Q52" ca="1" si="6">SUM(D48:D51)</f>
        <v>0</v>
      </c>
      <c r="E52" s="718">
        <f t="shared" si="6"/>
        <v>52.544210691136207</v>
      </c>
      <c r="F52" s="718">
        <f t="shared" si="6"/>
        <v>36.499439712906394</v>
      </c>
      <c r="G52" s="718">
        <f t="shared" si="6"/>
        <v>0</v>
      </c>
      <c r="H52" s="718">
        <f t="shared" si="6"/>
        <v>18844.835850922253</v>
      </c>
      <c r="I52" s="718">
        <f t="shared" si="6"/>
        <v>4040.2805146107694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23005.20352070111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202.00644866231767</v>
      </c>
      <c r="D54" s="688">
        <f ca="1">+landbouw!C12</f>
        <v>0</v>
      </c>
      <c r="E54" s="688">
        <f>+landbouw!D12</f>
        <v>34.319501751443994</v>
      </c>
      <c r="F54" s="688">
        <f>+landbouw!E12</f>
        <v>9.2263535322949828</v>
      </c>
      <c r="G54" s="688">
        <f>+landbouw!F12</f>
        <v>944.1044930369909</v>
      </c>
      <c r="H54" s="688">
        <f>+landbouw!G12</f>
        <v>0</v>
      </c>
      <c r="I54" s="688">
        <f>+landbouw!H12</f>
        <v>0</v>
      </c>
      <c r="J54" s="688">
        <f>+landbouw!I12</f>
        <v>0</v>
      </c>
      <c r="K54" s="688">
        <f>+landbouw!J12</f>
        <v>101.2784314094279</v>
      </c>
      <c r="L54" s="688">
        <f>+landbouw!K12</f>
        <v>0</v>
      </c>
      <c r="M54" s="688">
        <f>+landbouw!L12</f>
        <v>0</v>
      </c>
      <c r="N54" s="688">
        <f>+landbouw!M12</f>
        <v>0</v>
      </c>
      <c r="O54" s="688">
        <f>+landbouw!N12</f>
        <v>0</v>
      </c>
      <c r="P54" s="688">
        <f>+landbouw!O12</f>
        <v>0</v>
      </c>
      <c r="Q54" s="689">
        <f>+landbouw!P12</f>
        <v>0</v>
      </c>
      <c r="R54" s="717">
        <f ca="1">SUM(C54:Q54)</f>
        <v>1290.9352283924754</v>
      </c>
    </row>
    <row r="55" spans="1:18" ht="15" thickBot="1">
      <c r="A55" s="819" t="s">
        <v>703</v>
      </c>
      <c r="B55" s="829"/>
      <c r="C55" s="688">
        <f ca="1">C25*'EF ele_warmte'!B12</f>
        <v>58.740869649109037</v>
      </c>
      <c r="D55" s="688"/>
      <c r="E55" s="688">
        <f>E25*EF_CO2_aardgas</f>
        <v>157.241600328</v>
      </c>
      <c r="F55" s="688"/>
      <c r="G55" s="688"/>
      <c r="H55" s="688"/>
      <c r="I55" s="688"/>
      <c r="J55" s="688"/>
      <c r="K55" s="688"/>
      <c r="L55" s="688"/>
      <c r="M55" s="688"/>
      <c r="N55" s="688"/>
      <c r="O55" s="688"/>
      <c r="P55" s="688"/>
      <c r="Q55" s="689"/>
      <c r="R55" s="717">
        <f ca="1">SUM(C55:Q55)</f>
        <v>215.98246997710905</v>
      </c>
    </row>
    <row r="56" spans="1:18" ht="15.75" thickBot="1">
      <c r="A56" s="817" t="s">
        <v>704</v>
      </c>
      <c r="B56" s="830"/>
      <c r="C56" s="718">
        <f ca="1">SUM(C54:C55)</f>
        <v>260.74731831142668</v>
      </c>
      <c r="D56" s="718">
        <f t="shared" ref="D56:Q56" ca="1" si="7">SUM(D54:D55)</f>
        <v>0</v>
      </c>
      <c r="E56" s="718">
        <f t="shared" si="7"/>
        <v>191.561102079444</v>
      </c>
      <c r="F56" s="718">
        <f t="shared" si="7"/>
        <v>9.2263535322949828</v>
      </c>
      <c r="G56" s="718">
        <f t="shared" si="7"/>
        <v>944.1044930369909</v>
      </c>
      <c r="H56" s="718">
        <f t="shared" si="7"/>
        <v>0</v>
      </c>
      <c r="I56" s="718">
        <f t="shared" si="7"/>
        <v>0</v>
      </c>
      <c r="J56" s="718">
        <f t="shared" si="7"/>
        <v>0</v>
      </c>
      <c r="K56" s="718">
        <f t="shared" si="7"/>
        <v>101.2784314094279</v>
      </c>
      <c r="L56" s="718">
        <f t="shared" si="7"/>
        <v>0</v>
      </c>
      <c r="M56" s="718">
        <f t="shared" si="7"/>
        <v>0</v>
      </c>
      <c r="N56" s="718">
        <f t="shared" si="7"/>
        <v>0</v>
      </c>
      <c r="O56" s="718">
        <f t="shared" si="7"/>
        <v>0</v>
      </c>
      <c r="P56" s="718">
        <f t="shared" si="7"/>
        <v>0</v>
      </c>
      <c r="Q56" s="719">
        <f t="shared" si="7"/>
        <v>0</v>
      </c>
      <c r="R56" s="720">
        <f ca="1">SUM(R54:R55)</f>
        <v>1506.9176983695845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6064.0111753262572</v>
      </c>
      <c r="D61" s="726">
        <f t="shared" ref="D61:Q61" ca="1" si="8">D46+D52+D56</f>
        <v>0</v>
      </c>
      <c r="E61" s="726">
        <f t="shared" ca="1" si="8"/>
        <v>7324.8760484373752</v>
      </c>
      <c r="F61" s="726">
        <f t="shared" si="8"/>
        <v>380.30295109216723</v>
      </c>
      <c r="G61" s="726">
        <f t="shared" ca="1" si="8"/>
        <v>10041.269511785131</v>
      </c>
      <c r="H61" s="726">
        <f t="shared" si="8"/>
        <v>18844.835850922253</v>
      </c>
      <c r="I61" s="726">
        <f t="shared" si="8"/>
        <v>4040.2805146107694</v>
      </c>
      <c r="J61" s="726">
        <f t="shared" si="8"/>
        <v>0</v>
      </c>
      <c r="K61" s="726">
        <f t="shared" si="8"/>
        <v>159.00384604544521</v>
      </c>
      <c r="L61" s="726">
        <f t="shared" si="8"/>
        <v>0</v>
      </c>
      <c r="M61" s="726">
        <f t="shared" ca="1" si="8"/>
        <v>0</v>
      </c>
      <c r="N61" s="726">
        <f t="shared" si="8"/>
        <v>0</v>
      </c>
      <c r="O61" s="726">
        <f t="shared" ca="1" si="8"/>
        <v>0</v>
      </c>
      <c r="P61" s="726">
        <f t="shared" si="8"/>
        <v>0</v>
      </c>
      <c r="Q61" s="726">
        <f t="shared" si="8"/>
        <v>0</v>
      </c>
      <c r="R61" s="726">
        <f ca="1">R46+R52+R56</f>
        <v>46854.579898219403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0.18534846976138925</v>
      </c>
      <c r="D63" s="772">
        <f t="shared" ca="1" si="9"/>
        <v>0</v>
      </c>
      <c r="E63" s="964">
        <f t="shared" ca="1" si="9"/>
        <v>0.20199999999999996</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5277.8481376562868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5277.8481376562868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16275.160669820465</v>
      </c>
      <c r="C4" s="449">
        <f>huishoudens!C8</f>
        <v>0</v>
      </c>
      <c r="D4" s="449">
        <f>huishoudens!D8</f>
        <v>23135.621907152996</v>
      </c>
      <c r="E4" s="449">
        <f>huishoudens!E8</f>
        <v>1425.3956868938869</v>
      </c>
      <c r="F4" s="449">
        <f>huishoudens!F8</f>
        <v>32376.267447815328</v>
      </c>
      <c r="G4" s="449">
        <f>huishoudens!G8</f>
        <v>0</v>
      </c>
      <c r="H4" s="449">
        <f>huishoudens!H8</f>
        <v>0</v>
      </c>
      <c r="I4" s="449">
        <f>huishoudens!I8</f>
        <v>0</v>
      </c>
      <c r="J4" s="449">
        <f>huishoudens!J8</f>
        <v>161.97300353793125</v>
      </c>
      <c r="K4" s="449">
        <f>huishoudens!K8</f>
        <v>0</v>
      </c>
      <c r="L4" s="449">
        <f>huishoudens!L8</f>
        <v>0</v>
      </c>
      <c r="M4" s="449">
        <f>huishoudens!M8</f>
        <v>0</v>
      </c>
      <c r="N4" s="449">
        <f>huishoudens!N8</f>
        <v>5731.1865324671307</v>
      </c>
      <c r="O4" s="449">
        <f>huishoudens!O8</f>
        <v>234.10706988766975</v>
      </c>
      <c r="P4" s="450">
        <f>huishoudens!P8</f>
        <v>347.62065715360575</v>
      </c>
      <c r="Q4" s="451">
        <f>SUM(B4:P4)</f>
        <v>79687.332974728997</v>
      </c>
    </row>
    <row r="5" spans="1:17">
      <c r="A5" s="448" t="s">
        <v>155</v>
      </c>
      <c r="B5" s="449">
        <f ca="1">tertiair!B16</f>
        <v>8775.0881139999983</v>
      </c>
      <c r="C5" s="449">
        <f ca="1">tertiair!C16</f>
        <v>0</v>
      </c>
      <c r="D5" s="449">
        <f ca="1">tertiair!D16</f>
        <v>9404.592790319999</v>
      </c>
      <c r="E5" s="449">
        <f>tertiair!E16</f>
        <v>33.325649348180484</v>
      </c>
      <c r="F5" s="449">
        <f ca="1">tertiair!F16</f>
        <v>1376.3549416495282</v>
      </c>
      <c r="G5" s="449">
        <f>tertiair!G16</f>
        <v>0</v>
      </c>
      <c r="H5" s="449">
        <f>tertiair!H16</f>
        <v>0</v>
      </c>
      <c r="I5" s="449">
        <f>tertiair!I16</f>
        <v>0</v>
      </c>
      <c r="J5" s="449">
        <f>tertiair!J16</f>
        <v>1.1010080908934348E-2</v>
      </c>
      <c r="K5" s="449">
        <f>tertiair!K16</f>
        <v>0</v>
      </c>
      <c r="L5" s="449">
        <f ca="1">tertiair!L16</f>
        <v>0</v>
      </c>
      <c r="M5" s="449">
        <f>tertiair!M16</f>
        <v>0</v>
      </c>
      <c r="N5" s="449">
        <f ca="1">tertiair!N16</f>
        <v>404.09456618047568</v>
      </c>
      <c r="O5" s="449">
        <f>tertiair!O16</f>
        <v>4.8972607658411542</v>
      </c>
      <c r="P5" s="450">
        <f>tertiair!P16</f>
        <v>52.539138306495019</v>
      </c>
      <c r="Q5" s="448">
        <f t="shared" ref="Q5:Q14" ca="1" si="0">SUM(B5:P5)</f>
        <v>20050.903470651432</v>
      </c>
    </row>
    <row r="6" spans="1:17">
      <c r="A6" s="448" t="s">
        <v>193</v>
      </c>
      <c r="B6" s="449">
        <f>'openbare verlichting'!B8</f>
        <v>589.31939599999998</v>
      </c>
      <c r="C6" s="449"/>
      <c r="D6" s="449"/>
      <c r="E6" s="449"/>
      <c r="F6" s="449"/>
      <c r="G6" s="449"/>
      <c r="H6" s="449"/>
      <c r="I6" s="449"/>
      <c r="J6" s="449"/>
      <c r="K6" s="449"/>
      <c r="L6" s="449"/>
      <c r="M6" s="449"/>
      <c r="N6" s="449"/>
      <c r="O6" s="449"/>
      <c r="P6" s="450"/>
      <c r="Q6" s="448">
        <f t="shared" si="0"/>
        <v>589.31939599999998</v>
      </c>
    </row>
    <row r="7" spans="1:17">
      <c r="A7" s="448" t="s">
        <v>111</v>
      </c>
      <c r="B7" s="449">
        <f>landbouw!B8</f>
        <v>1089.8738410000001</v>
      </c>
      <c r="C7" s="449">
        <f>landbouw!C8</f>
        <v>0</v>
      </c>
      <c r="D7" s="449">
        <f>landbouw!D8</f>
        <v>169.89852352199998</v>
      </c>
      <c r="E7" s="449">
        <f>landbouw!E8</f>
        <v>40.644729217158513</v>
      </c>
      <c r="F7" s="449">
        <f>landbouw!F8</f>
        <v>3535.9718840336736</v>
      </c>
      <c r="G7" s="449">
        <f>landbouw!G8</f>
        <v>0</v>
      </c>
      <c r="H7" s="449">
        <f>landbouw!H8</f>
        <v>0</v>
      </c>
      <c r="I7" s="449">
        <f>landbouw!I8</f>
        <v>0</v>
      </c>
      <c r="J7" s="449">
        <f>landbouw!J8</f>
        <v>286.09726386844039</v>
      </c>
      <c r="K7" s="449">
        <f>landbouw!K8</f>
        <v>0</v>
      </c>
      <c r="L7" s="449">
        <f>landbouw!L8</f>
        <v>0</v>
      </c>
      <c r="M7" s="449">
        <f>landbouw!M8</f>
        <v>0</v>
      </c>
      <c r="N7" s="449">
        <f>landbouw!N8</f>
        <v>0</v>
      </c>
      <c r="O7" s="449">
        <f>landbouw!O8</f>
        <v>0</v>
      </c>
      <c r="P7" s="450">
        <f>landbouw!P8</f>
        <v>0</v>
      </c>
      <c r="Q7" s="448">
        <f t="shared" si="0"/>
        <v>5122.4862416412734</v>
      </c>
    </row>
    <row r="8" spans="1:17">
      <c r="A8" s="448" t="s">
        <v>618</v>
      </c>
      <c r="B8" s="449">
        <f>industrie!B18</f>
        <v>5502.9622099999997</v>
      </c>
      <c r="C8" s="449">
        <f>industrie!C18</f>
        <v>0</v>
      </c>
      <c r="D8" s="449">
        <f>industrie!D18</f>
        <v>2513.1057761249995</v>
      </c>
      <c r="E8" s="449">
        <f>industrie!E18</f>
        <v>15.186848105799626</v>
      </c>
      <c r="F8" s="449">
        <f>industrie!F18</f>
        <v>319.1567069701195</v>
      </c>
      <c r="G8" s="449">
        <f>industrie!G18</f>
        <v>0</v>
      </c>
      <c r="H8" s="449">
        <f>industrie!H18</f>
        <v>0</v>
      </c>
      <c r="I8" s="449">
        <f>industrie!I18</f>
        <v>0</v>
      </c>
      <c r="J8" s="449">
        <f>industrie!J18</f>
        <v>1.0821294207568042</v>
      </c>
      <c r="K8" s="449">
        <f>industrie!K18</f>
        <v>0</v>
      </c>
      <c r="L8" s="449">
        <f>industrie!L18</f>
        <v>0</v>
      </c>
      <c r="M8" s="449">
        <f>industrie!M18</f>
        <v>0</v>
      </c>
      <c r="N8" s="449">
        <f>industrie!N18</f>
        <v>247.28176785677982</v>
      </c>
      <c r="O8" s="449">
        <f>industrie!O18</f>
        <v>0</v>
      </c>
      <c r="P8" s="450">
        <f>industrie!P18</f>
        <v>0</v>
      </c>
      <c r="Q8" s="448">
        <f t="shared" si="0"/>
        <v>8598.775438478453</v>
      </c>
    </row>
    <row r="9" spans="1:17" s="454" customFormat="1">
      <c r="A9" s="452" t="s">
        <v>544</v>
      </c>
      <c r="B9" s="453">
        <f>transport!B14</f>
        <v>161.19458856485258</v>
      </c>
      <c r="C9" s="453">
        <f>transport!C14</f>
        <v>0</v>
      </c>
      <c r="D9" s="453">
        <f>transport!D14</f>
        <v>260.11985490661488</v>
      </c>
      <c r="E9" s="453">
        <f>transport!E14</f>
        <v>160.79048331676825</v>
      </c>
      <c r="F9" s="453">
        <f>transport!F14</f>
        <v>0</v>
      </c>
      <c r="G9" s="453">
        <f>transport!G14</f>
        <v>70130.751005298749</v>
      </c>
      <c r="H9" s="453">
        <f>transport!H14</f>
        <v>16226.026163095459</v>
      </c>
      <c r="I9" s="453">
        <f>transport!I14</f>
        <v>0</v>
      </c>
      <c r="J9" s="453">
        <f>transport!J14</f>
        <v>0</v>
      </c>
      <c r="K9" s="453">
        <f>transport!K14</f>
        <v>0</v>
      </c>
      <c r="L9" s="453">
        <f>transport!L14</f>
        <v>0</v>
      </c>
      <c r="M9" s="453">
        <f>transport!M14</f>
        <v>5076.4323181552427</v>
      </c>
      <c r="N9" s="453">
        <f>transport!N14</f>
        <v>0</v>
      </c>
      <c r="O9" s="453">
        <f>transport!O14</f>
        <v>0</v>
      </c>
      <c r="P9" s="453">
        <f>transport!P14</f>
        <v>0</v>
      </c>
      <c r="Q9" s="452">
        <f>SUM(B9:P9)</f>
        <v>92015.314413337692</v>
      </c>
    </row>
    <row r="10" spans="1:17">
      <c r="A10" s="448" t="s">
        <v>534</v>
      </c>
      <c r="B10" s="449">
        <f>transport!B54</f>
        <v>6.2926575074247495</v>
      </c>
      <c r="C10" s="449">
        <f>transport!C54</f>
        <v>0</v>
      </c>
      <c r="D10" s="449">
        <f>transport!D54</f>
        <v>0</v>
      </c>
      <c r="E10" s="449">
        <f>transport!E54</f>
        <v>0</v>
      </c>
      <c r="F10" s="449">
        <f>transport!F54</f>
        <v>0</v>
      </c>
      <c r="G10" s="449">
        <f>transport!G54</f>
        <v>449.15854871717113</v>
      </c>
      <c r="H10" s="449">
        <f>transport!H54</f>
        <v>0</v>
      </c>
      <c r="I10" s="449">
        <f>transport!I54</f>
        <v>0</v>
      </c>
      <c r="J10" s="449">
        <f>transport!J54</f>
        <v>0</v>
      </c>
      <c r="K10" s="449">
        <f>transport!K54</f>
        <v>0</v>
      </c>
      <c r="L10" s="449">
        <f>transport!L54</f>
        <v>0</v>
      </c>
      <c r="M10" s="449">
        <f>transport!M54</f>
        <v>24.801903474758159</v>
      </c>
      <c r="N10" s="449">
        <f>transport!N54</f>
        <v>0</v>
      </c>
      <c r="O10" s="449">
        <f>transport!O54</f>
        <v>0</v>
      </c>
      <c r="P10" s="450">
        <f>transport!P54</f>
        <v>0</v>
      </c>
      <c r="Q10" s="448">
        <f t="shared" si="0"/>
        <v>480.25310969935401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316.92125500000003</v>
      </c>
      <c r="C14" s="456"/>
      <c r="D14" s="456">
        <f>'SEAP template'!E25</f>
        <v>778.42376400000001</v>
      </c>
      <c r="E14" s="456"/>
      <c r="F14" s="456"/>
      <c r="G14" s="456"/>
      <c r="H14" s="456"/>
      <c r="I14" s="456"/>
      <c r="J14" s="456"/>
      <c r="K14" s="456"/>
      <c r="L14" s="456"/>
      <c r="M14" s="456"/>
      <c r="N14" s="456"/>
      <c r="O14" s="456"/>
      <c r="P14" s="457"/>
      <c r="Q14" s="448">
        <f t="shared" si="0"/>
        <v>1095.3450190000001</v>
      </c>
    </row>
    <row r="15" spans="1:17" s="460" customFormat="1">
      <c r="A15" s="458" t="s">
        <v>538</v>
      </c>
      <c r="B15" s="459">
        <f ca="1">SUM(B4:B14)</f>
        <v>32716.812731892736</v>
      </c>
      <c r="C15" s="459">
        <f t="shared" ref="C15:Q15" ca="1" si="1">SUM(C4:C14)</f>
        <v>0</v>
      </c>
      <c r="D15" s="459">
        <f t="shared" ca="1" si="1"/>
        <v>36261.762616026608</v>
      </c>
      <c r="E15" s="459">
        <f t="shared" si="1"/>
        <v>1675.3433968817935</v>
      </c>
      <c r="F15" s="459">
        <f t="shared" ca="1" si="1"/>
        <v>37607.750980468649</v>
      </c>
      <c r="G15" s="459">
        <f t="shared" si="1"/>
        <v>70579.909554015918</v>
      </c>
      <c r="H15" s="459">
        <f t="shared" si="1"/>
        <v>16226.026163095459</v>
      </c>
      <c r="I15" s="459">
        <f t="shared" si="1"/>
        <v>0</v>
      </c>
      <c r="J15" s="459">
        <f t="shared" si="1"/>
        <v>449.16340690803736</v>
      </c>
      <c r="K15" s="459">
        <f t="shared" si="1"/>
        <v>0</v>
      </c>
      <c r="L15" s="459">
        <f t="shared" ca="1" si="1"/>
        <v>0</v>
      </c>
      <c r="M15" s="459">
        <f t="shared" si="1"/>
        <v>5101.2342216300012</v>
      </c>
      <c r="N15" s="459">
        <f t="shared" ca="1" si="1"/>
        <v>6382.562866504386</v>
      </c>
      <c r="O15" s="459">
        <f t="shared" si="1"/>
        <v>239.00433065351092</v>
      </c>
      <c r="P15" s="459">
        <f t="shared" si="1"/>
        <v>400.15979546010078</v>
      </c>
      <c r="Q15" s="459">
        <f t="shared" ca="1" si="1"/>
        <v>207639.73006353719</v>
      </c>
    </row>
    <row r="17" spans="1:17">
      <c r="A17" s="461" t="s">
        <v>539</v>
      </c>
      <c r="B17" s="777">
        <f ca="1">huishoudens!B10</f>
        <v>0.18534846976138925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3016.5761252719699</v>
      </c>
      <c r="C22" s="449">
        <f t="shared" ref="C22:C32" ca="1" si="3">C4*$C$17</f>
        <v>0</v>
      </c>
      <c r="D22" s="449">
        <f t="shared" ref="D22:D32" si="4">D4*$D$17</f>
        <v>4673.3956252449052</v>
      </c>
      <c r="E22" s="449">
        <f t="shared" ref="E22:E32" si="5">E4*$E$17</f>
        <v>323.56482092491234</v>
      </c>
      <c r="F22" s="449">
        <f t="shared" ref="F22:F32" si="6">F4*$F$17</f>
        <v>8644.463408566693</v>
      </c>
      <c r="G22" s="449">
        <f t="shared" ref="G22:G32" si="7">G4*$G$17</f>
        <v>0</v>
      </c>
      <c r="H22" s="449">
        <f t="shared" ref="H22:H32" si="8">H4*$H$17</f>
        <v>0</v>
      </c>
      <c r="I22" s="449">
        <f t="shared" ref="I22:I32" si="9">I4*$I$17</f>
        <v>0</v>
      </c>
      <c r="J22" s="449">
        <f t="shared" ref="J22:J32" si="10">J4*$J$17</f>
        <v>57.338443252427659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16715.33842326091</v>
      </c>
    </row>
    <row r="23" spans="1:17">
      <c r="A23" s="448" t="s">
        <v>155</v>
      </c>
      <c r="B23" s="449">
        <f t="shared" ca="1" si="2"/>
        <v>1626.4491539512549</v>
      </c>
      <c r="C23" s="449">
        <f t="shared" ca="1" si="3"/>
        <v>0</v>
      </c>
      <c r="D23" s="449">
        <f t="shared" ca="1" si="4"/>
        <v>1899.72774364464</v>
      </c>
      <c r="E23" s="449">
        <f t="shared" si="5"/>
        <v>7.5649224020369701</v>
      </c>
      <c r="F23" s="449">
        <f t="shared" ca="1" si="6"/>
        <v>367.48676942042403</v>
      </c>
      <c r="G23" s="449">
        <f t="shared" si="7"/>
        <v>0</v>
      </c>
      <c r="H23" s="449">
        <f t="shared" si="8"/>
        <v>0</v>
      </c>
      <c r="I23" s="449">
        <f t="shared" si="9"/>
        <v>0</v>
      </c>
      <c r="J23" s="449">
        <f t="shared" si="10"/>
        <v>3.8975686417627589E-3</v>
      </c>
      <c r="K23" s="449">
        <f t="shared" si="11"/>
        <v>0</v>
      </c>
      <c r="L23" s="449">
        <f t="shared" ca="1" si="12"/>
        <v>0</v>
      </c>
      <c r="M23" s="449">
        <f t="shared" si="13"/>
        <v>0</v>
      </c>
      <c r="N23" s="449">
        <f t="shared" ca="1" si="14"/>
        <v>0</v>
      </c>
      <c r="O23" s="449">
        <f t="shared" si="15"/>
        <v>0</v>
      </c>
      <c r="P23" s="450">
        <f t="shared" si="16"/>
        <v>0</v>
      </c>
      <c r="Q23" s="448">
        <f t="shared" ref="Q23:Q31" ca="1" si="17">SUM(B23:P23)</f>
        <v>3901.2324869869976</v>
      </c>
    </row>
    <row r="24" spans="1:17">
      <c r="A24" s="448" t="s">
        <v>193</v>
      </c>
      <c r="B24" s="449">
        <f t="shared" ca="1" si="2"/>
        <v>109.22944824930617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109.22944824930617</v>
      </c>
    </row>
    <row r="25" spans="1:17">
      <c r="A25" s="448" t="s">
        <v>111</v>
      </c>
      <c r="B25" s="449">
        <f t="shared" ca="1" si="2"/>
        <v>202.00644866231767</v>
      </c>
      <c r="C25" s="449">
        <f t="shared" ca="1" si="3"/>
        <v>0</v>
      </c>
      <c r="D25" s="449">
        <f t="shared" si="4"/>
        <v>34.319501751443994</v>
      </c>
      <c r="E25" s="449">
        <f t="shared" si="5"/>
        <v>9.2263535322949828</v>
      </c>
      <c r="F25" s="449">
        <f t="shared" si="6"/>
        <v>944.1044930369909</v>
      </c>
      <c r="G25" s="449">
        <f t="shared" si="7"/>
        <v>0</v>
      </c>
      <c r="H25" s="449">
        <f t="shared" si="8"/>
        <v>0</v>
      </c>
      <c r="I25" s="449">
        <f t="shared" si="9"/>
        <v>0</v>
      </c>
      <c r="J25" s="449">
        <f t="shared" si="10"/>
        <v>101.2784314094279</v>
      </c>
      <c r="K25" s="449">
        <f t="shared" si="11"/>
        <v>0</v>
      </c>
      <c r="L25" s="449">
        <f t="shared" si="12"/>
        <v>0</v>
      </c>
      <c r="M25" s="449">
        <f t="shared" si="13"/>
        <v>0</v>
      </c>
      <c r="N25" s="449">
        <f t="shared" si="14"/>
        <v>0</v>
      </c>
      <c r="O25" s="449">
        <f t="shared" si="15"/>
        <v>0</v>
      </c>
      <c r="P25" s="450">
        <f t="shared" si="16"/>
        <v>0</v>
      </c>
      <c r="Q25" s="448">
        <f t="shared" ca="1" si="17"/>
        <v>1290.9352283924754</v>
      </c>
    </row>
    <row r="26" spans="1:17">
      <c r="A26" s="448" t="s">
        <v>618</v>
      </c>
      <c r="B26" s="449">
        <f t="shared" ca="1" si="2"/>
        <v>1019.9656247782527</v>
      </c>
      <c r="C26" s="449">
        <f t="shared" ca="1" si="3"/>
        <v>0</v>
      </c>
      <c r="D26" s="449">
        <f t="shared" si="4"/>
        <v>507.64736677724994</v>
      </c>
      <c r="E26" s="449">
        <f t="shared" si="5"/>
        <v>3.4474145200165154</v>
      </c>
      <c r="F26" s="449">
        <f t="shared" si="6"/>
        <v>85.214840761021918</v>
      </c>
      <c r="G26" s="449">
        <f t="shared" si="7"/>
        <v>0</v>
      </c>
      <c r="H26" s="449">
        <f t="shared" si="8"/>
        <v>0</v>
      </c>
      <c r="I26" s="449">
        <f t="shared" si="9"/>
        <v>0</v>
      </c>
      <c r="J26" s="449">
        <f t="shared" si="10"/>
        <v>0.38307381494790865</v>
      </c>
      <c r="K26" s="449">
        <f t="shared" si="11"/>
        <v>0</v>
      </c>
      <c r="L26" s="449">
        <f t="shared" si="12"/>
        <v>0</v>
      </c>
      <c r="M26" s="449">
        <f t="shared" si="13"/>
        <v>0</v>
      </c>
      <c r="N26" s="449">
        <f t="shared" si="14"/>
        <v>0</v>
      </c>
      <c r="O26" s="449">
        <f t="shared" si="15"/>
        <v>0</v>
      </c>
      <c r="P26" s="450">
        <f t="shared" si="16"/>
        <v>0</v>
      </c>
      <c r="Q26" s="448">
        <f t="shared" ca="1" si="17"/>
        <v>1616.658320651489</v>
      </c>
    </row>
    <row r="27" spans="1:17" s="454" customFormat="1">
      <c r="A27" s="452" t="s">
        <v>544</v>
      </c>
      <c r="B27" s="771">
        <f t="shared" ca="1" si="2"/>
        <v>29.877170324312161</v>
      </c>
      <c r="C27" s="453">
        <f t="shared" ca="1" si="3"/>
        <v>0</v>
      </c>
      <c r="D27" s="453">
        <f t="shared" si="4"/>
        <v>52.544210691136207</v>
      </c>
      <c r="E27" s="453">
        <f t="shared" si="5"/>
        <v>36.499439712906394</v>
      </c>
      <c r="F27" s="453">
        <f t="shared" si="6"/>
        <v>0</v>
      </c>
      <c r="G27" s="453">
        <f t="shared" si="7"/>
        <v>18724.910518414767</v>
      </c>
      <c r="H27" s="453">
        <f t="shared" si="8"/>
        <v>4040.2805146107694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22884.111853753893</v>
      </c>
    </row>
    <row r="28" spans="1:17" ht="16.5" customHeight="1">
      <c r="A28" s="448" t="s">
        <v>534</v>
      </c>
      <c r="B28" s="449">
        <f t="shared" ca="1" si="2"/>
        <v>1.1663344397336952</v>
      </c>
      <c r="C28" s="449">
        <f t="shared" ca="1" si="3"/>
        <v>0</v>
      </c>
      <c r="D28" s="449">
        <f t="shared" si="4"/>
        <v>0</v>
      </c>
      <c r="E28" s="449">
        <f t="shared" si="5"/>
        <v>0</v>
      </c>
      <c r="F28" s="449">
        <f t="shared" si="6"/>
        <v>0</v>
      </c>
      <c r="G28" s="449">
        <f t="shared" si="7"/>
        <v>119.9253325074847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121.09166694721839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58.740869649109037</v>
      </c>
      <c r="C32" s="449">
        <f t="shared" ca="1" si="3"/>
        <v>0</v>
      </c>
      <c r="D32" s="449">
        <f t="shared" si="4"/>
        <v>157.241600328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215.98246997710905</v>
      </c>
    </row>
    <row r="33" spans="1:17" s="460" customFormat="1">
      <c r="A33" s="458" t="s">
        <v>538</v>
      </c>
      <c r="B33" s="459">
        <f ca="1">SUM(B22:B32)</f>
        <v>6064.0111753262572</v>
      </c>
      <c r="C33" s="459">
        <f t="shared" ref="C33:Q33" ca="1" si="19">SUM(C22:C32)</f>
        <v>0</v>
      </c>
      <c r="D33" s="459">
        <f t="shared" ca="1" si="19"/>
        <v>7324.8760484373743</v>
      </c>
      <c r="E33" s="459">
        <f t="shared" si="19"/>
        <v>380.30295109216723</v>
      </c>
      <c r="F33" s="459">
        <f t="shared" ca="1" si="19"/>
        <v>10041.269511785131</v>
      </c>
      <c r="G33" s="459">
        <f t="shared" si="19"/>
        <v>18844.835850922253</v>
      </c>
      <c r="H33" s="459">
        <f t="shared" si="19"/>
        <v>4040.2805146107694</v>
      </c>
      <c r="I33" s="459">
        <f t="shared" si="19"/>
        <v>0</v>
      </c>
      <c r="J33" s="459">
        <f t="shared" si="19"/>
        <v>159.00384604544524</v>
      </c>
      <c r="K33" s="459">
        <f t="shared" si="19"/>
        <v>0</v>
      </c>
      <c r="L33" s="459">
        <f t="shared" ca="1" si="19"/>
        <v>0</v>
      </c>
      <c r="M33" s="459">
        <f t="shared" si="19"/>
        <v>0</v>
      </c>
      <c r="N33" s="459">
        <f t="shared" ca="1" si="19"/>
        <v>0</v>
      </c>
      <c r="O33" s="459">
        <f t="shared" si="19"/>
        <v>0</v>
      </c>
      <c r="P33" s="459">
        <f t="shared" si="19"/>
        <v>0</v>
      </c>
      <c r="Q33" s="459">
        <f t="shared" ca="1" si="19"/>
        <v>46854.579898219403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5277.8481376562868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5277.8481376562868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0.18534846976138925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0.18534846976138925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0.18534846976138925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0.18534846976138925</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3948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1661.53</v>
      </c>
      <c r="C14" s="326"/>
      <c r="D14" s="326"/>
      <c r="E14" s="326"/>
      <c r="F14" s="326"/>
    </row>
    <row r="15" spans="1:6">
      <c r="A15" s="1307" t="s">
        <v>183</v>
      </c>
      <c r="B15" s="1308">
        <v>4</v>
      </c>
      <c r="C15" s="326"/>
      <c r="D15" s="326"/>
      <c r="E15" s="326"/>
      <c r="F15" s="326"/>
    </row>
    <row r="16" spans="1:6">
      <c r="A16" s="1307" t="s">
        <v>6</v>
      </c>
      <c r="B16" s="1308">
        <v>72</v>
      </c>
      <c r="C16" s="326"/>
      <c r="D16" s="326"/>
      <c r="E16" s="326"/>
      <c r="F16" s="326"/>
    </row>
    <row r="17" spans="1:6">
      <c r="A17" s="1307" t="s">
        <v>7</v>
      </c>
      <c r="B17" s="1308">
        <v>201</v>
      </c>
      <c r="C17" s="326"/>
      <c r="D17" s="326"/>
      <c r="E17" s="326"/>
      <c r="F17" s="326"/>
    </row>
    <row r="18" spans="1:6">
      <c r="A18" s="1307" t="s">
        <v>8</v>
      </c>
      <c r="B18" s="1308">
        <v>191</v>
      </c>
      <c r="C18" s="326"/>
      <c r="D18" s="326"/>
      <c r="E18" s="326"/>
      <c r="F18" s="326"/>
    </row>
    <row r="19" spans="1:6">
      <c r="A19" s="1307" t="s">
        <v>9</v>
      </c>
      <c r="B19" s="1308">
        <v>182</v>
      </c>
      <c r="C19" s="326"/>
      <c r="D19" s="326"/>
      <c r="E19" s="326"/>
      <c r="F19" s="326"/>
    </row>
    <row r="20" spans="1:6">
      <c r="A20" s="1307" t="s">
        <v>10</v>
      </c>
      <c r="B20" s="1308">
        <v>167</v>
      </c>
      <c r="C20" s="326"/>
      <c r="D20" s="326"/>
      <c r="E20" s="326"/>
      <c r="F20" s="326"/>
    </row>
    <row r="21" spans="1:6">
      <c r="A21" s="1307" t="s">
        <v>11</v>
      </c>
      <c r="B21" s="1308">
        <v>1331</v>
      </c>
      <c r="C21" s="326"/>
      <c r="D21" s="326"/>
      <c r="E21" s="326"/>
      <c r="F21" s="326"/>
    </row>
    <row r="22" spans="1:6">
      <c r="A22" s="1307" t="s">
        <v>12</v>
      </c>
      <c r="B22" s="1308">
        <v>7276</v>
      </c>
      <c r="C22" s="326"/>
      <c r="D22" s="326"/>
      <c r="E22" s="326"/>
      <c r="F22" s="326"/>
    </row>
    <row r="23" spans="1:6">
      <c r="A23" s="1307" t="s">
        <v>13</v>
      </c>
      <c r="B23" s="1308">
        <v>76</v>
      </c>
      <c r="C23" s="326"/>
      <c r="D23" s="326"/>
      <c r="E23" s="326"/>
      <c r="F23" s="326"/>
    </row>
    <row r="24" spans="1:6">
      <c r="A24" s="1307" t="s">
        <v>14</v>
      </c>
      <c r="B24" s="1308">
        <v>4</v>
      </c>
      <c r="C24" s="326"/>
      <c r="D24" s="326"/>
      <c r="E24" s="326"/>
      <c r="F24" s="326"/>
    </row>
    <row r="25" spans="1:6">
      <c r="A25" s="1307" t="s">
        <v>15</v>
      </c>
      <c r="B25" s="1308">
        <v>505</v>
      </c>
      <c r="C25" s="326"/>
      <c r="D25" s="326"/>
      <c r="E25" s="326"/>
      <c r="F25" s="326"/>
    </row>
    <row r="26" spans="1:6">
      <c r="A26" s="1307" t="s">
        <v>16</v>
      </c>
      <c r="B26" s="1308">
        <v>118</v>
      </c>
      <c r="C26" s="326"/>
      <c r="D26" s="326"/>
      <c r="E26" s="326"/>
      <c r="F26" s="326"/>
    </row>
    <row r="27" spans="1:6">
      <c r="A27" s="1307" t="s">
        <v>17</v>
      </c>
      <c r="B27" s="1308">
        <v>8</v>
      </c>
      <c r="C27" s="326"/>
      <c r="D27" s="326"/>
      <c r="E27" s="326"/>
      <c r="F27" s="326"/>
    </row>
    <row r="28" spans="1:6" s="43" customFormat="1">
      <c r="A28" s="1309" t="s">
        <v>18</v>
      </c>
      <c r="B28" s="1310">
        <v>0</v>
      </c>
      <c r="C28" s="332"/>
      <c r="D28" s="332"/>
      <c r="E28" s="332"/>
      <c r="F28" s="332"/>
    </row>
    <row r="29" spans="1:6">
      <c r="A29" s="1309" t="s">
        <v>688</v>
      </c>
      <c r="B29" s="1310">
        <v>48</v>
      </c>
      <c r="C29" s="332"/>
      <c r="D29" s="332"/>
      <c r="E29" s="332"/>
      <c r="F29" s="332"/>
    </row>
    <row r="30" spans="1:6">
      <c r="A30" s="1302" t="s">
        <v>689</v>
      </c>
      <c r="B30" s="1311">
        <v>18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20959.41</v>
      </c>
    </row>
    <row r="39" spans="1:6">
      <c r="A39" s="1307" t="s">
        <v>29</v>
      </c>
      <c r="B39" s="1307" t="s">
        <v>30</v>
      </c>
      <c r="C39" s="1308">
        <v>1705</v>
      </c>
      <c r="D39" s="1308">
        <v>25620843.750999998</v>
      </c>
      <c r="E39" s="1308">
        <v>3924</v>
      </c>
      <c r="F39" s="1308">
        <v>12285848.307</v>
      </c>
    </row>
    <row r="40" spans="1:6">
      <c r="A40" s="1307" t="s">
        <v>29</v>
      </c>
      <c r="B40" s="1307" t="s">
        <v>28</v>
      </c>
      <c r="C40" s="1308">
        <v>0</v>
      </c>
      <c r="D40" s="1308">
        <v>0</v>
      </c>
      <c r="E40" s="1308">
        <v>0</v>
      </c>
      <c r="F40" s="1308">
        <v>0</v>
      </c>
    </row>
    <row r="41" spans="1:6">
      <c r="A41" s="1307" t="s">
        <v>31</v>
      </c>
      <c r="B41" s="1307" t="s">
        <v>32</v>
      </c>
      <c r="C41" s="1308">
        <v>23</v>
      </c>
      <c r="D41" s="1308">
        <v>457559.49099999998</v>
      </c>
      <c r="E41" s="1308">
        <v>58</v>
      </c>
      <c r="F41" s="1308">
        <v>256500.04399999999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6</v>
      </c>
      <c r="D44" s="1308">
        <v>752640.87199999997</v>
      </c>
      <c r="E44" s="1308">
        <v>18</v>
      </c>
      <c r="F44" s="1308">
        <v>1205161.496</v>
      </c>
    </row>
    <row r="45" spans="1:6">
      <c r="A45" s="1307" t="s">
        <v>31</v>
      </c>
      <c r="B45" s="1307" t="s">
        <v>36</v>
      </c>
      <c r="C45" s="1308">
        <v>4</v>
      </c>
      <c r="D45" s="1308">
        <v>1037590.525</v>
      </c>
      <c r="E45" s="1308">
        <v>7</v>
      </c>
      <c r="F45" s="1308">
        <v>682331.51399999997</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81752.957999999999</v>
      </c>
    </row>
    <row r="48" spans="1:6">
      <c r="A48" s="1307" t="s">
        <v>31</v>
      </c>
      <c r="B48" s="1307" t="s">
        <v>28</v>
      </c>
      <c r="C48" s="1308">
        <v>3</v>
      </c>
      <c r="D48" s="1308">
        <v>202793.58</v>
      </c>
      <c r="E48" s="1308">
        <v>3</v>
      </c>
      <c r="F48" s="1308">
        <v>5583.1189999999997</v>
      </c>
    </row>
    <row r="49" spans="1:6">
      <c r="A49" s="1307" t="s">
        <v>31</v>
      </c>
      <c r="B49" s="1307" t="s">
        <v>39</v>
      </c>
      <c r="C49" s="1308">
        <v>0</v>
      </c>
      <c r="D49" s="1308">
        <v>0</v>
      </c>
      <c r="E49" s="1308">
        <v>3</v>
      </c>
      <c r="F49" s="1308">
        <v>40304.811999999998</v>
      </c>
    </row>
    <row r="50" spans="1:6">
      <c r="A50" s="1307" t="s">
        <v>31</v>
      </c>
      <c r="B50" s="1307" t="s">
        <v>40</v>
      </c>
      <c r="C50" s="1308">
        <v>8</v>
      </c>
      <c r="D50" s="1308">
        <v>332478.40700000001</v>
      </c>
      <c r="E50" s="1308">
        <v>16</v>
      </c>
      <c r="F50" s="1308">
        <v>3231328.267</v>
      </c>
    </row>
    <row r="51" spans="1:6">
      <c r="A51" s="1307" t="s">
        <v>41</v>
      </c>
      <c r="B51" s="1307" t="s">
        <v>42</v>
      </c>
      <c r="C51" s="1308">
        <v>9</v>
      </c>
      <c r="D51" s="1308">
        <v>188148.97399999999</v>
      </c>
      <c r="E51" s="1308">
        <v>69</v>
      </c>
      <c r="F51" s="1308">
        <v>1089873.841</v>
      </c>
    </row>
    <row r="52" spans="1:6">
      <c r="A52" s="1307" t="s">
        <v>41</v>
      </c>
      <c r="B52" s="1307" t="s">
        <v>28</v>
      </c>
      <c r="C52" s="1308">
        <v>0</v>
      </c>
      <c r="D52" s="1308">
        <v>0</v>
      </c>
      <c r="E52" s="1308">
        <v>0</v>
      </c>
      <c r="F52" s="1308">
        <v>0</v>
      </c>
    </row>
    <row r="53" spans="1:6">
      <c r="A53" s="1307" t="s">
        <v>43</v>
      </c>
      <c r="B53" s="1307" t="s">
        <v>44</v>
      </c>
      <c r="C53" s="1308">
        <v>27</v>
      </c>
      <c r="D53" s="1308">
        <v>778423.76399999997</v>
      </c>
      <c r="E53" s="1308">
        <v>89</v>
      </c>
      <c r="F53" s="1308">
        <v>316921.255</v>
      </c>
    </row>
    <row r="54" spans="1:6">
      <c r="A54" s="1307" t="s">
        <v>45</v>
      </c>
      <c r="B54" s="1307" t="s">
        <v>46</v>
      </c>
      <c r="C54" s="1308">
        <v>0</v>
      </c>
      <c r="D54" s="1308">
        <v>0</v>
      </c>
      <c r="E54" s="1308">
        <v>3</v>
      </c>
      <c r="F54" s="1308">
        <v>589319.39599999995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24</v>
      </c>
      <c r="D57" s="1308">
        <v>1536385.2390000001</v>
      </c>
      <c r="E57" s="1308">
        <v>89</v>
      </c>
      <c r="F57" s="1308">
        <v>1114852.3149999999</v>
      </c>
    </row>
    <row r="58" spans="1:6">
      <c r="A58" s="1307" t="s">
        <v>48</v>
      </c>
      <c r="B58" s="1307" t="s">
        <v>50</v>
      </c>
      <c r="C58" s="1308">
        <v>9</v>
      </c>
      <c r="D58" s="1308">
        <v>427951.47100000002</v>
      </c>
      <c r="E58" s="1308">
        <v>22</v>
      </c>
      <c r="F58" s="1308">
        <v>406959.53200000001</v>
      </c>
    </row>
    <row r="59" spans="1:6">
      <c r="A59" s="1307" t="s">
        <v>48</v>
      </c>
      <c r="B59" s="1307" t="s">
        <v>51</v>
      </c>
      <c r="C59" s="1308">
        <v>47</v>
      </c>
      <c r="D59" s="1308">
        <v>5051319.0619999999</v>
      </c>
      <c r="E59" s="1308">
        <v>106</v>
      </c>
      <c r="F59" s="1308">
        <v>4856893.2070000004</v>
      </c>
    </row>
    <row r="60" spans="1:6">
      <c r="A60" s="1307" t="s">
        <v>48</v>
      </c>
      <c r="B60" s="1307" t="s">
        <v>52</v>
      </c>
      <c r="C60" s="1308">
        <v>27</v>
      </c>
      <c r="D60" s="1308">
        <v>1162574.5460000001</v>
      </c>
      <c r="E60" s="1308">
        <v>45</v>
      </c>
      <c r="F60" s="1308">
        <v>1006690.438</v>
      </c>
    </row>
    <row r="61" spans="1:6">
      <c r="A61" s="1307" t="s">
        <v>48</v>
      </c>
      <c r="B61" s="1307" t="s">
        <v>53</v>
      </c>
      <c r="C61" s="1308">
        <v>69</v>
      </c>
      <c r="D61" s="1308">
        <v>1777033.7390000001</v>
      </c>
      <c r="E61" s="1308">
        <v>152</v>
      </c>
      <c r="F61" s="1308">
        <v>1207040.9890000001</v>
      </c>
    </row>
    <row r="62" spans="1:6">
      <c r="A62" s="1307" t="s">
        <v>48</v>
      </c>
      <c r="B62" s="1307" t="s">
        <v>54</v>
      </c>
      <c r="C62" s="1308">
        <v>9</v>
      </c>
      <c r="D62" s="1308">
        <v>459567.38299999997</v>
      </c>
      <c r="E62" s="1308">
        <v>14</v>
      </c>
      <c r="F62" s="1308">
        <v>182651.633</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54349.769</v>
      </c>
      <c r="E65" s="1308">
        <v>0</v>
      </c>
      <c r="F65" s="1308">
        <v>0</v>
      </c>
    </row>
    <row r="66" spans="1:6">
      <c r="A66" s="1307" t="s">
        <v>55</v>
      </c>
      <c r="B66" s="1307" t="s">
        <v>57</v>
      </c>
      <c r="C66" s="1308">
        <v>0</v>
      </c>
      <c r="D66" s="1308">
        <v>0</v>
      </c>
      <c r="E66" s="1308">
        <v>10</v>
      </c>
      <c r="F66" s="1308">
        <v>361967.35399999999</v>
      </c>
    </row>
    <row r="67" spans="1:6">
      <c r="A67" s="1309" t="s">
        <v>55</v>
      </c>
      <c r="B67" s="1309" t="s">
        <v>58</v>
      </c>
      <c r="C67" s="1308">
        <v>0</v>
      </c>
      <c r="D67" s="1308">
        <v>0</v>
      </c>
      <c r="E67" s="1308">
        <v>0</v>
      </c>
      <c r="F67" s="1308">
        <v>0</v>
      </c>
    </row>
    <row r="68" spans="1:6">
      <c r="A68" s="1302" t="s">
        <v>55</v>
      </c>
      <c r="B68" s="1302" t="s">
        <v>59</v>
      </c>
      <c r="C68" s="1311">
        <v>0</v>
      </c>
      <c r="D68" s="1311">
        <v>0</v>
      </c>
      <c r="E68" s="1311">
        <v>8</v>
      </c>
      <c r="F68" s="1311">
        <v>132038.74100000001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19246668</v>
      </c>
      <c r="E73" s="447"/>
      <c r="F73" s="326"/>
    </row>
    <row r="74" spans="1:6">
      <c r="A74" s="1307" t="s">
        <v>63</v>
      </c>
      <c r="B74" s="1307" t="s">
        <v>639</v>
      </c>
      <c r="C74" s="1321" t="s">
        <v>641</v>
      </c>
      <c r="D74" s="1322">
        <v>275485.28044410096</v>
      </c>
      <c r="E74" s="447"/>
      <c r="F74" s="326"/>
    </row>
    <row r="75" spans="1:6">
      <c r="A75" s="1307" t="s">
        <v>64</v>
      </c>
      <c r="B75" s="1307" t="s">
        <v>638</v>
      </c>
      <c r="C75" s="1321" t="s">
        <v>642</v>
      </c>
      <c r="D75" s="1322">
        <v>16357626</v>
      </c>
      <c r="E75" s="447"/>
      <c r="F75" s="326"/>
    </row>
    <row r="76" spans="1:6">
      <c r="A76" s="1307" t="s">
        <v>64</v>
      </c>
      <c r="B76" s="1307" t="s">
        <v>639</v>
      </c>
      <c r="C76" s="1321" t="s">
        <v>643</v>
      </c>
      <c r="D76" s="1322">
        <v>14657.280444100994</v>
      </c>
      <c r="E76" s="447"/>
      <c r="F76" s="326"/>
    </row>
    <row r="77" spans="1:6">
      <c r="A77" s="1307" t="s">
        <v>65</v>
      </c>
      <c r="B77" s="1307" t="s">
        <v>638</v>
      </c>
      <c r="C77" s="1321" t="s">
        <v>644</v>
      </c>
      <c r="D77" s="1322">
        <v>60570055</v>
      </c>
      <c r="E77" s="447"/>
      <c r="F77" s="326"/>
    </row>
    <row r="78" spans="1:6">
      <c r="A78" s="1302" t="s">
        <v>65</v>
      </c>
      <c r="B78" s="1302" t="s">
        <v>639</v>
      </c>
      <c r="C78" s="1302" t="s">
        <v>645</v>
      </c>
      <c r="D78" s="1323">
        <v>9783036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133007.43911179801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3989.3123628204653</v>
      </c>
      <c r="C91" s="326"/>
      <c r="D91" s="326"/>
      <c r="E91" s="326"/>
      <c r="F91" s="326"/>
    </row>
    <row r="92" spans="1:6">
      <c r="A92" s="1302" t="s">
        <v>68</v>
      </c>
      <c r="B92" s="1303">
        <v>1288.5357748358219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314</v>
      </c>
      <c r="C97" s="326"/>
      <c r="D97" s="326"/>
      <c r="E97" s="326"/>
      <c r="F97" s="326"/>
    </row>
    <row r="98" spans="1:6">
      <c r="A98" s="1307" t="s">
        <v>71</v>
      </c>
      <c r="B98" s="1308">
        <v>1</v>
      </c>
      <c r="C98" s="326"/>
      <c r="D98" s="326"/>
      <c r="E98" s="326"/>
      <c r="F98" s="326"/>
    </row>
    <row r="99" spans="1:6">
      <c r="A99" s="1307" t="s">
        <v>72</v>
      </c>
      <c r="B99" s="1308">
        <v>24</v>
      </c>
      <c r="C99" s="326"/>
      <c r="D99" s="326"/>
      <c r="E99" s="326"/>
      <c r="F99" s="326"/>
    </row>
    <row r="100" spans="1:6">
      <c r="A100" s="1307" t="s">
        <v>73</v>
      </c>
      <c r="B100" s="1308">
        <v>113</v>
      </c>
      <c r="C100" s="326"/>
      <c r="D100" s="326"/>
      <c r="E100" s="326"/>
      <c r="F100" s="326"/>
    </row>
    <row r="101" spans="1:6">
      <c r="A101" s="1307" t="s">
        <v>74</v>
      </c>
      <c r="B101" s="1308">
        <v>39</v>
      </c>
      <c r="C101" s="326"/>
      <c r="D101" s="326"/>
      <c r="E101" s="326"/>
      <c r="F101" s="326"/>
    </row>
    <row r="102" spans="1:6">
      <c r="A102" s="1307" t="s">
        <v>75</v>
      </c>
      <c r="B102" s="1308">
        <v>41</v>
      </c>
      <c r="C102" s="326"/>
      <c r="D102" s="326"/>
      <c r="E102" s="326"/>
      <c r="F102" s="326"/>
    </row>
    <row r="103" spans="1:6">
      <c r="A103" s="1307" t="s">
        <v>76</v>
      </c>
      <c r="B103" s="1308">
        <v>91</v>
      </c>
      <c r="C103" s="326"/>
      <c r="D103" s="326"/>
      <c r="E103" s="326"/>
      <c r="F103" s="326"/>
    </row>
    <row r="104" spans="1:6">
      <c r="A104" s="1307" t="s">
        <v>77</v>
      </c>
      <c r="B104" s="1308">
        <v>2838</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8</v>
      </c>
      <c r="C123" s="1308">
        <v>14</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104</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24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32716.812731892744</v>
      </c>
      <c r="C3" s="43" t="s">
        <v>169</v>
      </c>
      <c r="D3" s="43"/>
      <c r="E3" s="154"/>
      <c r="F3" s="43"/>
      <c r="G3" s="43"/>
      <c r="H3" s="43"/>
      <c r="I3" s="43"/>
      <c r="J3" s="43"/>
      <c r="K3" s="96"/>
    </row>
    <row r="4" spans="1:11">
      <c r="A4" s="354" t="s">
        <v>170</v>
      </c>
      <c r="B4" s="49">
        <f>IF(ISERROR('SEAP template'!B78+'SEAP template'!C78),0,'SEAP template'!B78+'SEAP template'!C78)</f>
        <v>5277.8481376562868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0.18534846976138925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589.31939599999998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589.31939599999998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0.18534846976138925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109.22944824930617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12285.848307</v>
      </c>
      <c r="C5" s="17">
        <f>IF(ISERROR('Eigen informatie GS &amp; warmtenet'!B59),0,'Eigen informatie GS &amp; warmtenet'!B59)</f>
        <v>0</v>
      </c>
      <c r="D5" s="30">
        <f>(SUM(HH_hh_gas_kWh,HH_rest_gas_kWh)/1000)*0.903</f>
        <v>23135.621907152996</v>
      </c>
      <c r="E5" s="17">
        <f>B32*B41</f>
        <v>1425.3956868938869</v>
      </c>
      <c r="F5" s="17">
        <f>B36*B45</f>
        <v>32376.267447815328</v>
      </c>
      <c r="G5" s="18"/>
      <c r="H5" s="17"/>
      <c r="I5" s="17"/>
      <c r="J5" s="17">
        <f>B35*B44+C35*C44</f>
        <v>161.97300353793125</v>
      </c>
      <c r="K5" s="17"/>
      <c r="L5" s="17"/>
      <c r="M5" s="17"/>
      <c r="N5" s="17">
        <f>B34*B43+C34*C43</f>
        <v>5731.1865324671307</v>
      </c>
      <c r="O5" s="17">
        <f>B52*B53*B54</f>
        <v>234.10706988766975</v>
      </c>
      <c r="P5" s="17">
        <f>B60*B61*B62/1000-B60*B61*B62/1000/B63</f>
        <v>347.62065715360575</v>
      </c>
    </row>
    <row r="6" spans="1:16">
      <c r="A6" s="16" t="s">
        <v>604</v>
      </c>
      <c r="B6" s="779">
        <f>kWh_PV_kleiner_dan_10kW</f>
        <v>3989.3123628204653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16275.160669820465</v>
      </c>
      <c r="C8" s="21">
        <f>C5</f>
        <v>0</v>
      </c>
      <c r="D8" s="21">
        <f>D5</f>
        <v>23135.621907152996</v>
      </c>
      <c r="E8" s="21">
        <f>E5</f>
        <v>1425.3956868938869</v>
      </c>
      <c r="F8" s="21">
        <f>F5</f>
        <v>32376.267447815328</v>
      </c>
      <c r="G8" s="21"/>
      <c r="H8" s="21"/>
      <c r="I8" s="21"/>
      <c r="J8" s="21">
        <f>J5</f>
        <v>161.97300353793125</v>
      </c>
      <c r="K8" s="21"/>
      <c r="L8" s="21">
        <f>L5</f>
        <v>0</v>
      </c>
      <c r="M8" s="21">
        <f>M5</f>
        <v>0</v>
      </c>
      <c r="N8" s="21">
        <f>N5</f>
        <v>5731.1865324671307</v>
      </c>
      <c r="O8" s="21">
        <f>O5</f>
        <v>234.10706988766975</v>
      </c>
      <c r="P8" s="21">
        <f>P5</f>
        <v>347.62065715360575</v>
      </c>
    </row>
    <row r="9" spans="1:16">
      <c r="B9" s="19"/>
      <c r="C9" s="19"/>
      <c r="D9" s="254"/>
      <c r="E9" s="19"/>
      <c r="F9" s="19"/>
      <c r="G9" s="19"/>
      <c r="H9" s="19"/>
      <c r="I9" s="19"/>
      <c r="J9" s="19"/>
      <c r="K9" s="19"/>
      <c r="L9" s="19"/>
      <c r="M9" s="19"/>
      <c r="N9" s="19"/>
      <c r="O9" s="19"/>
      <c r="P9" s="19"/>
    </row>
    <row r="10" spans="1:16">
      <c r="A10" s="24" t="s">
        <v>213</v>
      </c>
      <c r="B10" s="25">
        <f ca="1">'EF ele_warmte'!B12</f>
        <v>0.18534846976138925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3016.5761252719699</v>
      </c>
      <c r="C12" s="23">
        <f ca="1">C10*C8</f>
        <v>0</v>
      </c>
      <c r="D12" s="23">
        <f>D8*D10</f>
        <v>4673.3956252449052</v>
      </c>
      <c r="E12" s="23">
        <f>E10*E8</f>
        <v>323.56482092491234</v>
      </c>
      <c r="F12" s="23">
        <f>F10*F8</f>
        <v>8644.463408566693</v>
      </c>
      <c r="G12" s="23"/>
      <c r="H12" s="23"/>
      <c r="I12" s="23"/>
      <c r="J12" s="23">
        <f>J10*J8</f>
        <v>57.338443252427659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3948</v>
      </c>
      <c r="C26" s="36"/>
      <c r="D26" s="225"/>
    </row>
    <row r="27" spans="1:5" s="15" customFormat="1">
      <c r="A27" s="227" t="s">
        <v>817</v>
      </c>
      <c r="B27" s="37">
        <f>SUM(HH_hh_gas_aantal,HH_rest_gas_aantal)</f>
        <v>1705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1619.75</v>
      </c>
      <c r="C31" s="34" t="s">
        <v>110</v>
      </c>
      <c r="D31" s="171"/>
    </row>
    <row r="32" spans="1:5">
      <c r="A32" s="168" t="s">
        <v>72</v>
      </c>
      <c r="B32" s="33">
        <f>IF((B21*($B$26-($B$27-0.05*$B$27)-$B$60))&lt;0,0,B21*($B$26-($B$27-0.05*$B$27)-$B$60))</f>
        <v>35.327016782532979</v>
      </c>
      <c r="C32" s="34" t="s">
        <v>110</v>
      </c>
      <c r="D32" s="171"/>
    </row>
    <row r="33" spans="1:6">
      <c r="A33" s="168" t="s">
        <v>73</v>
      </c>
      <c r="B33" s="33">
        <f>IF((B22*($B$26-($B$27-0.05*$B$27)-$B$60))&lt;0,0,B22*($B$26-($B$27-0.05*$B$27)-$B$60))</f>
        <v>573.64078662365966</v>
      </c>
      <c r="C33" s="34" t="s">
        <v>110</v>
      </c>
      <c r="D33" s="171"/>
    </row>
    <row r="34" spans="1:6">
      <c r="A34" s="168" t="s">
        <v>74</v>
      </c>
      <c r="B34" s="33">
        <f>IF((B24*($B$26-($B$27-0.05*$B$27)-$B$60))&lt;0,0,B24*($B$26-($B$27-0.05*$B$27)-$B$60))</f>
        <v>109.87984100577121</v>
      </c>
      <c r="C34" s="33">
        <f>B26*C24</f>
        <v>808.44735772004026</v>
      </c>
      <c r="D34" s="230"/>
    </row>
    <row r="35" spans="1:6">
      <c r="A35" s="168" t="s">
        <v>76</v>
      </c>
      <c r="B35" s="33">
        <f>IF((B19*($B$26-($B$27-0.05*$B$27)-$B$60))&lt;0,0,B19*($B$26-($B$27-0.05*$B$27)-$B$60))</f>
        <v>15.356569973453807</v>
      </c>
      <c r="C35" s="33">
        <f>B35/2</f>
        <v>7.6782849867269034</v>
      </c>
      <c r="D35" s="230"/>
    </row>
    <row r="36" spans="1:6">
      <c r="A36" s="168" t="s">
        <v>77</v>
      </c>
      <c r="B36" s="33">
        <f>IF((B18*($B$26-($B$27-0.05*$B$27)-$B$60))&lt;0,0,B18*($B$26-($B$27-0.05*$B$27)-$B$60))</f>
        <v>1561.0457856145817</v>
      </c>
      <c r="C36" s="34" t="s">
        <v>110</v>
      </c>
      <c r="D36" s="171"/>
    </row>
    <row r="37" spans="1:6">
      <c r="A37" s="168" t="s">
        <v>78</v>
      </c>
      <c r="B37" s="33">
        <f>B60</f>
        <v>33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8775.0881139999983</v>
      </c>
      <c r="C5" s="17">
        <f>IF(ISERROR('Eigen informatie GS &amp; warmtenet'!B60),0,'Eigen informatie GS &amp; warmtenet'!B60)</f>
        <v>0</v>
      </c>
      <c r="D5" s="30">
        <f>SUM(D6:D12)</f>
        <v>9404.592790319999</v>
      </c>
      <c r="E5" s="17">
        <f>SUM(E6:E12)</f>
        <v>33.325649348180484</v>
      </c>
      <c r="F5" s="17">
        <f>SUM(F6:F12)</f>
        <v>1376.3549416495282</v>
      </c>
      <c r="G5" s="18"/>
      <c r="H5" s="17"/>
      <c r="I5" s="17"/>
      <c r="J5" s="17">
        <f>SUM(J6:J12)</f>
        <v>1.1010080908934348E-2</v>
      </c>
      <c r="K5" s="17"/>
      <c r="L5" s="17"/>
      <c r="M5" s="17"/>
      <c r="N5" s="17">
        <f>SUM(N6:N12)</f>
        <v>404.09456618047568</v>
      </c>
      <c r="O5" s="17">
        <f>B38*B39*B40</f>
        <v>4.8972607658411542</v>
      </c>
      <c r="P5" s="17">
        <f>B46*B47*B48/1000-B46*B47*B48/1000/B49</f>
        <v>52.539138306495019</v>
      </c>
      <c r="R5" s="32"/>
    </row>
    <row r="6" spans="1:18">
      <c r="A6" s="32" t="s">
        <v>53</v>
      </c>
      <c r="B6" s="37">
        <f>B26</f>
        <v>1207.0409890000001</v>
      </c>
      <c r="C6" s="33"/>
      <c r="D6" s="37">
        <f>IF(ISERROR(TER_kantoor_gas_kWh/1000),0,TER_kantoor_gas_kWh/1000)*0.903</f>
        <v>1604.6614663170001</v>
      </c>
      <c r="E6" s="33">
        <f>$C$26*'E Balans VL '!I12/100/3.6*1000000</f>
        <v>0.28917833005993021</v>
      </c>
      <c r="F6" s="33">
        <f>$C$26*('E Balans VL '!L12+'E Balans VL '!N12)/100/3.6*1000000</f>
        <v>114.46227927935544</v>
      </c>
      <c r="G6" s="34"/>
      <c r="H6" s="33"/>
      <c r="I6" s="33"/>
      <c r="J6" s="33">
        <f>$C$26*('E Balans VL '!D12+'E Balans VL '!E12)/100/3.6*1000000</f>
        <v>0</v>
      </c>
      <c r="K6" s="33"/>
      <c r="L6" s="33"/>
      <c r="M6" s="33"/>
      <c r="N6" s="33">
        <f>$C$26*'E Balans VL '!Y12/100/3.6*1000000</f>
        <v>0.61311438979103627</v>
      </c>
      <c r="O6" s="33"/>
      <c r="P6" s="33"/>
      <c r="R6" s="32"/>
    </row>
    <row r="7" spans="1:18">
      <c r="A7" s="32" t="s">
        <v>52</v>
      </c>
      <c r="B7" s="37">
        <f t="shared" ref="B7:B12" si="0">B27</f>
        <v>1006.690438</v>
      </c>
      <c r="C7" s="33"/>
      <c r="D7" s="37">
        <f>IF(ISERROR(TER_horeca_gas_kWh/1000),0,TER_horeca_gas_kWh/1000)*0.903</f>
        <v>1049.804815038</v>
      </c>
      <c r="E7" s="33">
        <f>$C$27*'E Balans VL '!I9/100/3.6*1000000</f>
        <v>0</v>
      </c>
      <c r="F7" s="33">
        <f>$C$27*('E Balans VL '!L9+'E Balans VL '!N9)/100/3.6*1000000</f>
        <v>82.546249499560631</v>
      </c>
      <c r="G7" s="34"/>
      <c r="H7" s="33"/>
      <c r="I7" s="33"/>
      <c r="J7" s="33">
        <f>$C$27*('E Balans VL '!D9+'E Balans VL '!E9)/100/3.6*1000000</f>
        <v>0</v>
      </c>
      <c r="K7" s="33"/>
      <c r="L7" s="33"/>
      <c r="M7" s="33"/>
      <c r="N7" s="33">
        <f>$C$27*'E Balans VL '!Y9/100/3.6*1000000</f>
        <v>0.30859106510275541</v>
      </c>
      <c r="O7" s="33"/>
      <c r="P7" s="33"/>
      <c r="R7" s="32"/>
    </row>
    <row r="8" spans="1:18">
      <c r="A8" s="6" t="s">
        <v>51</v>
      </c>
      <c r="B8" s="37">
        <f t="shared" si="0"/>
        <v>4856.8932070000001</v>
      </c>
      <c r="C8" s="33"/>
      <c r="D8" s="37">
        <f>IF(ISERROR(TER_handel_gas_kWh/1000),0,TER_handel_gas_kWh/1000)*0.903</f>
        <v>4561.3411129859996</v>
      </c>
      <c r="E8" s="33">
        <f>$C$28*'E Balans VL '!I13/100/3.6*1000000</f>
        <v>17.06932507255496</v>
      </c>
      <c r="F8" s="33">
        <f>$C$28*('E Balans VL '!L13+'E Balans VL '!N13)/100/3.6*1000000</f>
        <v>444.3970062743083</v>
      </c>
      <c r="G8" s="34"/>
      <c r="H8" s="33"/>
      <c r="I8" s="33"/>
      <c r="J8" s="33">
        <f>$C$28*('E Balans VL '!D13+'E Balans VL '!E13)/100/3.6*1000000</f>
        <v>0</v>
      </c>
      <c r="K8" s="33"/>
      <c r="L8" s="33"/>
      <c r="M8" s="33"/>
      <c r="N8" s="33">
        <f>$C$28*'E Balans VL '!Y13/100/3.6*1000000</f>
        <v>1.7589576224974564</v>
      </c>
      <c r="O8" s="33"/>
      <c r="P8" s="33"/>
      <c r="R8" s="32"/>
    </row>
    <row r="9" spans="1:18">
      <c r="A9" s="32" t="s">
        <v>50</v>
      </c>
      <c r="B9" s="37">
        <f t="shared" si="0"/>
        <v>406.95953200000002</v>
      </c>
      <c r="C9" s="33"/>
      <c r="D9" s="37">
        <f>IF(ISERROR(TER_gezond_gas_kWh/1000),0,TER_gezond_gas_kWh/1000)*0.903</f>
        <v>386.44017831300005</v>
      </c>
      <c r="E9" s="33">
        <f>$C$29*'E Balans VL '!I10/100/3.6*1000000</f>
        <v>0</v>
      </c>
      <c r="F9" s="33">
        <f>$C$29*('E Balans VL '!L10+'E Balans VL '!N10)/100/3.6*1000000</f>
        <v>49.885765646361932</v>
      </c>
      <c r="G9" s="34"/>
      <c r="H9" s="33"/>
      <c r="I9" s="33"/>
      <c r="J9" s="33">
        <f>$C$29*('E Balans VL '!D10+'E Balans VL '!E10)/100/3.6*1000000</f>
        <v>0</v>
      </c>
      <c r="K9" s="33"/>
      <c r="L9" s="33"/>
      <c r="M9" s="33"/>
      <c r="N9" s="33">
        <f>$C$29*'E Balans VL '!Y10/100/3.6*1000000</f>
        <v>3.001042956782344</v>
      </c>
      <c r="O9" s="33"/>
      <c r="P9" s="33"/>
      <c r="R9" s="32"/>
    </row>
    <row r="10" spans="1:18">
      <c r="A10" s="32" t="s">
        <v>49</v>
      </c>
      <c r="B10" s="37">
        <f t="shared" si="0"/>
        <v>1114.8523149999999</v>
      </c>
      <c r="C10" s="33"/>
      <c r="D10" s="37">
        <f>IF(ISERROR(TER_ander_gas_kWh/1000),0,TER_ander_gas_kWh/1000)*0.903</f>
        <v>1387.3558708170001</v>
      </c>
      <c r="E10" s="33">
        <f>$C$30*'E Balans VL '!I14/100/3.6*1000000</f>
        <v>15.967145945565594</v>
      </c>
      <c r="F10" s="33">
        <f>$C$30*('E Balans VL '!L14+'E Balans VL '!N14)/100/3.6*1000000</f>
        <v>663.70948996119955</v>
      </c>
      <c r="G10" s="34"/>
      <c r="H10" s="33"/>
      <c r="I10" s="33"/>
      <c r="J10" s="33">
        <f>$C$30*('E Balans VL '!D14+'E Balans VL '!E14)/100/3.6*1000000</f>
        <v>1.1010080908934348E-2</v>
      </c>
      <c r="K10" s="33"/>
      <c r="L10" s="33"/>
      <c r="M10" s="33"/>
      <c r="N10" s="33">
        <f>$C$30*'E Balans VL '!Y14/100/3.6*1000000</f>
        <v>397.89853412188342</v>
      </c>
      <c r="O10" s="33"/>
      <c r="P10" s="33"/>
      <c r="R10" s="32"/>
    </row>
    <row r="11" spans="1:18">
      <c r="A11" s="32" t="s">
        <v>54</v>
      </c>
      <c r="B11" s="37">
        <f t="shared" si="0"/>
        <v>182.651633</v>
      </c>
      <c r="C11" s="33"/>
      <c r="D11" s="37">
        <f>IF(ISERROR(TER_onderwijs_gas_kWh/1000),0,TER_onderwijs_gas_kWh/1000)*0.903</f>
        <v>414.98934684899996</v>
      </c>
      <c r="E11" s="33">
        <f>$C$31*'E Balans VL '!I11/100/3.6*1000000</f>
        <v>0</v>
      </c>
      <c r="F11" s="33">
        <f>$C$31*('E Balans VL '!L11+'E Balans VL '!N11)/100/3.6*1000000</f>
        <v>21.35415098874223</v>
      </c>
      <c r="G11" s="34"/>
      <c r="H11" s="33"/>
      <c r="I11" s="33"/>
      <c r="J11" s="33">
        <f>$C$31*('E Balans VL '!D11+'E Balans VL '!E11)/100/3.6*1000000</f>
        <v>0</v>
      </c>
      <c r="K11" s="33"/>
      <c r="L11" s="33"/>
      <c r="M11" s="33"/>
      <c r="N11" s="33">
        <f>$C$31*'E Balans VL '!Y11/100/3.6*1000000</f>
        <v>0.51432602441864261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8775.0881139999983</v>
      </c>
      <c r="C16" s="21">
        <f t="shared" ca="1" si="1"/>
        <v>0</v>
      </c>
      <c r="D16" s="21">
        <f t="shared" ca="1" si="1"/>
        <v>9404.592790319999</v>
      </c>
      <c r="E16" s="21">
        <f t="shared" si="1"/>
        <v>33.325649348180484</v>
      </c>
      <c r="F16" s="21">
        <f t="shared" ca="1" si="1"/>
        <v>1376.3549416495282</v>
      </c>
      <c r="G16" s="21">
        <f t="shared" si="1"/>
        <v>0</v>
      </c>
      <c r="H16" s="21">
        <f t="shared" si="1"/>
        <v>0</v>
      </c>
      <c r="I16" s="21">
        <f t="shared" si="1"/>
        <v>0</v>
      </c>
      <c r="J16" s="21">
        <f t="shared" si="1"/>
        <v>1.1010080908934348E-2</v>
      </c>
      <c r="K16" s="21">
        <f t="shared" si="1"/>
        <v>0</v>
      </c>
      <c r="L16" s="21">
        <f t="shared" ca="1" si="1"/>
        <v>0</v>
      </c>
      <c r="M16" s="21">
        <f t="shared" si="1"/>
        <v>0</v>
      </c>
      <c r="N16" s="21">
        <f t="shared" ca="1" si="1"/>
        <v>404.09456618047568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0.18534846976138925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1626.4491539512549</v>
      </c>
      <c r="C20" s="23">
        <f t="shared" ref="C20:P20" ca="1" si="2">C16*C18</f>
        <v>0</v>
      </c>
      <c r="D20" s="23">
        <f t="shared" ca="1" si="2"/>
        <v>1899.72774364464</v>
      </c>
      <c r="E20" s="23">
        <f t="shared" si="2"/>
        <v>7.5649224020369701</v>
      </c>
      <c r="F20" s="23">
        <f t="shared" ca="1" si="2"/>
        <v>367.48676942042403</v>
      </c>
      <c r="G20" s="23">
        <f t="shared" si="2"/>
        <v>0</v>
      </c>
      <c r="H20" s="23">
        <f t="shared" si="2"/>
        <v>0</v>
      </c>
      <c r="I20" s="23">
        <f t="shared" si="2"/>
        <v>0</v>
      </c>
      <c r="J20" s="23">
        <f t="shared" si="2"/>
        <v>3.8975686417627589E-3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1207.0409890000001</v>
      </c>
      <c r="C26" s="39">
        <f>IF(ISERROR(B26*3.6/1000000/'E Balans VL '!Z12*100),0,B26*3.6/1000000/'E Balans VL '!Z12*100)</f>
        <v>3.4041752296173497E-2</v>
      </c>
      <c r="D26" s="233" t="s">
        <v>691</v>
      </c>
      <c r="F26" s="6"/>
    </row>
    <row r="27" spans="1:18">
      <c r="A27" s="228" t="s">
        <v>52</v>
      </c>
      <c r="B27" s="33">
        <f>IF(ISERROR(TER_horeca_ele_kWh/1000),0,TER_horeca_ele_kWh/1000)</f>
        <v>1006.690438</v>
      </c>
      <c r="C27" s="39">
        <f>IF(ISERROR(B27*3.6/1000000/'E Balans VL '!Z9*100),0,B27*3.6/1000000/'E Balans VL '!Z9*100)</f>
        <v>7.4633729110598332E-2</v>
      </c>
      <c r="D27" s="233" t="s">
        <v>691</v>
      </c>
      <c r="F27" s="6"/>
    </row>
    <row r="28" spans="1:18">
      <c r="A28" s="168" t="s">
        <v>51</v>
      </c>
      <c r="B28" s="33">
        <f>IF(ISERROR(TER_handel_ele_kWh/1000),0,TER_handel_ele_kWh/1000)</f>
        <v>4856.8932070000001</v>
      </c>
      <c r="C28" s="39">
        <f>IF(ISERROR(B28*3.6/1000000/'E Balans VL '!Z13*100),0,B28*3.6/1000000/'E Balans VL '!Z13*100)</f>
        <v>0.14550097278697793</v>
      </c>
      <c r="D28" s="233" t="s">
        <v>691</v>
      </c>
      <c r="F28" s="6"/>
    </row>
    <row r="29" spans="1:18">
      <c r="A29" s="228" t="s">
        <v>50</v>
      </c>
      <c r="B29" s="33">
        <f>IF(ISERROR(TER_gezond_ele_kWh/1000),0,TER_gezond_ele_kWh/1000)</f>
        <v>406.95953200000002</v>
      </c>
      <c r="C29" s="39">
        <f>IF(ISERROR(B29*3.6/1000000/'E Balans VL '!Z10*100),0,B29*3.6/1000000/'E Balans VL '!Z10*100)</f>
        <v>4.0240318031180188E-2</v>
      </c>
      <c r="D29" s="233" t="s">
        <v>691</v>
      </c>
      <c r="F29" s="6"/>
    </row>
    <row r="30" spans="1:18">
      <c r="A30" s="228" t="s">
        <v>49</v>
      </c>
      <c r="B30" s="33">
        <f>IF(ISERROR(TER_ander_ele_kWh/1000),0,TER_ander_ele_kWh/1000)</f>
        <v>1114.8523149999999</v>
      </c>
      <c r="C30" s="39">
        <f>IF(ISERROR(B30*3.6/1000000/'E Balans VL '!Z14*100),0,B30*3.6/1000000/'E Balans VL '!Z14*100)</f>
        <v>4.5092481538297667E-2</v>
      </c>
      <c r="D30" s="233" t="s">
        <v>691</v>
      </c>
      <c r="F30" s="6"/>
    </row>
    <row r="31" spans="1:18">
      <c r="A31" s="228" t="s">
        <v>54</v>
      </c>
      <c r="B31" s="33">
        <f>IF(ISERROR(TER_onderwijs_ele_kWh/1000),0,TER_onderwijs_ele_kWh/1000)</f>
        <v>182.651633</v>
      </c>
      <c r="C31" s="39">
        <f>IF(ISERROR(B31*3.6/1000000/'E Balans VL '!Z11*100),0,B31*3.6/1000000/'E Balans VL '!Z11*100)</f>
        <v>5.0182391787791089E-2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5502.9622099999997</v>
      </c>
      <c r="C5" s="17">
        <f>IF(ISERROR('Eigen informatie GS &amp; warmtenet'!B61),0,'Eigen informatie GS &amp; warmtenet'!B61)</f>
        <v>0</v>
      </c>
      <c r="D5" s="30">
        <f>SUM(D6:D15)</f>
        <v>2513.1057761249995</v>
      </c>
      <c r="E5" s="17">
        <f>SUM(E6:E15)</f>
        <v>15.186848105799626</v>
      </c>
      <c r="F5" s="17">
        <f>SUM(F6:F15)</f>
        <v>319.1567069701195</v>
      </c>
      <c r="G5" s="18"/>
      <c r="H5" s="17"/>
      <c r="I5" s="17"/>
      <c r="J5" s="17">
        <f>SUM(J6:J15)</f>
        <v>1.0821294207568042</v>
      </c>
      <c r="K5" s="17"/>
      <c r="L5" s="17"/>
      <c r="M5" s="17"/>
      <c r="N5" s="17">
        <f>SUM(N6:N15)</f>
        <v>247.28176785677982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1205.1614959999999</v>
      </c>
      <c r="C8" s="33"/>
      <c r="D8" s="37">
        <f>IF( ISERROR(IND_metaal_Gas_kWH/1000),0,IND_metaal_Gas_kWH/1000)*0.903</f>
        <v>679.63470741599997</v>
      </c>
      <c r="E8" s="33">
        <f>C30*'E Balans VL '!I18/100/3.6*1000000</f>
        <v>6.076634538597312</v>
      </c>
      <c r="F8" s="33">
        <f>C30*'E Balans VL '!L18/100/3.6*1000000+C30*'E Balans VL '!N18/100/3.6*1000000</f>
        <v>82.339096095216973</v>
      </c>
      <c r="G8" s="34"/>
      <c r="H8" s="33"/>
      <c r="I8" s="33"/>
      <c r="J8" s="40">
        <f>C30*'E Balans VL '!D18/100/3.6*1000000+C30*'E Balans VL '!E18/100/3.6*1000000</f>
        <v>1.0684784678039481</v>
      </c>
      <c r="K8" s="33"/>
      <c r="L8" s="33"/>
      <c r="M8" s="33"/>
      <c r="N8" s="33">
        <f>C30*'E Balans VL '!Y18/100/3.6*1000000</f>
        <v>16.016603433903786</v>
      </c>
      <c r="O8" s="33"/>
      <c r="P8" s="33"/>
      <c r="R8" s="32"/>
    </row>
    <row r="9" spans="1:18">
      <c r="A9" s="6" t="s">
        <v>32</v>
      </c>
      <c r="B9" s="37">
        <f t="shared" si="0"/>
        <v>256.500044</v>
      </c>
      <c r="C9" s="33"/>
      <c r="D9" s="37">
        <f>IF( ISERROR(IND_andere_gas_kWh/1000),0,IND_andere_gas_kWh/1000)*0.903</f>
        <v>413.17622037299998</v>
      </c>
      <c r="E9" s="33">
        <f>C31*'E Balans VL '!I19/100/3.6*1000000</f>
        <v>0.80854876075626536</v>
      </c>
      <c r="F9" s="33">
        <f>C31*'E Balans VL '!L19/100/3.6*1000000+C31*'E Balans VL '!N19/100/3.6*1000000</f>
        <v>157.01853887547389</v>
      </c>
      <c r="G9" s="34"/>
      <c r="H9" s="33"/>
      <c r="I9" s="33"/>
      <c r="J9" s="40">
        <f>C31*'E Balans VL '!D19/100/3.6*1000000+C31*'E Balans VL '!E19/100/3.6*1000000</f>
        <v>0</v>
      </c>
      <c r="K9" s="33"/>
      <c r="L9" s="33"/>
      <c r="M9" s="33"/>
      <c r="N9" s="33">
        <f>C31*'E Balans VL '!Y19/100/3.6*1000000</f>
        <v>10.755395126031237</v>
      </c>
      <c r="O9" s="33"/>
      <c r="P9" s="33"/>
      <c r="R9" s="32"/>
    </row>
    <row r="10" spans="1:18">
      <c r="A10" s="6" t="s">
        <v>40</v>
      </c>
      <c r="B10" s="37">
        <f t="shared" si="0"/>
        <v>3231.3282669999999</v>
      </c>
      <c r="C10" s="33"/>
      <c r="D10" s="37">
        <f>IF( ISERROR(IND_voed_gas_kWh/1000),0,IND_voed_gas_kWh/1000)*0.903</f>
        <v>300.22800152100001</v>
      </c>
      <c r="E10" s="33">
        <f>C32*'E Balans VL '!I20/100/3.6*1000000</f>
        <v>5.1498297610087533</v>
      </c>
      <c r="F10" s="33">
        <f>C32*'E Balans VL '!L20/100/3.6*1000000+C32*'E Balans VL '!N20/100/3.6*1000000</f>
        <v>52.501234552583867</v>
      </c>
      <c r="G10" s="34"/>
      <c r="H10" s="33"/>
      <c r="I10" s="33"/>
      <c r="J10" s="40">
        <f>C32*'E Balans VL '!D20/100/3.6*1000000+C32*'E Balans VL '!E20/100/3.6*1000000</f>
        <v>0</v>
      </c>
      <c r="K10" s="33"/>
      <c r="L10" s="33"/>
      <c r="M10" s="33"/>
      <c r="N10" s="33">
        <f>C32*'E Balans VL '!Y20/100/3.6*1000000</f>
        <v>102.06148512702546</v>
      </c>
      <c r="O10" s="33"/>
      <c r="P10" s="33"/>
      <c r="R10" s="32"/>
    </row>
    <row r="11" spans="1:18">
      <c r="A11" s="6" t="s">
        <v>39</v>
      </c>
      <c r="B11" s="37">
        <f t="shared" si="0"/>
        <v>40.304811999999998</v>
      </c>
      <c r="C11" s="33"/>
      <c r="D11" s="37">
        <f>IF( ISERROR(IND_textiel_gas_kWh/1000),0,IND_textiel_gas_kWh/1000)*0.903</f>
        <v>0</v>
      </c>
      <c r="E11" s="33">
        <f>C33*'E Balans VL '!I21/100/3.6*1000000</f>
        <v>5.8474917368386968E-2</v>
      </c>
      <c r="F11" s="33">
        <f>C33*'E Balans VL '!L21/100/3.6*1000000+C33*'E Balans VL '!N21/100/3.6*1000000</f>
        <v>0.78879106737340854</v>
      </c>
      <c r="G11" s="34"/>
      <c r="H11" s="33"/>
      <c r="I11" s="33"/>
      <c r="J11" s="40">
        <f>C33*'E Balans VL '!D21/100/3.6*1000000+C33*'E Balans VL '!E21/100/3.6*1000000</f>
        <v>0</v>
      </c>
      <c r="K11" s="33"/>
      <c r="L11" s="33"/>
      <c r="M11" s="33"/>
      <c r="N11" s="33">
        <f>C33*'E Balans VL '!Y21/100/3.6*1000000</f>
        <v>1.9635589671339604</v>
      </c>
      <c r="O11" s="33"/>
      <c r="P11" s="33"/>
      <c r="R11" s="32"/>
    </row>
    <row r="12" spans="1:18">
      <c r="A12" s="6" t="s">
        <v>36</v>
      </c>
      <c r="B12" s="37">
        <f t="shared" si="0"/>
        <v>682.33151399999997</v>
      </c>
      <c r="C12" s="33"/>
      <c r="D12" s="37">
        <f>IF( ISERROR(IND_min_gas_kWh/1000),0,IND_min_gas_kWh/1000)*0.903</f>
        <v>936.94424407500014</v>
      </c>
      <c r="E12" s="33">
        <f>C34*'E Balans VL '!I22/100/3.6*1000000</f>
        <v>2.9526332257033303</v>
      </c>
      <c r="F12" s="33">
        <f>C34*'E Balans VL '!L22/100/3.6*1000000+C34*'E Balans VL '!N22/100/3.6*1000000</f>
        <v>26.052259494565288</v>
      </c>
      <c r="G12" s="34"/>
      <c r="H12" s="33"/>
      <c r="I12" s="33"/>
      <c r="J12" s="40">
        <f>C34*'E Balans VL '!D22/100/3.6*1000000+C34*'E Balans VL '!E22/100/3.6*1000000</f>
        <v>0</v>
      </c>
      <c r="K12" s="33"/>
      <c r="L12" s="33"/>
      <c r="M12" s="33"/>
      <c r="N12" s="33">
        <f>C34*'E Balans VL '!Y22/100/3.6*1000000</f>
        <v>116.39038579803569</v>
      </c>
      <c r="O12" s="33"/>
      <c r="P12" s="33"/>
      <c r="R12" s="32"/>
    </row>
    <row r="13" spans="1:18">
      <c r="A13" s="6" t="s">
        <v>38</v>
      </c>
      <c r="B13" s="37">
        <f t="shared" si="0"/>
        <v>81.752957999999992</v>
      </c>
      <c r="C13" s="33"/>
      <c r="D13" s="37">
        <f>IF( ISERROR(IND_papier_gas_kWh/1000),0,IND_papier_gas_kWh/1000)*0.903</f>
        <v>0</v>
      </c>
      <c r="E13" s="33">
        <f>C35*'E Balans VL '!I23/100/3.6*1000000</f>
        <v>0</v>
      </c>
      <c r="F13" s="33">
        <f>C35*'E Balans VL '!L23/100/3.6*1000000+C35*'E Balans VL '!N23/100/3.6*1000000</f>
        <v>3.5419182819929232E-3</v>
      </c>
      <c r="G13" s="34"/>
      <c r="H13" s="33"/>
      <c r="I13" s="33"/>
      <c r="J13" s="40">
        <f>C35*'E Balans VL '!D23/100/3.6*1000000+C35*'E Balans VL '!E23/100/3.6*1000000</f>
        <v>2.2526838941797408E-3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5.5831189999999999</v>
      </c>
      <c r="C15" s="33"/>
      <c r="D15" s="37">
        <f>IF( ISERROR(IND_rest_gas_kWh/1000),0,IND_rest_gas_kWh/1000)*0.903</f>
        <v>183.12260273999999</v>
      </c>
      <c r="E15" s="33">
        <f>C37*'E Balans VL '!I15/100/3.6*1000000</f>
        <v>0.14072690236557611</v>
      </c>
      <c r="F15" s="33">
        <f>C37*'E Balans VL '!L15/100/3.6*1000000+C37*'E Balans VL '!N15/100/3.6*1000000</f>
        <v>0.45324496662406355</v>
      </c>
      <c r="G15" s="34"/>
      <c r="H15" s="33"/>
      <c r="I15" s="33"/>
      <c r="J15" s="40">
        <f>C37*'E Balans VL '!D15/100/3.6*1000000+C37*'E Balans VL '!E15/100/3.6*1000000</f>
        <v>1.1398269058676535E-2</v>
      </c>
      <c r="K15" s="33"/>
      <c r="L15" s="33"/>
      <c r="M15" s="33"/>
      <c r="N15" s="33">
        <f>C37*'E Balans VL '!Y15/100/3.6*1000000</f>
        <v>9.4339404649691719E-2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5502.9622099999997</v>
      </c>
      <c r="C18" s="21">
        <f>C5+C16</f>
        <v>0</v>
      </c>
      <c r="D18" s="21">
        <f>MAX((D5+D16),0)</f>
        <v>2513.1057761249995</v>
      </c>
      <c r="E18" s="21">
        <f>MAX((E5+E16),0)</f>
        <v>15.186848105799626</v>
      </c>
      <c r="F18" s="21">
        <f>MAX((F5+F16),0)</f>
        <v>319.1567069701195</v>
      </c>
      <c r="G18" s="21"/>
      <c r="H18" s="21"/>
      <c r="I18" s="21"/>
      <c r="J18" s="21">
        <f>MAX((J5+J16),0)</f>
        <v>1.0821294207568042</v>
      </c>
      <c r="K18" s="21"/>
      <c r="L18" s="21">
        <f>MAX((L5+L16),0)</f>
        <v>0</v>
      </c>
      <c r="M18" s="21"/>
      <c r="N18" s="21">
        <f>MAX((N5+N16),0)</f>
        <v>247.28176785677982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0.18534846976138925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1019.9656247782527</v>
      </c>
      <c r="C22" s="23">
        <f ca="1">C18*C20</f>
        <v>0</v>
      </c>
      <c r="D22" s="23">
        <f>D18*D20</f>
        <v>507.64736677724994</v>
      </c>
      <c r="E22" s="23">
        <f>E18*E20</f>
        <v>3.4474145200165154</v>
      </c>
      <c r="F22" s="23">
        <f>F18*F20</f>
        <v>85.214840761021918</v>
      </c>
      <c r="G22" s="23"/>
      <c r="H22" s="23"/>
      <c r="I22" s="23"/>
      <c r="J22" s="23">
        <f>J18*J20</f>
        <v>0.38307381494790865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1205.1614959999999</v>
      </c>
      <c r="C30" s="39">
        <f>IF(ISERROR(B30*3.6/1000000/'E Balans VL '!Z18*100),0,B30*3.6/1000000/'E Balans VL '!Z18*100)</f>
        <v>5.9821500530236417E-2</v>
      </c>
      <c r="D30" s="233" t="s">
        <v>691</v>
      </c>
    </row>
    <row r="31" spans="1:18">
      <c r="A31" s="6" t="s">
        <v>32</v>
      </c>
      <c r="B31" s="37">
        <f>IF( ISERROR(IND_ander_ele_kWh/1000),0,IND_ander_ele_kWh/1000)</f>
        <v>256.500044</v>
      </c>
      <c r="C31" s="39">
        <f>IF(ISERROR(B31*3.6/1000000/'E Balans VL '!Z19*100),0,B31*3.6/1000000/'E Balans VL '!Z19*100)</f>
        <v>8.6555620974467871E-3</v>
      </c>
      <c r="D31" s="233" t="s">
        <v>691</v>
      </c>
    </row>
    <row r="32" spans="1:18">
      <c r="A32" s="168" t="s">
        <v>40</v>
      </c>
      <c r="B32" s="37">
        <f>IF( ISERROR(IND_voed_ele_kWh/1000),0,IND_voed_ele_kWh/1000)</f>
        <v>3231.3282669999999</v>
      </c>
      <c r="C32" s="39">
        <f>IF(ISERROR(B32*3.6/1000000/'E Balans VL '!Z20*100),0,B32*3.6/1000000/'E Balans VL '!Z20*100)</f>
        <v>7.5885524687406586E-2</v>
      </c>
      <c r="D32" s="233" t="s">
        <v>691</v>
      </c>
    </row>
    <row r="33" spans="1:5">
      <c r="A33" s="168" t="s">
        <v>39</v>
      </c>
      <c r="B33" s="37">
        <f>IF( ISERROR(IND_textiel_ele_kWh/1000),0,IND_textiel_ele_kWh/1000)</f>
        <v>40.304811999999998</v>
      </c>
      <c r="C33" s="39">
        <f>IF(ISERROR(B33*3.6/1000000/'E Balans VL '!Z21*100),0,B33*3.6/1000000/'E Balans VL '!Z21*100)</f>
        <v>4.4234020282873099E-3</v>
      </c>
      <c r="D33" s="233" t="s">
        <v>691</v>
      </c>
    </row>
    <row r="34" spans="1:5">
      <c r="A34" s="168" t="s">
        <v>36</v>
      </c>
      <c r="B34" s="37">
        <f>IF( ISERROR(IND_min_ele_kWh/1000),0,IND_min_ele_kWh/1000)</f>
        <v>682.33151399999997</v>
      </c>
      <c r="C34" s="39">
        <f>IF(ISERROR(B34*3.6/1000000/'E Balans VL '!Z22*100),0,B34*3.6/1000000/'E Balans VL '!Z22*100)</f>
        <v>9.6802889473045495E-2</v>
      </c>
      <c r="D34" s="233" t="s">
        <v>691</v>
      </c>
    </row>
    <row r="35" spans="1:5">
      <c r="A35" s="168" t="s">
        <v>38</v>
      </c>
      <c r="B35" s="37">
        <f>IF( ISERROR(IND_papier_ele_kWh/1000),0,IND_papier_ele_kWh/1000)</f>
        <v>81.752957999999992</v>
      </c>
      <c r="C35" s="39">
        <f>IF(ISERROR(B35*3.6/1000000/'E Balans VL '!Z22*100),0,B35*3.6/1000000/'E Balans VL '!Z22*100)</f>
        <v>1.1598354165081891E-2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5.5831189999999999</v>
      </c>
      <c r="C37" s="39">
        <f>IF(ISERROR(B37*3.6/1000000/'E Balans VL '!Z15*100),0,B37*3.6/1000000/'E Balans VL '!Z15*100)</f>
        <v>2.0922901494589272E-5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1089.8738410000001</v>
      </c>
      <c r="C5" s="17">
        <f>'Eigen informatie GS &amp; warmtenet'!B62</f>
        <v>0</v>
      </c>
      <c r="D5" s="30">
        <f>IF(ISERROR(SUM(LB_lb_gas_kWh,LB_rest_gas_kWh)/1000),0,SUM(LB_lb_gas_kWh,LB_rest_gas_kWh)/1000)*0.903</f>
        <v>169.89852352199998</v>
      </c>
      <c r="E5" s="17">
        <f>B17*'E Balans VL '!I25/3.6*1000000/100</f>
        <v>40.644729217158513</v>
      </c>
      <c r="F5" s="17">
        <f>B17*('E Balans VL '!L25/3.6*1000000+'E Balans VL '!N25/3.6*1000000)/100</f>
        <v>3535.9718840336736</v>
      </c>
      <c r="G5" s="18"/>
      <c r="H5" s="17"/>
      <c r="I5" s="17"/>
      <c r="J5" s="17">
        <f>('E Balans VL '!D25+'E Balans VL '!E25)/3.6*1000000*landbouw!B17/100</f>
        <v>286.09726386844039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1089.8738410000001</v>
      </c>
      <c r="C8" s="21">
        <f>C5+C6</f>
        <v>0</v>
      </c>
      <c r="D8" s="21">
        <f>MAX((D5+D6),0)</f>
        <v>169.89852352199998</v>
      </c>
      <c r="E8" s="21">
        <f>MAX((E5+E6),0)</f>
        <v>40.644729217158513</v>
      </c>
      <c r="F8" s="21">
        <f>MAX((F5+F6),0)</f>
        <v>3535.9718840336736</v>
      </c>
      <c r="G8" s="21"/>
      <c r="H8" s="21"/>
      <c r="I8" s="21"/>
      <c r="J8" s="21">
        <f>MAX((J5+J6),0)</f>
        <v>286.09726386844039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0.18534846976138925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202.00644866231767</v>
      </c>
      <c r="C12" s="23">
        <f ca="1">C8*C10</f>
        <v>0</v>
      </c>
      <c r="D12" s="23">
        <f>D8*D10</f>
        <v>34.319501751443994</v>
      </c>
      <c r="E12" s="23">
        <f>E8*E10</f>
        <v>9.2263535322949828</v>
      </c>
      <c r="F12" s="23">
        <f>F8*F10</f>
        <v>944.1044930369909</v>
      </c>
      <c r="G12" s="23"/>
      <c r="H12" s="23"/>
      <c r="I12" s="23"/>
      <c r="J12" s="23">
        <f>J8*J10</f>
        <v>101.2784314094279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0.14969132801555829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60.926858981602372</v>
      </c>
      <c r="C26" s="243">
        <f>B26*'GWP N2O_CH4'!B5</f>
        <v>1279.4640386136498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48.549171530862679</v>
      </c>
      <c r="C27" s="243">
        <f>B27*'GWP N2O_CH4'!B5</f>
        <v>1019.5326021481162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1.0187722558253438</v>
      </c>
      <c r="C28" s="243">
        <f>B28*'GWP N2O_CH4'!B4</f>
        <v>315.81939930585656</v>
      </c>
      <c r="D28" s="50"/>
    </row>
    <row r="29" spans="1:4">
      <c r="A29" s="41" t="s">
        <v>272</v>
      </c>
      <c r="B29" s="243">
        <f>B34*'ha_N2O bodem landbouw'!B4</f>
        <v>10.786137439702186</v>
      </c>
      <c r="C29" s="243">
        <f>B29*'GWP N2O_CH4'!B4</f>
        <v>3343.7026063076778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2.4581915256875267E-3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5.8030051883346931E-4</v>
      </c>
      <c r="C5" s="434" t="s">
        <v>210</v>
      </c>
      <c r="D5" s="419">
        <f>SUM(D6:D11)</f>
        <v>9.3643147766381361E-4</v>
      </c>
      <c r="E5" s="419">
        <f>SUM(E6:E11)</f>
        <v>5.7884573994036563E-4</v>
      </c>
      <c r="F5" s="432" t="s">
        <v>210</v>
      </c>
      <c r="G5" s="419">
        <f>SUM(G6:G11)</f>
        <v>0.25247070361907548</v>
      </c>
      <c r="H5" s="419">
        <f>SUM(H6:H11)</f>
        <v>5.8413694187143657E-2</v>
      </c>
      <c r="I5" s="434" t="s">
        <v>210</v>
      </c>
      <c r="J5" s="434" t="s">
        <v>210</v>
      </c>
      <c r="K5" s="434" t="s">
        <v>210</v>
      </c>
      <c r="L5" s="434" t="s">
        <v>210</v>
      </c>
      <c r="M5" s="419">
        <f>SUM(M6:M11)</f>
        <v>1.8275156345358874E-2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9.60648812494718E-5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1.6693055903190942E-4</v>
      </c>
      <c r="E6" s="885">
        <f>vkm_GW_PW*SUMIFS(TableVerdeelsleutelVkm[LPG],TableVerdeelsleutelVkm[Voertuigtype],"Lichte voertuigen")*SUMIFS(TableECFTransport[EnergieConsumptieFactor (PJ per km)],TableECFTransport[Index],CONCATENATE($A6,"_LPG_LPG"))</f>
        <v>9.2824280216614077E-5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2.7894578773061826E-2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1.0170456673071603E-2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2.277525157245597E-3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6.3769880444823213E-8</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2.6392757868455101E-3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2.6849792594332392E-8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1.4859529577920447E-4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1.0814757288349813E-4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2.412926083029298E-4</v>
      </c>
      <c r="E8" s="422">
        <f>vkm_NGW_PW*SUMIFS(TableVerdeelsleutelVkm[LPG],TableVerdeelsleutelVkm[Voertuigtype],"Lichte voertuigen")*SUMIFS(TableECFTransport[EnergieConsumptieFactor (PJ per km)],TableECFTransport[Index],CONCATENATE($A8,"_LPG_LPG"))</f>
        <v>1.2851194320433328E-4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3.5541126619588123E-2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1.4521053141504417E-2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3.0104800647106035E-3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3.3928964192198474E-9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1.8083274565211432E-4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1.7242982209724671E-9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1.0181154352099661E-5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3.7375630529944658E-4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5.2820831032897439E-4</v>
      </c>
      <c r="E10" s="422">
        <f>vkm_SW_PW*SUMIFS(TableVerdeelsleutelVkm[LPG],TableVerdeelsleutelVkm[Voertuigtype],"Lichte voertuigen")*SUMIFS(TableECFTransport[EnergieConsumptieFactor (PJ per km)],TableECFTransport[Index],CONCATENATE($A10,"_LPG_LPG"))</f>
        <v>3.5750951651941832E-4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9.7669977501852176E-2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3.3721174397180205E-2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7.8431540023478526E-3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2.2645966241887477E-6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8.8544912192075734E-2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9.8140129661109687E-7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4.9852206709235149E-3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161.19458856485258</v>
      </c>
      <c r="C14" s="21"/>
      <c r="D14" s="21">
        <f t="shared" ref="D14:M14" si="0">((D5)*10^9/3600)+D12</f>
        <v>260.11985490661488</v>
      </c>
      <c r="E14" s="21">
        <f t="shared" si="0"/>
        <v>160.79048331676825</v>
      </c>
      <c r="F14" s="21"/>
      <c r="G14" s="21">
        <f t="shared" si="0"/>
        <v>70130.751005298749</v>
      </c>
      <c r="H14" s="21">
        <f t="shared" si="0"/>
        <v>16226.026163095459</v>
      </c>
      <c r="I14" s="21"/>
      <c r="J14" s="21"/>
      <c r="K14" s="21"/>
      <c r="L14" s="21"/>
      <c r="M14" s="21">
        <f t="shared" si="0"/>
        <v>5076.4323181552427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0.18534846976138925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29.877170324312161</v>
      </c>
      <c r="C18" s="23"/>
      <c r="D18" s="23">
        <f t="shared" ref="D18:M18" si="1">D14*D16</f>
        <v>52.544210691136207</v>
      </c>
      <c r="E18" s="23">
        <f t="shared" si="1"/>
        <v>36.499439712906394</v>
      </c>
      <c r="F18" s="23"/>
      <c r="G18" s="23">
        <f t="shared" si="1"/>
        <v>18724.910518414767</v>
      </c>
      <c r="H18" s="23">
        <f t="shared" si="1"/>
        <v>4040.2805146107694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2.26535670267291E-5</v>
      </c>
      <c r="C50" s="315">
        <f t="shared" ref="C50:P50" si="2">SUM(C51:C52)</f>
        <v>0</v>
      </c>
      <c r="D50" s="315">
        <f t="shared" si="2"/>
        <v>0</v>
      </c>
      <c r="E50" s="315">
        <f t="shared" si="2"/>
        <v>0</v>
      </c>
      <c r="F50" s="315">
        <f t="shared" si="2"/>
        <v>0</v>
      </c>
      <c r="G50" s="315">
        <f t="shared" si="2"/>
        <v>1.6169707753818162E-3</v>
      </c>
      <c r="H50" s="315">
        <f t="shared" si="2"/>
        <v>0</v>
      </c>
      <c r="I50" s="315">
        <f t="shared" si="2"/>
        <v>0</v>
      </c>
      <c r="J50" s="315">
        <f t="shared" si="2"/>
        <v>0</v>
      </c>
      <c r="K50" s="315">
        <f t="shared" si="2"/>
        <v>0</v>
      </c>
      <c r="L50" s="315">
        <f t="shared" si="2"/>
        <v>0</v>
      </c>
      <c r="M50" s="315">
        <f t="shared" si="2"/>
        <v>8.9286852509129369E-5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2.26535670267291E-5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1.6169707753818162E-3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8.9286852509129369E-5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6.2926575074247495</v>
      </c>
      <c r="C54" s="21">
        <f t="shared" ref="C54:P54" si="3">(C50)*10^9/3600</f>
        <v>0</v>
      </c>
      <c r="D54" s="21">
        <f t="shared" si="3"/>
        <v>0</v>
      </c>
      <c r="E54" s="21">
        <f t="shared" si="3"/>
        <v>0</v>
      </c>
      <c r="F54" s="21">
        <f t="shared" si="3"/>
        <v>0</v>
      </c>
      <c r="G54" s="21">
        <f t="shared" si="3"/>
        <v>449.15854871717113</v>
      </c>
      <c r="H54" s="21">
        <f t="shared" si="3"/>
        <v>0</v>
      </c>
      <c r="I54" s="21">
        <f t="shared" si="3"/>
        <v>0</v>
      </c>
      <c r="J54" s="21">
        <f t="shared" si="3"/>
        <v>0</v>
      </c>
      <c r="K54" s="21">
        <f t="shared" si="3"/>
        <v>0</v>
      </c>
      <c r="L54" s="21">
        <f t="shared" si="3"/>
        <v>0</v>
      </c>
      <c r="M54" s="21">
        <f t="shared" si="3"/>
        <v>24.801903474758159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0.18534846976138925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1.1663344397336952</v>
      </c>
      <c r="C58" s="23">
        <f t="shared" ref="C58:P58" ca="1" si="4">C54*C56</f>
        <v>0</v>
      </c>
      <c r="D58" s="23">
        <f t="shared" si="4"/>
        <v>0</v>
      </c>
      <c r="E58" s="23">
        <f t="shared" si="4"/>
        <v>0</v>
      </c>
      <c r="F58" s="23">
        <f t="shared" si="4"/>
        <v>0</v>
      </c>
      <c r="G58" s="23">
        <f t="shared" si="4"/>
        <v>119.9253325074847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5277.8481376562868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5277.8481376562868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2021-06-29T14:38:09Z</dcterms:modified>
</cp:coreProperties>
</file>