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F5" i="13" s="1"/>
  <c r="F8" i="13" s="1"/>
  <c r="G11" i="14" s="1"/>
  <c r="B34" i="13"/>
  <c r="B33" i="13"/>
  <c r="B35" i="13"/>
  <c r="C35" i="13" s="1"/>
  <c r="B32" i="13"/>
  <c r="C34" i="13"/>
  <c r="B13" i="15"/>
  <c r="F6" i="17"/>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<sst xmlns="http://schemas.openxmlformats.org/spreadsheetml/2006/main" count="2448" uniqueCount="883">
  <si>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</si>
  <si>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</si>
  <si>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</si>
  <si>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</si>
  <si>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</si>
  <si>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</si>
  <si>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</si>
  <si>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</si>
  <si>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</si>
  <si>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</si>
  <si>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</si>
  <si>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</si>
  <si>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</si>
  <si>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</si>
  <si>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</si>
  <si>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</si>
  <si>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</si>
  <si>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</si>
  <si>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</si>
  <si>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</si>
  <si>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</si>
  <si>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</si>
  <si>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</si>
  <si>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</si>
  <si>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</si>
  <si>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</si>
  <si>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</si>
  <si>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</si>
  <si>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</si>
  <si>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</si>
  <si>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</si>
  <si>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</si>
  <si>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</si>
  <si>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</si>
  <si>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</si>
  <si>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</si>
  <si>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</si>
  <si>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</si>
  <si>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</si>
  <si>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</si>
  <si>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</si>
  <si>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</si>
  <si>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</si>
  <si>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</si>
  <si>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</si>
  <si>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</si>
  <si>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</si>
  <si>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</si>
  <si>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</si>
  <si>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</si>
  <si>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</si>
  <si>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</si>
  <si>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</si>
  <si>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</si>
  <si>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</si>
  <si>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</si>
  <si>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</si>
  <si>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</si>
  <si>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</si>
  <si>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</si>
  <si>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</si>
  <si>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</si>
  <si>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</si>
  <si>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</si>
  <si>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</si>
  <si>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</si>
  <si>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</si>
  <si>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</si>
  <si>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</si>
  <si>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</si>
  <si>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</si>
  <si>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</si>
  <si>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</si>
  <si>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</si>
  <si>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</si>
  <si>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</si>
  <si>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</si>
  <si>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</si>
  <si>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</si>
  <si>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</si>
  <si>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</si>
  <si>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</si>
  <si>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</si>
  <si>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</si>
  <si>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</si>
  <si>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</si>
  <si>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</si>
  <si>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</si>
  <si>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</si>
  <si>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</si>
  <si>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</si>
  <si>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</si>
  <si>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</si>
  <si>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</si>
  <si>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</si>
  <si>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</si>
  <si>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</si>
  <si>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</si>
  <si>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</si>
  <si>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</si>
  <si>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</si>
  <si>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</si>
  <si>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</si>
  <si>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</si>
  <si>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</si>
  <si>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</si>
  <si>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</si>
  <si>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</si>
  <si>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</si>
  <si>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</si>
  <si>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</si>
  <si>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</si>
  <si>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</si>
  <si>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</si>
  <si>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</si>
  <si>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</si>
  <si>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</si>
  <si>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</si>
  <si>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</si>
  <si>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</si>
  <si>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</si>
  <si>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</si>
  <si>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</si>
  <si>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</si>
  <si>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</si>
  <si>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</si>
  <si>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</si>
  <si>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</si>
  <si>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</si>
  <si>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</si>
  <si>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</si>
  <si>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</si>
  <si>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</si>
  <si>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</si>
  <si>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</si>
  <si>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</si>
  <si>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</si>
  <si>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</si>
  <si>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</si>
  <si>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</si>
  <si>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</si>
  <si>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</si>
  <si>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</si>
  <si>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</si>
  <si>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</si>
  <si>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</si>
  <si>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</si>
  <si>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</si>
  <si>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</si>
  <si>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</si>
  <si>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</si>
  <si>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</si>
  <si>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</si>
  <si>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</si>
  <si>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</si>
  <si>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</si>
  <si>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</si>
  <si>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</si>
  <si>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</si>
  <si>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</si>
  <si>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</si>
  <si>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</si>
  <si>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</si>
  <si>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</si>
  <si>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</si>
  <si>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</si>
  <si>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</si>
  <si>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</si>
  <si>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</si>
  <si>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</si>
  <si>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</si>
  <si>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</si>
  <si>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</si>
  <si>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</si>
  <si>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</si>
  <si>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</si>
  <si>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</si>
  <si>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</si>
  <si>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</si>
  <si>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</si>
  <si>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</si>
  <si>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</si>
  <si>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</si>
  <si>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</si>
  <si>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</si>
  <si>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</si>
  <si>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</si>
  <si>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</si>
  <si>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</si>
  <si>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</si>
  <si>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</si>
  <si>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</si>
  <si>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</si>
  <si>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</si>
  <si>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</si>
  <si>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</si>
  <si>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</si>
  <si>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</si>
  <si>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</si>
  <si>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</si>
  <si>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</si>
  <si>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</si>
  <si>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</si>
  <si>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</si>
  <si>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</si>
  <si>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</si>
  <si>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</si>
  <si>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</si>
  <si>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</si>
  <si>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</si>
  <si>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</si>
  <si>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</si>
  <si>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</si>
  <si>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</si>
  <si>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</si>
  <si>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</si>
  <si>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</si>
  <si>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</si>
  <si>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</si>
  <si>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</si>
  <si>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</si>
  <si>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</si>
  <si>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</si>
  <si>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</si>
  <si>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</si>
  <si>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</si>
  <si>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</si>
  <si>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</si>
  <si>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</si>
  <si>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</si>
  <si>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</si>
  <si>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</si>
  <si>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</si>
  <si>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</si>
  <si>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</si>
  <si>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</si>
  <si>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</si>
  <si>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</si>
  <si>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</si>
  <si>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</si>
  <si>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</si>
  <si>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</si>
  <si>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</si>
  <si>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</si>
  <si>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</si>
  <si>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</si>
  <si>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</si>
  <si>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</si>
  <si>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</si>
  <si>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</si>
  <si>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</si>
  <si>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</si>
  <si>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</si>
  <si>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</si>
  <si>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</si>
  <si>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</si>
  <si>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</si>
  <si>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</si>
  <si>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</si>
  <si>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</si>
  <si>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</si>
  <si>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</si>
  <si>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</si>
  <si>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</si>
  <si>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</si>
  <si>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</si>
  <si>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</si>
  <si>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</si>
  <si>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</si>
  <si>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</si>
  <si>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</si>
  <si>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</si>
  <si>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</si>
  <si>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</si>
  <si>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</si>
  <si>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</si>
  <si>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</si>
  <si>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</si>
  <si>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</si>
  <si>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</si>
  <si>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</si>
  <si>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</si>
  <si>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</si>
  <si>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</si>
  <si>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</si>
  <si>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</si>
  <si>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</si>
  <si>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</si>
  <si>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</si>
  <si>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</si>
  <si>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</si>
  <si>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</si>
  <si>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</si>
  <si>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</si>
  <si>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</si>
  <si>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</si>
  <si>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</si>
  <si>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</si>
  <si>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</si>
  <si>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</si>
  <si>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</si>
  <si>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</si>
  <si>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</si>
  <si>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</si>
  <si>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</si>
  <si>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</si>
  <si>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</si>
  <si>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</si>
  <si>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</si>
  <si>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</si>
  <si>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</si>
  <si>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</si>
  <si>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</si>
  <si>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</si>
  <si>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</si>
  <si>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</si>
  <si>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</si>
  <si>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</si>
  <si>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</si>
  <si>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</si>
  <si>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</si>
  <si>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</si>
  <si>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</si>
  <si>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</si>
  <si>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</si>
  <si>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</si>
  <si>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</si>
  <si>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</si>
  <si>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</si>
  <si>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</si>
  <si>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</si>
  <si>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</si>
  <si>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</si>
  <si>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</si>
  <si>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</si>
  <si>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</si>
  <si>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</si>
  <si>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</si>
  <si>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</si>
  <si>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</si>
  <si>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</si>
  <si>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</si>
  <si>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</si>
  <si>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</si>
  <si>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</si>
  <si>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</si>
  <si>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</si>
  <si>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</si>
  <si>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</si>
  <si>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</si>
  <si>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</si>
  <si>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</si>
  <si>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</si>
  <si>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</si>
  <si>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</si>
  <si>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</si>
  <si>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</si>
  <si>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</si>
  <si>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</si>
  <si>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</si>
  <si>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</si>
  <si>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</si>
  <si>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</si>
  <si>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</si>
  <si>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</si>
  <si>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</si>
  <si>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</si>
  <si>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</si>
  <si>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</si>
  <si>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</si>
  <si>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</si>
  <si>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</si>
  <si>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</si>
  <si>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</si>
  <si>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</si>
  <si>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</si>
  <si>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</si>
  <si>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</si>
  <si>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</si>
  <si>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</si>
  <si>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</si>
  <si>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</si>
  <si>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</si>
  <si>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</si>
  <si>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</si>
  <si>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</si>
  <si>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</si>
  <si>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</si>
  <si>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</si>
  <si>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</si>
  <si>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</si>
  <si>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</si>
  <si>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</si>
  <si>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</si>
  <si>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</si>
  <si>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</si>
  <si>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</si>
  <si>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</si>
  <si>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</si>
  <si>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</si>
  <si>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</si>
  <si>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</si>
  <si>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</si>
  <si>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</si>
  <si>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</si>
  <si>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</si>
  <si>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</si>
  <si>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</si>
  <si>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</si>
  <si>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</si>
  <si>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</si>
  <si>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</si>
  <si>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</si>
  <si>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</si>
  <si>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</si>
  <si>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</si>
  <si>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</si>
  <si>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</si>
  <si>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</si>
  <si>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</si>
  <si>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</si>
  <si>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</si>
  <si>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</si>
  <si>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</si>
  <si>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</si>
  <si>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</si>
  <si>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</si>
  <si>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</si>
  <si>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</si>
  <si>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</si>
  <si>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</si>
  <si>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</si>
  <si>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</si>
  <si>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</si>
  <si>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</si>
  <si>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</si>
  <si>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</si>
  <si>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</si>
  <si>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</si>
  <si>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</si>
  <si>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</si>
  <si>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</si>
  <si>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</si>
  <si>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</si>
  <si>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</si>
  <si>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</si>
  <si>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</si>
  <si>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</si>
  <si>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</si>
  <si>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</si>
  <si>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</si>
  <si>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</si>
  <si>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</si>
  <si>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</si>
  <si>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</si>
  <si>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</si>
  <si>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</si>
  <si>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</si>
  <si>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</si>
  <si>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</si>
  <si>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</si>
  <si>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</si>
  <si>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</si>
  <si>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</si>
  <si>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</si>
  <si>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</si>
  <si>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</si>
  <si>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</si>
  <si>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</si>
  <si>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</si>
  <si>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</si>
  <si>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</si>
  <si>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</si>
  <si>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</si>
  <si>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</si>
  <si>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</si>
  <si>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</si>
  <si>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</si>
  <si>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</si>
  <si>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</si>
  <si>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</si>
  <si>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</si>
  <si>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</si>
  <si>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</si>
  <si>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</si>
  <si>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</si>
  <si>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</si>
  <si>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</si>
  <si>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</si>
  <si>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</si>
  <si>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</si>
  <si>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</si>
  <si>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</si>
  <si>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</si>
  <si>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</si>
  <si>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</si>
  <si>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</si>
  <si>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</si>
  <si>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</si>
  <si>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</si>
  <si>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</si>
  <si>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</si>
  <si>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</si>
  <si>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</si>
  <si>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</si>
  <si>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</si>
  <si>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</si>
  <si>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</si>
  <si>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</si>
  <si>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</si>
  <si>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</si>
  <si>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</si>
  <si>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</si>
  <si>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</si>
  <si>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</si>
  <si>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</si>
  <si>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</si>
  <si>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</si>
  <si>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</si>
  <si>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</si>
  <si>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</si>
  <si>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</si>
  <si>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</si>
  <si>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</si>
  <si>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</si>
  <si>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</si>
  <si>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</si>
  <si>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</si>
  <si>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</si>
  <si>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</si>
  <si>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</si>
  <si>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</si>
  <si>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</si>
  <si>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</si>
  <si>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</si>
  <si>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</si>
  <si>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</si>
  <si>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</si>
  <si>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</si>
  <si>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</si>
  <si>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</si>
  <si>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</si>
  <si>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</si>
  <si>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</si>
  <si>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</si>
  <si>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</si>
  <si>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</si>
  <si>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</si>
  <si>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</si>
  <si>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</si>
  <si>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</si>
  <si>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</si>
  <si>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</si>
  <si>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</si>
  <si>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</si>
  <si>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</si>
  <si>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</si>
  <si>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</si>
  <si>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</si>
  <si>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</si>
  <si>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</si>
  <si>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</si>
  <si>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</si>
  <si>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</si>
  <si>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</si>
  <si>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</si>
  <si>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</si>
  <si>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</si>
  <si>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</si>
  <si>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</si>
  <si>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</si>
  <si>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</si>
  <si>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</si>
  <si>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</si>
  <si>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</si>
  <si>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</si>
  <si>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</si>
  <si>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</si>
  <si>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</si>
  <si>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</si>
  <si>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</si>
  <si>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</si>
  <si>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</si>
  <si>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</si>
  <si>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</si>
  <si>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</si>
  <si>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</si>
  <si>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</si>
  <si>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</si>
  <si>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</si>
  <si>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</si>
  <si>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</si>
  <si>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</si>
  <si>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</si>
  <si>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</si>
  <si>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</si>
  <si>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</si>
  <si>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</si>
  <si>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</si>
  <si>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</si>
  <si>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</si>
  <si>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</si>
  <si>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</si>
  <si>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</si>
  <si>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</si>
  <si>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</si>
  <si>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</si>
  <si>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</si>
  <si>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</si>
  <si>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</si>
  <si>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</si>
  <si>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</si>
  <si>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</si>
  <si>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</si>
  <si>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</si>
  <si>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</si>
  <si>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</si>
  <si>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</si>
  <si>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</si>
  <si>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</si>
  <si>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</si>
  <si>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</si>
  <si>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</si>
  <si>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</si>
  <si>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</si>
  <si>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</si>
  <si>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</si>
  <si>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</si>
  <si>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</si>
  <si>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</si>
  <si>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</si>
  <si>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</si>
  <si>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</si>
  <si>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</si>
  <si>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</si>
  <si>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</si>
  <si>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</si>
  <si>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</si>
  <si>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</si>
  <si>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</si>
  <si>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</si>
  <si>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</si>
  <si>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</si>
  <si>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</si>
  <si>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</si>
  <si>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</si>
  <si>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</si>
  <si>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</si>
  <si>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</si>
  <si>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</si>
  <si>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</si>
  <si>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</si>
  <si>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</si>
  <si>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</si>
  <si>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</si>
  <si>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</si>
  <si>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</si>
  <si>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</si>
  <si>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</si>
  <si>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</si>
  <si>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</si>
  <si>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</si>
  <si>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</si>
  <si>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</si>
  <si>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</si>
  <si>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</si>
  <si>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</si>
  <si>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</si>
  <si>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</si>
  <si>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</si>
  <si>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</si>
  <si>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</si>
  <si>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</si>
  <si>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</si>
  <si>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</si>
  <si>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</si>
  <si>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</si>
  <si>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</si>
  <si>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</si>
  <si>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</si>
  <si>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</si>
  <si>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</si>
  <si>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</si>
  <si>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</si>
  <si>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</si>
  <si>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</si>
  <si>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</si>
  <si>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</si>
  <si>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</si>
  <si>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</si>
  <si>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</si>
  <si>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</si>
  <si>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</si>
  <si>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</si>
  <si>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</si>
  <si>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</si>
  <si>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</si>
  <si>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</si>
  <si>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</si>
  <si>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</si>
  <si>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</si>
  <si>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</si>
  <si>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</si>
  <si>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</si>
  <si>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</si>
  <si>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</si>
  <si>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</si>
  <si>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</si>
  <si>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</si>
  <si>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</si>
  <si>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</si>
  <si>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</si>
  <si>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</si>
  <si>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</si>
  <si>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</si>
  <si>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</si>
  <si>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</si>
  <si>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</si>
  <si>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</si>
  <si>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</si>
  <si>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</si>
  <si>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</si>
  <si>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</si>
  <si>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</si>
  <si>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</si>
  <si>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</si>
  <si>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</si>
  <si>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</si>
  <si>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</si>
  <si>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</si>
  <si>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</si>
  <si>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</si>
  <si>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</si>
  <si>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</si>
  <si>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</si>
  <si>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</si>
  <si>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</si>
  <si>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</si>
  <si>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</si>
  <si>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</si>
  <si>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</si>
  <si>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</si>
  <si>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</si>
  <si>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</si>
  <si>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</si>
  <si>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</si>
  <si>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</si>
  <si>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</si>
  <si>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</si>
  <si>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</si>
  <si>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</si>
  <si>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</si>
  <si>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</si>
  <si>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</si>
  <si>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</si>
  <si>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</si>
  <si>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</si>
  <si>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</si>
  <si>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</si>
  <si>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</si>
  <si>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</si>
  <si>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</si>
  <si>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</si>
  <si>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</si>
  <si>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</si>
  <si>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</si>
  <si>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</si>
  <si>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</si>
  <si>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</si>
  <si>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</si>
  <si>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</si>
  <si>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</si>
  <si>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</si>
  <si>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</si>
  <si>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</si>
  <si>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</si>
  <si>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</si>
  <si>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</si>
  <si>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</si>
  <si>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</si>
  <si>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</si>
  <si>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</si>
  <si>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</si>
  <si>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</si>
  <si>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</si>
  <si>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</si>
  <si>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</si>
  <si>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</si>
  <si>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</si>
  <si>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</si>
  <si>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</si>
  <si>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</si>
  <si>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</si>
  <si>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</si>
  <si>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</si>
  <si>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</si>
  <si>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</si>
  <si>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</si>
  <si>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</si>
  <si>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</si>
  <si>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</si>
  <si>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</si>
  <si>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</si>
  <si>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</si>
  <si>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</si>
  <si>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</si>
  <si>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</si>
  <si>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</si>
  <si>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</si>
  <si>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</si>
  <si>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</si>
  <si>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</si>
  <si>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</si>
  <si>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</si>
  <si>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</si>
  <si>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</si>
  <si>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</si>
  <si>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</si>
  <si>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</si>
  <si>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</si>
  <si>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</si>
  <si>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</si>
  <si>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</si>
  <si>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</si>
  <si>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</si>
  <si>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</si>
  <si>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</si>
  <si>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</si>
  <si>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</si>
  <si>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</si>
  <si>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</si>
  <si>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</si>
  <si>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</si>
  <si>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</si>
  <si>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</si>
  <si>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</si>
  <si>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</si>
  <si>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</si>
  <si>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</si>
  <si>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</si>
  <si>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</si>
  <si>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</si>
  <si>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</si>
  <si>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</si>
  <si>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</si>
  <si>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</si>
  <si>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</si>
  <si>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</si>
  <si>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</si>
  <si>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</si>
  <si>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</si>
  <si>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</si>
  <si>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</si>
  <si>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</si>
  <si>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</si>
  <si>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</si>
  <si>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</si>
  <si>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</si>
  <si>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</si>
  <si>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</si>
  <si>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</si>
  <si>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</si>
  <si>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</si>
  <si>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</si>
  <si>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</si>
  <si>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</si>
  <si>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</si>
  <si>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</si>
  <si>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</si>
  <si>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</si>
  <si>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</si>
  <si>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</si>
  <si>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</si>
  <si>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</si>
  <si>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</si>
  <si>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</si>
  <si>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</si>
  <si>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</si>
  <si>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</si>
  <si>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71067</t>
  </si>
  <si>
    <t>ZUTENDAAL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</si>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</sst>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62673.110857028485</c:v>
                </c:pt>
                <c:pt idx="1">
                  <c:v>23274.305242122598</c:v>
                </c:pt>
                <c:pt idx="2">
                  <c:v>770.76887399999998</c:v>
                </c:pt>
                <c:pt idx="3">
                  <c:v>866.53431113228658</c:v>
                </c:pt>
                <c:pt idx="4">
                  <c:v>11204.82421200361</c:v>
                </c:pt>
                <c:pt idx="5">
                  <c:v>77364.428027367976</c:v>
                </c:pt>
                <c:pt idx="6">
                  <c:v>1108.5480919615904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62673.110857028485</c:v>
                </c:pt>
                <c:pt idx="1">
                  <c:v>23274.305242122598</c:v>
                </c:pt>
                <c:pt idx="2">
                  <c:v>770.76887399999998</c:v>
                </c:pt>
                <c:pt idx="3">
                  <c:v>866.53431113228658</c:v>
                </c:pt>
                <c:pt idx="4">
                  <c:v>11204.82421200361</c:v>
                </c:pt>
                <c:pt idx="5">
                  <c:v>77364.428027367976</c:v>
                </c:pt>
                <c:pt idx="6">
                  <c:v>1108.5480919615904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11553.031876350948</c:v>
                </c:pt>
                <c:pt idx="1">
                  <c:v>3197.066968753079</c:v>
                </c:pt>
                <c:pt idx="2">
                  <c:v>62.117361145476998</c:v>
                </c:pt>
                <c:pt idx="3">
                  <c:v>196.70083824628011</c:v>
                </c:pt>
                <c:pt idx="4">
                  <c:v>1311.1818160461453</c:v>
                </c:pt>
                <c:pt idx="5">
                  <c:v>19200.019538220131</c:v>
                </c:pt>
                <c:pt idx="6">
                  <c:v>277.98920718070116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11553.031876350948</c:v>
                </c:pt>
                <c:pt idx="1">
                  <c:v>3197.066968753079</c:v>
                </c:pt>
                <c:pt idx="2">
                  <c:v>62.117361145476998</c:v>
                </c:pt>
                <c:pt idx="3">
                  <c:v>196.70083824628011</c:v>
                </c:pt>
                <c:pt idx="4">
                  <c:v>1311.1818160461453</c:v>
                </c:pt>
                <c:pt idx="5">
                  <c:v>19200.019538220131</c:v>
                </c:pt>
                <c:pt idx="6">
                  <c:v>277.98920718070116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71067</v>
      </c>
      <c r="B6" s="386"/>
      <c r="C6" s="387"/>
    </row>
    <row r="7" spans="1:7" s="384" customFormat="1" ht="15.75" customHeight="1">
      <c r="A7" s="388" t="str">
        <f>txtMunicipality</f>
        <v>ZUTENDAAL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11999.170985999999</v>
      </c>
      <c r="D10" s="682">
        <f ca="1">tertiair!C16</f>
        <v>0</v>
      </c>
      <c r="E10" s="682">
        <f ca="1">tertiair!D16</f>
        <v>6384.2239639919999</v>
      </c>
      <c r="F10" s="682">
        <f>tertiair!E16</f>
        <v>81.716483259625534</v>
      </c>
      <c r="G10" s="682">
        <f ca="1">tertiair!F16</f>
        <v>3685.2908777593889</v>
      </c>
      <c r="H10" s="682">
        <f>tertiair!G16</f>
        <v>0</v>
      </c>
      <c r="I10" s="682">
        <f>tertiair!H16</f>
        <v>0</v>
      </c>
      <c r="J10" s="682">
        <f>tertiair!I16</f>
        <v>0</v>
      </c>
      <c r="K10" s="682">
        <f>tertiair!J16</f>
        <v>5.2277674199682329E-2</v>
      </c>
      <c r="L10" s="682">
        <f>tertiair!K16</f>
        <v>0</v>
      </c>
      <c r="M10" s="682">
        <f ca="1">tertiair!L16</f>
        <v>0</v>
      </c>
      <c r="N10" s="682">
        <f>tertiair!M16</f>
        <v>0</v>
      </c>
      <c r="O10" s="682">
        <f ca="1">tertiair!N16</f>
        <v>1894.6195274373852</v>
      </c>
      <c r="P10" s="682">
        <f>tertiair!O16</f>
        <v>0</v>
      </c>
      <c r="Q10" s="683">
        <f>tertiair!P16</f>
        <v>0</v>
      </c>
      <c r="R10" s="685">
        <f ca="1">SUM(C10:Q10)</f>
        <v>24045.074116122596</v>
      </c>
      <c r="S10" s="67"/>
    </row>
    <row r="11" spans="1:19" s="445" customFormat="1">
      <c r="A11" s="803" t="s">
        <v>220</v>
      </c>
      <c r="B11" s="808"/>
      <c r="C11" s="682">
        <f>huishoudens!B8</f>
        <v>14099.030264422738</v>
      </c>
      <c r="D11" s="682">
        <f>huishoudens!C8</f>
        <v>0</v>
      </c>
      <c r="E11" s="682">
        <f>huishoudens!D8</f>
        <v>18131.876869386</v>
      </c>
      <c r="F11" s="682">
        <f>huishoudens!E8</f>
        <v>1066.6946526928593</v>
      </c>
      <c r="G11" s="682">
        <f>huishoudens!F8</f>
        <v>24228.774983875392</v>
      </c>
      <c r="H11" s="682">
        <f>huishoudens!G8</f>
        <v>0</v>
      </c>
      <c r="I11" s="682">
        <f>huishoudens!H8</f>
        <v>0</v>
      </c>
      <c r="J11" s="682">
        <f>huishoudens!I8</f>
        <v>0</v>
      </c>
      <c r="K11" s="682">
        <f>huishoudens!J8</f>
        <v>121.21247338064596</v>
      </c>
      <c r="L11" s="682">
        <f>huishoudens!K8</f>
        <v>0</v>
      </c>
      <c r="M11" s="682">
        <f>huishoudens!L8</f>
        <v>0</v>
      </c>
      <c r="N11" s="682">
        <f>huishoudens!M8</f>
        <v>0</v>
      </c>
      <c r="O11" s="682">
        <f>huishoudens!N8</f>
        <v>4350.9722106798026</v>
      </c>
      <c r="P11" s="682">
        <f>huishoudens!O8</f>
        <v>232.12311166828275</v>
      </c>
      <c r="Q11" s="683">
        <f>huishoudens!P8</f>
        <v>442.42629092277093</v>
      </c>
      <c r="R11" s="685">
        <f>SUM(C11:Q11)</f>
        <v>62673.110857028485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6937.1780639999997</v>
      </c>
      <c r="D13" s="682">
        <f>industrie!C18</f>
        <v>0</v>
      </c>
      <c r="E13" s="682">
        <f>industrie!D18</f>
        <v>2418.0869572860001</v>
      </c>
      <c r="F13" s="682">
        <f>industrie!E18</f>
        <v>29.53804245361875</v>
      </c>
      <c r="G13" s="682">
        <f>industrie!F18</f>
        <v>961.10262209351265</v>
      </c>
      <c r="H13" s="682">
        <f>industrie!G18</f>
        <v>0</v>
      </c>
      <c r="I13" s="682">
        <f>industrie!H18</f>
        <v>0</v>
      </c>
      <c r="J13" s="682">
        <f>industrie!I18</f>
        <v>0</v>
      </c>
      <c r="K13" s="682">
        <f>industrie!J18</f>
        <v>0.9368815950339987</v>
      </c>
      <c r="L13" s="682">
        <f>industrie!K18</f>
        <v>0</v>
      </c>
      <c r="M13" s="682">
        <f>industrie!L18</f>
        <v>0</v>
      </c>
      <c r="N13" s="682">
        <f>industrie!M18</f>
        <v>0</v>
      </c>
      <c r="O13" s="682">
        <f>industrie!N18</f>
        <v>857.98164457544533</v>
      </c>
      <c r="P13" s="682">
        <f>industrie!O18</f>
        <v>0</v>
      </c>
      <c r="Q13" s="683">
        <f>industrie!P18</f>
        <v>0</v>
      </c>
      <c r="R13" s="685">
        <f>SUM(C13:Q13)</f>
        <v>11204.82421200361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33035.379314422738</v>
      </c>
      <c r="D16" s="718">
        <f t="shared" ref="D16:R16" ca="1" si="0">SUM(D9:D15)</f>
        <v>0</v>
      </c>
      <c r="E16" s="718">
        <f t="shared" ca="1" si="0"/>
        <v>26934.187790664</v>
      </c>
      <c r="F16" s="718">
        <f t="shared" si="0"/>
        <v>1177.9491784061038</v>
      </c>
      <c r="G16" s="718">
        <f t="shared" ca="1" si="0"/>
        <v>28875.168483728292</v>
      </c>
      <c r="H16" s="718">
        <f t="shared" si="0"/>
        <v>0</v>
      </c>
      <c r="I16" s="718">
        <f t="shared" si="0"/>
        <v>0</v>
      </c>
      <c r="J16" s="718">
        <f t="shared" si="0"/>
        <v>0</v>
      </c>
      <c r="K16" s="718">
        <f t="shared" si="0"/>
        <v>122.20163264987964</v>
      </c>
      <c r="L16" s="718">
        <f t="shared" si="0"/>
        <v>0</v>
      </c>
      <c r="M16" s="718">
        <f t="shared" ca="1" si="0"/>
        <v>0</v>
      </c>
      <c r="N16" s="718">
        <f t="shared" si="0"/>
        <v>0</v>
      </c>
      <c r="O16" s="718">
        <f t="shared" ca="1" si="0"/>
        <v>7103.5733826926325</v>
      </c>
      <c r="P16" s="718">
        <f t="shared" si="0"/>
        <v>232.12311166828275</v>
      </c>
      <c r="Q16" s="718">
        <f t="shared" si="0"/>
        <v>442.42629092277093</v>
      </c>
      <c r="R16" s="718">
        <f t="shared" ca="1" si="0"/>
        <v>97923.009185154689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14.525077156898346</v>
      </c>
      <c r="D19" s="682">
        <f>transport!C54</f>
        <v>0</v>
      </c>
      <c r="E19" s="682">
        <f>transport!D54</f>
        <v>0</v>
      </c>
      <c r="F19" s="682">
        <f>transport!E54</f>
        <v>0</v>
      </c>
      <c r="G19" s="682">
        <f>transport!F54</f>
        <v>0</v>
      </c>
      <c r="H19" s="682">
        <f>transport!G54</f>
        <v>1036.7738222046266</v>
      </c>
      <c r="I19" s="682">
        <f>transport!H54</f>
        <v>0</v>
      </c>
      <c r="J19" s="682">
        <f>transport!I54</f>
        <v>0</v>
      </c>
      <c r="K19" s="682">
        <f>transport!J54</f>
        <v>0</v>
      </c>
      <c r="L19" s="682">
        <f>transport!K54</f>
        <v>0</v>
      </c>
      <c r="M19" s="682">
        <f>transport!L54</f>
        <v>0</v>
      </c>
      <c r="N19" s="682">
        <f>transport!M54</f>
        <v>57.249192600065491</v>
      </c>
      <c r="O19" s="682">
        <f>transport!N54</f>
        <v>0</v>
      </c>
      <c r="P19" s="682">
        <f>transport!O54</f>
        <v>0</v>
      </c>
      <c r="Q19" s="683">
        <f>transport!P54</f>
        <v>0</v>
      </c>
      <c r="R19" s="685">
        <f>SUM(C19:Q19)</f>
        <v>1108.5480919615904</v>
      </c>
      <c r="S19" s="67"/>
    </row>
    <row r="20" spans="1:19" s="445" customFormat="1">
      <c r="A20" s="803" t="s">
        <v>302</v>
      </c>
      <c r="B20" s="808"/>
      <c r="C20" s="682">
        <f>transport!B14</f>
        <v>139.45701973029622</v>
      </c>
      <c r="D20" s="682">
        <f>transport!C14</f>
        <v>0</v>
      </c>
      <c r="E20" s="682">
        <f>transport!D14</f>
        <v>240.73172277779202</v>
      </c>
      <c r="F20" s="682">
        <f>transport!E14</f>
        <v>139.04807297977925</v>
      </c>
      <c r="G20" s="682">
        <f>transport!F14</f>
        <v>0</v>
      </c>
      <c r="H20" s="682">
        <f>transport!G14</f>
        <v>57781.326814477929</v>
      </c>
      <c r="I20" s="682">
        <f>transport!H14</f>
        <v>14783.030194286877</v>
      </c>
      <c r="J20" s="682">
        <f>transport!I14</f>
        <v>0</v>
      </c>
      <c r="K20" s="682">
        <f>transport!J14</f>
        <v>0</v>
      </c>
      <c r="L20" s="682">
        <f>transport!K14</f>
        <v>0</v>
      </c>
      <c r="M20" s="682">
        <f>transport!L14</f>
        <v>0</v>
      </c>
      <c r="N20" s="682">
        <f>transport!M14</f>
        <v>4280.8342031153015</v>
      </c>
      <c r="O20" s="682">
        <f>transport!N14</f>
        <v>0</v>
      </c>
      <c r="P20" s="682">
        <f>transport!O14</f>
        <v>0</v>
      </c>
      <c r="Q20" s="683">
        <f>transport!P14</f>
        <v>0</v>
      </c>
      <c r="R20" s="685">
        <f>SUM(C20:Q20)</f>
        <v>77364.428027367976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153.98209688719456</v>
      </c>
      <c r="D22" s="806">
        <f t="shared" ref="D22:R22" si="1">SUM(D18:D21)</f>
        <v>0</v>
      </c>
      <c r="E22" s="806">
        <f t="shared" si="1"/>
        <v>240.73172277779202</v>
      </c>
      <c r="F22" s="806">
        <f t="shared" si="1"/>
        <v>139.04807297977925</v>
      </c>
      <c r="G22" s="806">
        <f t="shared" si="1"/>
        <v>0</v>
      </c>
      <c r="H22" s="806">
        <f t="shared" si="1"/>
        <v>58818.100636682553</v>
      </c>
      <c r="I22" s="806">
        <f t="shared" si="1"/>
        <v>14783.030194286877</v>
      </c>
      <c r="J22" s="806">
        <f t="shared" si="1"/>
        <v>0</v>
      </c>
      <c r="K22" s="806">
        <f t="shared" si="1"/>
        <v>0</v>
      </c>
      <c r="L22" s="806">
        <f t="shared" si="1"/>
        <v>0</v>
      </c>
      <c r="M22" s="806">
        <f t="shared" si="1"/>
        <v>0</v>
      </c>
      <c r="N22" s="806">
        <f t="shared" si="1"/>
        <v>4338.0833957153673</v>
      </c>
      <c r="O22" s="806">
        <f t="shared" si="1"/>
        <v>0</v>
      </c>
      <c r="P22" s="806">
        <f t="shared" si="1"/>
        <v>0</v>
      </c>
      <c r="Q22" s="806">
        <f t="shared" si="1"/>
        <v>0</v>
      </c>
      <c r="R22" s="806">
        <f t="shared" si="1"/>
        <v>78472.976119329571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166.22646699999996</v>
      </c>
      <c r="D24" s="682">
        <f>+landbouw!C8</f>
        <v>0</v>
      </c>
      <c r="E24" s="682">
        <f>+landbouw!D8</f>
        <v>111.17059111200017</v>
      </c>
      <c r="F24" s="682">
        <f>+landbouw!E8</f>
        <v>6.1990934049218378</v>
      </c>
      <c r="G24" s="682">
        <f>+landbouw!F8</f>
        <v>539.30289138323394</v>
      </c>
      <c r="H24" s="682">
        <f>+landbouw!G8</f>
        <v>0</v>
      </c>
      <c r="I24" s="682">
        <f>+landbouw!H8</f>
        <v>0</v>
      </c>
      <c r="J24" s="682">
        <f>+landbouw!I8</f>
        <v>0</v>
      </c>
      <c r="K24" s="682">
        <f>+landbouw!J8</f>
        <v>43.635268232130699</v>
      </c>
      <c r="L24" s="682">
        <f>+landbouw!K8</f>
        <v>0</v>
      </c>
      <c r="M24" s="682">
        <f>+landbouw!L8</f>
        <v>0</v>
      </c>
      <c r="N24" s="682">
        <f>+landbouw!M8</f>
        <v>0</v>
      </c>
      <c r="O24" s="682">
        <f>+landbouw!N8</f>
        <v>0</v>
      </c>
      <c r="P24" s="682">
        <f>+landbouw!O8</f>
        <v>0</v>
      </c>
      <c r="Q24" s="683">
        <f>+landbouw!P8</f>
        <v>0</v>
      </c>
      <c r="R24" s="685">
        <f>SUM(C24:Q24)</f>
        <v>866.53431113228658</v>
      </c>
      <c r="S24" s="67"/>
    </row>
    <row r="25" spans="1:19" s="445" customFormat="1" ht="15" thickBot="1">
      <c r="A25" s="825" t="s">
        <v>703</v>
      </c>
      <c r="B25" s="938"/>
      <c r="C25" s="939">
        <f>IF(Onbekend_ele_kWh="---",0,Onbekend_ele_kWh)/1000+IF(REST_rest_ele_kWh="---",0,REST_rest_ele_kWh)/1000</f>
        <v>1596.779444</v>
      </c>
      <c r="D25" s="939"/>
      <c r="E25" s="939">
        <f>IF(onbekend_gas_kWh="---",0,onbekend_gas_kWh)/1000+IF(REST_rest_gas_kWh="---",0,REST_rest_gas_kWh)/1000</f>
        <v>664.03663500000005</v>
      </c>
      <c r="F25" s="939"/>
      <c r="G25" s="939"/>
      <c r="H25" s="939"/>
      <c r="I25" s="939"/>
      <c r="J25" s="939"/>
      <c r="K25" s="939"/>
      <c r="L25" s="939"/>
      <c r="M25" s="939"/>
      <c r="N25" s="939"/>
      <c r="O25" s="939"/>
      <c r="P25" s="939"/>
      <c r="Q25" s="940"/>
      <c r="R25" s="685">
        <f>SUM(C25:Q25)</f>
        <v>2260.8160790000002</v>
      </c>
      <c r="S25" s="67"/>
    </row>
    <row r="26" spans="1:19" s="445" customFormat="1" ht="15.75" thickBot="1">
      <c r="A26" s="690" t="s">
        <v>704</v>
      </c>
      <c r="B26" s="811"/>
      <c r="C26" s="806">
        <f>SUM(C24:C25)</f>
        <v>1763.005911</v>
      </c>
      <c r="D26" s="806">
        <f t="shared" ref="D26:R26" si="2">SUM(D24:D25)</f>
        <v>0</v>
      </c>
      <c r="E26" s="806">
        <f t="shared" si="2"/>
        <v>775.20722611200017</v>
      </c>
      <c r="F26" s="806">
        <f t="shared" si="2"/>
        <v>6.1990934049218378</v>
      </c>
      <c r="G26" s="806">
        <f t="shared" si="2"/>
        <v>539.30289138323394</v>
      </c>
      <c r="H26" s="806">
        <f t="shared" si="2"/>
        <v>0</v>
      </c>
      <c r="I26" s="806">
        <f t="shared" si="2"/>
        <v>0</v>
      </c>
      <c r="J26" s="806">
        <f t="shared" si="2"/>
        <v>0</v>
      </c>
      <c r="K26" s="806">
        <f t="shared" si="2"/>
        <v>43.635268232130699</v>
      </c>
      <c r="L26" s="806">
        <f t="shared" si="2"/>
        <v>0</v>
      </c>
      <c r="M26" s="806">
        <f t="shared" si="2"/>
        <v>0</v>
      </c>
      <c r="N26" s="806">
        <f t="shared" si="2"/>
        <v>0</v>
      </c>
      <c r="O26" s="806">
        <f t="shared" si="2"/>
        <v>0</v>
      </c>
      <c r="P26" s="806">
        <f t="shared" si="2"/>
        <v>0</v>
      </c>
      <c r="Q26" s="806">
        <f t="shared" si="2"/>
        <v>0</v>
      </c>
      <c r="R26" s="806">
        <f t="shared" si="2"/>
        <v>3127.3503901322865</v>
      </c>
      <c r="S26" s="67"/>
    </row>
    <row r="27" spans="1:19" s="445" customFormat="1" ht="17.25" thickTop="1" thickBot="1">
      <c r="A27" s="691" t="s">
        <v>115</v>
      </c>
      <c r="B27" s="798"/>
      <c r="C27" s="692">
        <f ca="1">C22+C16+C26</f>
        <v>34952.367322309932</v>
      </c>
      <c r="D27" s="692">
        <f t="shared" ref="D27:R27" ca="1" si="3">D22+D16+D26</f>
        <v>0</v>
      </c>
      <c r="E27" s="692">
        <f t="shared" ca="1" si="3"/>
        <v>27950.126739553794</v>
      </c>
      <c r="F27" s="692">
        <f t="shared" si="3"/>
        <v>1323.1963447908047</v>
      </c>
      <c r="G27" s="692">
        <f t="shared" ca="1" si="3"/>
        <v>29414.471375111527</v>
      </c>
      <c r="H27" s="692">
        <f t="shared" si="3"/>
        <v>58818.100636682553</v>
      </c>
      <c r="I27" s="692">
        <f t="shared" si="3"/>
        <v>14783.030194286877</v>
      </c>
      <c r="J27" s="692">
        <f t="shared" si="3"/>
        <v>0</v>
      </c>
      <c r="K27" s="692">
        <f t="shared" si="3"/>
        <v>165.83690088201035</v>
      </c>
      <c r="L27" s="692">
        <f t="shared" si="3"/>
        <v>0</v>
      </c>
      <c r="M27" s="692">
        <f t="shared" ca="1" si="3"/>
        <v>0</v>
      </c>
      <c r="N27" s="692">
        <f t="shared" si="3"/>
        <v>4338.0833957153673</v>
      </c>
      <c r="O27" s="692">
        <f t="shared" ca="1" si="3"/>
        <v>7103.5733826926325</v>
      </c>
      <c r="P27" s="692">
        <f t="shared" si="3"/>
        <v>232.12311166828275</v>
      </c>
      <c r="Q27" s="692">
        <f t="shared" si="3"/>
        <v>442.42629092277093</v>
      </c>
      <c r="R27" s="692">
        <f t="shared" ca="1" si="3"/>
        <v>179523.33569461654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967.03027681381354</v>
      </c>
      <c r="D40" s="682">
        <f ca="1">tertiair!C20</f>
        <v>0</v>
      </c>
      <c r="E40" s="682">
        <f ca="1">tertiair!D20</f>
        <v>1289.613240726384</v>
      </c>
      <c r="F40" s="682">
        <f>tertiair!E20</f>
        <v>18.549641699934998</v>
      </c>
      <c r="G40" s="682">
        <f ca="1">tertiair!F20</f>
        <v>983.97266436175687</v>
      </c>
      <c r="H40" s="682">
        <f>tertiair!G20</f>
        <v>0</v>
      </c>
      <c r="I40" s="682">
        <f>tertiair!H20</f>
        <v>0</v>
      </c>
      <c r="J40" s="682">
        <f>tertiair!I20</f>
        <v>0</v>
      </c>
      <c r="K40" s="682">
        <f>tertiair!J20</f>
        <v>1.8506296666687544E-2</v>
      </c>
      <c r="L40" s="682">
        <f>tertiair!K20</f>
        <v>0</v>
      </c>
      <c r="M40" s="682">
        <f ca="1">tertiair!L20</f>
        <v>0</v>
      </c>
      <c r="N40" s="682">
        <f>tertiair!M20</f>
        <v>0</v>
      </c>
      <c r="O40" s="682">
        <f ca="1">tertiair!N20</f>
        <v>0</v>
      </c>
      <c r="P40" s="682">
        <f>tertiair!O20</f>
        <v>0</v>
      </c>
      <c r="Q40" s="765">
        <f>tertiair!P20</f>
        <v>0</v>
      </c>
      <c r="R40" s="844">
        <f t="shared" ca="1" si="4"/>
        <v>3259.1843298985559</v>
      </c>
    </row>
    <row r="41" spans="1:18">
      <c r="A41" s="816" t="s">
        <v>220</v>
      </c>
      <c r="B41" s="823"/>
      <c r="C41" s="682">
        <f ca="1">huishoudens!B12</f>
        <v>1136.2609263022177</v>
      </c>
      <c r="D41" s="682">
        <f ca="1">huishoudens!C12</f>
        <v>0</v>
      </c>
      <c r="E41" s="682">
        <f>huishoudens!D12</f>
        <v>3662.6391276159725</v>
      </c>
      <c r="F41" s="682">
        <f>huishoudens!E12</f>
        <v>242.13968616127909</v>
      </c>
      <c r="G41" s="682">
        <f>huishoudens!F12</f>
        <v>6469.0829206947301</v>
      </c>
      <c r="H41" s="682">
        <f>huishoudens!G12</f>
        <v>0</v>
      </c>
      <c r="I41" s="682">
        <f>huishoudens!H12</f>
        <v>0</v>
      </c>
      <c r="J41" s="682">
        <f>huishoudens!I12</f>
        <v>0</v>
      </c>
      <c r="K41" s="682">
        <f>huishoudens!J12</f>
        <v>42.909215576748664</v>
      </c>
      <c r="L41" s="682">
        <f>huishoudens!K12</f>
        <v>0</v>
      </c>
      <c r="M41" s="682">
        <f>huishoudens!L12</f>
        <v>0</v>
      </c>
      <c r="N41" s="682">
        <f>huishoudens!M12</f>
        <v>0</v>
      </c>
      <c r="O41" s="682">
        <f>huishoudens!N12</f>
        <v>0</v>
      </c>
      <c r="P41" s="682">
        <f>huishoudens!O12</f>
        <v>0</v>
      </c>
      <c r="Q41" s="765">
        <f>huishoudens!P12</f>
        <v>0</v>
      </c>
      <c r="R41" s="844">
        <f t="shared" ca="1" si="4"/>
        <v>11553.031876350948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559.07705885379198</v>
      </c>
      <c r="D43" s="682">
        <f ca="1">industrie!C22</f>
        <v>0</v>
      </c>
      <c r="E43" s="682">
        <f>industrie!D22</f>
        <v>488.45356537177207</v>
      </c>
      <c r="F43" s="682">
        <f>industrie!E22</f>
        <v>6.7051356369714563</v>
      </c>
      <c r="G43" s="682">
        <f>industrie!F22</f>
        <v>256.61440009896791</v>
      </c>
      <c r="H43" s="682">
        <f>industrie!G22</f>
        <v>0</v>
      </c>
      <c r="I43" s="682">
        <f>industrie!H22</f>
        <v>0</v>
      </c>
      <c r="J43" s="682">
        <f>industrie!I22</f>
        <v>0</v>
      </c>
      <c r="K43" s="682">
        <f>industrie!J22</f>
        <v>0.3316560846420355</v>
      </c>
      <c r="L43" s="682">
        <f>industrie!K22</f>
        <v>0</v>
      </c>
      <c r="M43" s="682">
        <f>industrie!L22</f>
        <v>0</v>
      </c>
      <c r="N43" s="682">
        <f>industrie!M22</f>
        <v>0</v>
      </c>
      <c r="O43" s="682">
        <f>industrie!N22</f>
        <v>0</v>
      </c>
      <c r="P43" s="682">
        <f>industrie!O22</f>
        <v>0</v>
      </c>
      <c r="Q43" s="765">
        <f>industrie!P22</f>
        <v>0</v>
      </c>
      <c r="R43" s="843">
        <f t="shared" ca="1" si="4"/>
        <v>1311.1818160461453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2662.3682619698234</v>
      </c>
      <c r="D46" s="718">
        <f t="shared" ref="D46:Q46" ca="1" si="5">SUM(D39:D45)</f>
        <v>0</v>
      </c>
      <c r="E46" s="718">
        <f t="shared" ca="1" si="5"/>
        <v>5440.7059337141291</v>
      </c>
      <c r="F46" s="718">
        <f t="shared" si="5"/>
        <v>267.39446349818559</v>
      </c>
      <c r="G46" s="718">
        <f t="shared" ca="1" si="5"/>
        <v>7709.6699851554549</v>
      </c>
      <c r="H46" s="718">
        <f t="shared" si="5"/>
        <v>0</v>
      </c>
      <c r="I46" s="718">
        <f t="shared" si="5"/>
        <v>0</v>
      </c>
      <c r="J46" s="718">
        <f t="shared" si="5"/>
        <v>0</v>
      </c>
      <c r="K46" s="718">
        <f t="shared" si="5"/>
        <v>43.259377958057385</v>
      </c>
      <c r="L46" s="718">
        <f t="shared" si="5"/>
        <v>0</v>
      </c>
      <c r="M46" s="718">
        <f t="shared" ca="1" si="5"/>
        <v>0</v>
      </c>
      <c r="N46" s="718">
        <f t="shared" si="5"/>
        <v>0</v>
      </c>
      <c r="O46" s="718">
        <f t="shared" ca="1" si="5"/>
        <v>0</v>
      </c>
      <c r="P46" s="718">
        <f t="shared" si="5"/>
        <v>0</v>
      </c>
      <c r="Q46" s="718">
        <f t="shared" si="5"/>
        <v>0</v>
      </c>
      <c r="R46" s="718">
        <f ca="1">SUM(R39:R45)</f>
        <v>16123.398022295649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1.1705966520658602</v>
      </c>
      <c r="D49" s="682">
        <f ca="1">transport!C58</f>
        <v>0</v>
      </c>
      <c r="E49" s="682">
        <f>transport!D58</f>
        <v>0</v>
      </c>
      <c r="F49" s="682">
        <f>transport!E58</f>
        <v>0</v>
      </c>
      <c r="G49" s="682">
        <f>transport!F58</f>
        <v>0</v>
      </c>
      <c r="H49" s="682">
        <f>transport!G58</f>
        <v>276.8186105286353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277.98920718070116</v>
      </c>
    </row>
    <row r="50" spans="1:18">
      <c r="A50" s="819" t="s">
        <v>302</v>
      </c>
      <c r="B50" s="829"/>
      <c r="C50" s="688">
        <f ca="1">transport!B18</f>
        <v>11.239039809563875</v>
      </c>
      <c r="D50" s="688">
        <f>transport!C18</f>
        <v>0</v>
      </c>
      <c r="E50" s="688">
        <f>transport!D18</f>
        <v>48.627808001113991</v>
      </c>
      <c r="F50" s="688">
        <f>transport!E18</f>
        <v>31.56391256640989</v>
      </c>
      <c r="G50" s="688">
        <f>transport!F18</f>
        <v>0</v>
      </c>
      <c r="H50" s="688">
        <f>transport!G18</f>
        <v>15427.614259465608</v>
      </c>
      <c r="I50" s="688">
        <f>transport!H18</f>
        <v>3680.9745183774326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19200.019538220131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12.409636461629736</v>
      </c>
      <c r="D52" s="718">
        <f t="shared" ref="D52:Q52" ca="1" si="6">SUM(D48:D51)</f>
        <v>0</v>
      </c>
      <c r="E52" s="718">
        <f t="shared" si="6"/>
        <v>48.627808001113991</v>
      </c>
      <c r="F52" s="718">
        <f t="shared" si="6"/>
        <v>31.56391256640989</v>
      </c>
      <c r="G52" s="718">
        <f t="shared" si="6"/>
        <v>0</v>
      </c>
      <c r="H52" s="718">
        <f t="shared" si="6"/>
        <v>15704.432869994243</v>
      </c>
      <c r="I52" s="718">
        <f t="shared" si="6"/>
        <v>3680.9745183774326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19478.008745400832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13.396427685241104</v>
      </c>
      <c r="D54" s="688">
        <f ca="1">+landbouw!C12</f>
        <v>0</v>
      </c>
      <c r="E54" s="688">
        <f>+landbouw!D12</f>
        <v>22.456459404624034</v>
      </c>
      <c r="F54" s="688">
        <f>+landbouw!E12</f>
        <v>1.4071942029172573</v>
      </c>
      <c r="G54" s="688">
        <f>+landbouw!F12</f>
        <v>143.99387199932346</v>
      </c>
      <c r="H54" s="688">
        <f>+landbouw!G12</f>
        <v>0</v>
      </c>
      <c r="I54" s="688">
        <f>+landbouw!H12</f>
        <v>0</v>
      </c>
      <c r="J54" s="688">
        <f>+landbouw!I12</f>
        <v>0</v>
      </c>
      <c r="K54" s="688">
        <f>+landbouw!J12</f>
        <v>15.446884954174266</v>
      </c>
      <c r="L54" s="688">
        <f>+landbouw!K12</f>
        <v>0</v>
      </c>
      <c r="M54" s="688">
        <f>+landbouw!L12</f>
        <v>0</v>
      </c>
      <c r="N54" s="688">
        <f>+landbouw!M12</f>
        <v>0</v>
      </c>
      <c r="O54" s="688">
        <f>+landbouw!N12</f>
        <v>0</v>
      </c>
      <c r="P54" s="688">
        <f>+landbouw!O12</f>
        <v>0</v>
      </c>
      <c r="Q54" s="689">
        <f>+landbouw!P12</f>
        <v>0</v>
      </c>
      <c r="R54" s="717">
        <f ca="1">SUM(C54:Q54)</f>
        <v>196.70083824628011</v>
      </c>
    </row>
    <row r="55" spans="1:18" ht="15" thickBot="1">
      <c r="A55" s="819" t="s">
        <v>703</v>
      </c>
      <c r="B55" s="829"/>
      <c r="C55" s="688">
        <f ca="1">C25*'EF ele_warmte'!B12</f>
        <v>128.68672923683991</v>
      </c>
      <c r="D55" s="688"/>
      <c r="E55" s="688">
        <f>E25*EF_CO2_aardgas</f>
        <v>134.13540027000002</v>
      </c>
      <c r="F55" s="688"/>
      <c r="G55" s="688"/>
      <c r="H55" s="688"/>
      <c r="I55" s="688"/>
      <c r="J55" s="688"/>
      <c r="K55" s="688"/>
      <c r="L55" s="688"/>
      <c r="M55" s="688"/>
      <c r="N55" s="688"/>
      <c r="O55" s="688"/>
      <c r="P55" s="688"/>
      <c r="Q55" s="689"/>
      <c r="R55" s="717">
        <f ca="1">SUM(C55:Q55)</f>
        <v>262.82212950683993</v>
      </c>
    </row>
    <row r="56" spans="1:18" ht="15.75" thickBot="1">
      <c r="A56" s="817" t="s">
        <v>704</v>
      </c>
      <c r="B56" s="830"/>
      <c r="C56" s="718">
        <f ca="1">SUM(C54:C55)</f>
        <v>142.083156922081</v>
      </c>
      <c r="D56" s="718">
        <f t="shared" ref="D56:Q56" ca="1" si="7">SUM(D54:D55)</f>
        <v>0</v>
      </c>
      <c r="E56" s="718">
        <f t="shared" si="7"/>
        <v>156.59185967462406</v>
      </c>
      <c r="F56" s="718">
        <f t="shared" si="7"/>
        <v>1.4071942029172573</v>
      </c>
      <c r="G56" s="718">
        <f t="shared" si="7"/>
        <v>143.99387199932346</v>
      </c>
      <c r="H56" s="718">
        <f t="shared" si="7"/>
        <v>0</v>
      </c>
      <c r="I56" s="718">
        <f t="shared" si="7"/>
        <v>0</v>
      </c>
      <c r="J56" s="718">
        <f t="shared" si="7"/>
        <v>0</v>
      </c>
      <c r="K56" s="718">
        <f t="shared" si="7"/>
        <v>15.446884954174266</v>
      </c>
      <c r="L56" s="718">
        <f t="shared" si="7"/>
        <v>0</v>
      </c>
      <c r="M56" s="718">
        <f t="shared" si="7"/>
        <v>0</v>
      </c>
      <c r="N56" s="718">
        <f t="shared" si="7"/>
        <v>0</v>
      </c>
      <c r="O56" s="718">
        <f t="shared" si="7"/>
        <v>0</v>
      </c>
      <c r="P56" s="718">
        <f t="shared" si="7"/>
        <v>0</v>
      </c>
      <c r="Q56" s="719">
        <f t="shared" si="7"/>
        <v>0</v>
      </c>
      <c r="R56" s="720">
        <f ca="1">SUM(R54:R55)</f>
        <v>459.52296775312004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2816.8610553535341</v>
      </c>
      <c r="D61" s="726">
        <f t="shared" ref="D61:Q61" ca="1" si="8">D46+D52+D56</f>
        <v>0</v>
      </c>
      <c r="E61" s="726">
        <f t="shared" ca="1" si="8"/>
        <v>5645.9256013898676</v>
      </c>
      <c r="F61" s="726">
        <f t="shared" si="8"/>
        <v>300.36557026751274</v>
      </c>
      <c r="G61" s="726">
        <f t="shared" ca="1" si="8"/>
        <v>7853.6638571547783</v>
      </c>
      <c r="H61" s="726">
        <f t="shared" si="8"/>
        <v>15704.432869994243</v>
      </c>
      <c r="I61" s="726">
        <f t="shared" si="8"/>
        <v>3680.9745183774326</v>
      </c>
      <c r="J61" s="726">
        <f t="shared" si="8"/>
        <v>0</v>
      </c>
      <c r="K61" s="726">
        <f t="shared" si="8"/>
        <v>58.706262912231651</v>
      </c>
      <c r="L61" s="726">
        <f t="shared" si="8"/>
        <v>0</v>
      </c>
      <c r="M61" s="726">
        <f t="shared" ca="1" si="8"/>
        <v>0</v>
      </c>
      <c r="N61" s="726">
        <f t="shared" si="8"/>
        <v>0</v>
      </c>
      <c r="O61" s="726">
        <f t="shared" ca="1" si="8"/>
        <v>0</v>
      </c>
      <c r="P61" s="726">
        <f t="shared" si="8"/>
        <v>0</v>
      </c>
      <c r="Q61" s="726">
        <f t="shared" si="8"/>
        <v>0</v>
      </c>
      <c r="R61" s="726">
        <f ca="1">R46+R52+R56</f>
        <v>36060.929735449594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8.0591424019383795E-2</v>
      </c>
      <c r="D63" s="772">
        <f t="shared" ca="1" si="9"/>
        <v>0</v>
      </c>
      <c r="E63" s="964">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18650.726131300849</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3555.6635649749915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22206.389696275841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14099.030264422738</v>
      </c>
      <c r="C4" s="449">
        <f>huishoudens!C8</f>
        <v>0</v>
      </c>
      <c r="D4" s="449">
        <f>huishoudens!D8</f>
        <v>18131.876869386</v>
      </c>
      <c r="E4" s="449">
        <f>huishoudens!E8</f>
        <v>1066.6946526928593</v>
      </c>
      <c r="F4" s="449">
        <f>huishoudens!F8</f>
        <v>24228.774983875392</v>
      </c>
      <c r="G4" s="449">
        <f>huishoudens!G8</f>
        <v>0</v>
      </c>
      <c r="H4" s="449">
        <f>huishoudens!H8</f>
        <v>0</v>
      </c>
      <c r="I4" s="449">
        <f>huishoudens!I8</f>
        <v>0</v>
      </c>
      <c r="J4" s="449">
        <f>huishoudens!J8</f>
        <v>121.21247338064596</v>
      </c>
      <c r="K4" s="449">
        <f>huishoudens!K8</f>
        <v>0</v>
      </c>
      <c r="L4" s="449">
        <f>huishoudens!L8</f>
        <v>0</v>
      </c>
      <c r="M4" s="449">
        <f>huishoudens!M8</f>
        <v>0</v>
      </c>
      <c r="N4" s="449">
        <f>huishoudens!N8</f>
        <v>4350.9722106798026</v>
      </c>
      <c r="O4" s="449">
        <f>huishoudens!O8</f>
        <v>232.12311166828275</v>
      </c>
      <c r="P4" s="450">
        <f>huishoudens!P8</f>
        <v>442.42629092277093</v>
      </c>
      <c r="Q4" s="451">
        <f>SUM(B4:P4)</f>
        <v>62673.110857028485</v>
      </c>
    </row>
    <row r="5" spans="1:17">
      <c r="A5" s="448" t="s">
        <v>155</v>
      </c>
      <c r="B5" s="449">
        <f ca="1">tertiair!B16</f>
        <v>11228.402112</v>
      </c>
      <c r="C5" s="449">
        <f ca="1">tertiair!C16</f>
        <v>0</v>
      </c>
      <c r="D5" s="449">
        <f ca="1">tertiair!D16</f>
        <v>6384.2239639919999</v>
      </c>
      <c r="E5" s="449">
        <f>tertiair!E16</f>
        <v>81.716483259625534</v>
      </c>
      <c r="F5" s="449">
        <f ca="1">tertiair!F16</f>
        <v>3685.2908777593889</v>
      </c>
      <c r="G5" s="449">
        <f>tertiair!G16</f>
        <v>0</v>
      </c>
      <c r="H5" s="449">
        <f>tertiair!H16</f>
        <v>0</v>
      </c>
      <c r="I5" s="449">
        <f>tertiair!I16</f>
        <v>0</v>
      </c>
      <c r="J5" s="449">
        <f>tertiair!J16</f>
        <v>5.2277674199682329E-2</v>
      </c>
      <c r="K5" s="449">
        <f>tertiair!K16</f>
        <v>0</v>
      </c>
      <c r="L5" s="449">
        <f ca="1">tertiair!L16</f>
        <v>0</v>
      </c>
      <c r="M5" s="449">
        <f>tertiair!M16</f>
        <v>0</v>
      </c>
      <c r="N5" s="449">
        <f ca="1">tertiair!N16</f>
        <v>1894.6195274373852</v>
      </c>
      <c r="O5" s="449">
        <f>tertiair!O16</f>
        <v>0</v>
      </c>
      <c r="P5" s="450">
        <f>tertiair!P16</f>
        <v>0</v>
      </c>
      <c r="Q5" s="448">
        <f t="shared" ref="Q5:Q14" ca="1" si="0">SUM(B5:P5)</f>
        <v>23274.305242122598</v>
      </c>
    </row>
    <row r="6" spans="1:17">
      <c r="A6" s="448" t="s">
        <v>193</v>
      </c>
      <c r="B6" s="449">
        <f>'openbare verlichting'!B8</f>
        <v>770.76887399999998</v>
      </c>
      <c r="C6" s="449"/>
      <c r="D6" s="449"/>
      <c r="E6" s="449"/>
      <c r="F6" s="449"/>
      <c r="G6" s="449"/>
      <c r="H6" s="449"/>
      <c r="I6" s="449"/>
      <c r="J6" s="449"/>
      <c r="K6" s="449"/>
      <c r="L6" s="449"/>
      <c r="M6" s="449"/>
      <c r="N6" s="449"/>
      <c r="O6" s="449"/>
      <c r="P6" s="450"/>
      <c r="Q6" s="448">
        <f t="shared" si="0"/>
        <v>770.76887399999998</v>
      </c>
    </row>
    <row r="7" spans="1:17">
      <c r="A7" s="448" t="s">
        <v>111</v>
      </c>
      <c r="B7" s="449">
        <f>landbouw!B8</f>
        <v>166.22646699999996</v>
      </c>
      <c r="C7" s="449">
        <f>landbouw!C8</f>
        <v>0</v>
      </c>
      <c r="D7" s="449">
        <f>landbouw!D8</f>
        <v>111.17059111200017</v>
      </c>
      <c r="E7" s="449">
        <f>landbouw!E8</f>
        <v>6.1990934049218378</v>
      </c>
      <c r="F7" s="449">
        <f>landbouw!F8</f>
        <v>539.30289138323394</v>
      </c>
      <c r="G7" s="449">
        <f>landbouw!G8</f>
        <v>0</v>
      </c>
      <c r="H7" s="449">
        <f>landbouw!H8</f>
        <v>0</v>
      </c>
      <c r="I7" s="449">
        <f>landbouw!I8</f>
        <v>0</v>
      </c>
      <c r="J7" s="449">
        <f>landbouw!J8</f>
        <v>43.635268232130699</v>
      </c>
      <c r="K7" s="449">
        <f>landbouw!K8</f>
        <v>0</v>
      </c>
      <c r="L7" s="449">
        <f>landbouw!L8</f>
        <v>0</v>
      </c>
      <c r="M7" s="449">
        <f>landbouw!M8</f>
        <v>0</v>
      </c>
      <c r="N7" s="449">
        <f>landbouw!N8</f>
        <v>0</v>
      </c>
      <c r="O7" s="449">
        <f>landbouw!O8</f>
        <v>0</v>
      </c>
      <c r="P7" s="450">
        <f>landbouw!P8</f>
        <v>0</v>
      </c>
      <c r="Q7" s="448">
        <f t="shared" si="0"/>
        <v>866.53431113228658</v>
      </c>
    </row>
    <row r="8" spans="1:17">
      <c r="A8" s="448" t="s">
        <v>618</v>
      </c>
      <c r="B8" s="449">
        <f>industrie!B18</f>
        <v>6937.1780639999997</v>
      </c>
      <c r="C8" s="449">
        <f>industrie!C18</f>
        <v>0</v>
      </c>
      <c r="D8" s="449">
        <f>industrie!D18</f>
        <v>2418.0869572860001</v>
      </c>
      <c r="E8" s="449">
        <f>industrie!E18</f>
        <v>29.53804245361875</v>
      </c>
      <c r="F8" s="449">
        <f>industrie!F18</f>
        <v>961.10262209351265</v>
      </c>
      <c r="G8" s="449">
        <f>industrie!G18</f>
        <v>0</v>
      </c>
      <c r="H8" s="449">
        <f>industrie!H18</f>
        <v>0</v>
      </c>
      <c r="I8" s="449">
        <f>industrie!I18</f>
        <v>0</v>
      </c>
      <c r="J8" s="449">
        <f>industrie!J18</f>
        <v>0.9368815950339987</v>
      </c>
      <c r="K8" s="449">
        <f>industrie!K18</f>
        <v>0</v>
      </c>
      <c r="L8" s="449">
        <f>industrie!L18</f>
        <v>0</v>
      </c>
      <c r="M8" s="449">
        <f>industrie!M18</f>
        <v>0</v>
      </c>
      <c r="N8" s="449">
        <f>industrie!N18</f>
        <v>857.98164457544533</v>
      </c>
      <c r="O8" s="449">
        <f>industrie!O18</f>
        <v>0</v>
      </c>
      <c r="P8" s="450">
        <f>industrie!P18</f>
        <v>0</v>
      </c>
      <c r="Q8" s="448">
        <f t="shared" si="0"/>
        <v>11204.82421200361</v>
      </c>
    </row>
    <row r="9" spans="1:17" s="454" customFormat="1">
      <c r="A9" s="452" t="s">
        <v>544</v>
      </c>
      <c r="B9" s="453">
        <f>transport!B14</f>
        <v>139.45701973029622</v>
      </c>
      <c r="C9" s="453">
        <f>transport!C14</f>
        <v>0</v>
      </c>
      <c r="D9" s="453">
        <f>transport!D14</f>
        <v>240.73172277779202</v>
      </c>
      <c r="E9" s="453">
        <f>transport!E14</f>
        <v>139.04807297977925</v>
      </c>
      <c r="F9" s="453">
        <f>transport!F14</f>
        <v>0</v>
      </c>
      <c r="G9" s="453">
        <f>transport!G14</f>
        <v>57781.326814477929</v>
      </c>
      <c r="H9" s="453">
        <f>transport!H14</f>
        <v>14783.030194286877</v>
      </c>
      <c r="I9" s="453">
        <f>transport!I14</f>
        <v>0</v>
      </c>
      <c r="J9" s="453">
        <f>transport!J14</f>
        <v>0</v>
      </c>
      <c r="K9" s="453">
        <f>transport!K14</f>
        <v>0</v>
      </c>
      <c r="L9" s="453">
        <f>transport!L14</f>
        <v>0</v>
      </c>
      <c r="M9" s="453">
        <f>transport!M14</f>
        <v>4280.8342031153015</v>
      </c>
      <c r="N9" s="453">
        <f>transport!N14</f>
        <v>0</v>
      </c>
      <c r="O9" s="453">
        <f>transport!O14</f>
        <v>0</v>
      </c>
      <c r="P9" s="453">
        <f>transport!P14</f>
        <v>0</v>
      </c>
      <c r="Q9" s="452">
        <f>SUM(B9:P9)</f>
        <v>77364.428027367976</v>
      </c>
    </row>
    <row r="10" spans="1:17">
      <c r="A10" s="448" t="s">
        <v>534</v>
      </c>
      <c r="B10" s="449">
        <f>transport!B54</f>
        <v>14.525077156898346</v>
      </c>
      <c r="C10" s="449">
        <f>transport!C54</f>
        <v>0</v>
      </c>
      <c r="D10" s="449">
        <f>transport!D54</f>
        <v>0</v>
      </c>
      <c r="E10" s="449">
        <f>transport!E54</f>
        <v>0</v>
      </c>
      <c r="F10" s="449">
        <f>transport!F54</f>
        <v>0</v>
      </c>
      <c r="G10" s="449">
        <f>transport!G54</f>
        <v>1036.7738222046266</v>
      </c>
      <c r="H10" s="449">
        <f>transport!H54</f>
        <v>0</v>
      </c>
      <c r="I10" s="449">
        <f>transport!I54</f>
        <v>0</v>
      </c>
      <c r="J10" s="449">
        <f>transport!J54</f>
        <v>0</v>
      </c>
      <c r="K10" s="449">
        <f>transport!K54</f>
        <v>0</v>
      </c>
      <c r="L10" s="449">
        <f>transport!L54</f>
        <v>0</v>
      </c>
      <c r="M10" s="449">
        <f>transport!M54</f>
        <v>57.249192600065491</v>
      </c>
      <c r="N10" s="449">
        <f>transport!N54</f>
        <v>0</v>
      </c>
      <c r="O10" s="449">
        <f>transport!O54</f>
        <v>0</v>
      </c>
      <c r="P10" s="450">
        <f>transport!P54</f>
        <v>0</v>
      </c>
      <c r="Q10" s="448">
        <f t="shared" si="0"/>
        <v>1108.5480919615904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1596.779444</v>
      </c>
      <c r="C14" s="456"/>
      <c r="D14" s="456">
        <f>'SEAP template'!E25</f>
        <v>664.03663500000005</v>
      </c>
      <c r="E14" s="456"/>
      <c r="F14" s="456"/>
      <c r="G14" s="456"/>
      <c r="H14" s="456"/>
      <c r="I14" s="456"/>
      <c r="J14" s="456"/>
      <c r="K14" s="456"/>
      <c r="L14" s="456"/>
      <c r="M14" s="456"/>
      <c r="N14" s="456"/>
      <c r="O14" s="456"/>
      <c r="P14" s="457"/>
      <c r="Q14" s="448">
        <f t="shared" si="0"/>
        <v>2260.8160790000002</v>
      </c>
    </row>
    <row r="15" spans="1:17" s="460" customFormat="1">
      <c r="A15" s="458" t="s">
        <v>538</v>
      </c>
      <c r="B15" s="459">
        <f ca="1">SUM(B4:B14)</f>
        <v>34952.367322309932</v>
      </c>
      <c r="C15" s="459">
        <f t="shared" ref="C15:Q15" ca="1" si="1">SUM(C4:C14)</f>
        <v>0</v>
      </c>
      <c r="D15" s="459">
        <f t="shared" ca="1" si="1"/>
        <v>27950.126739553794</v>
      </c>
      <c r="E15" s="459">
        <f t="shared" si="1"/>
        <v>1323.1963447908047</v>
      </c>
      <c r="F15" s="459">
        <f t="shared" ca="1" si="1"/>
        <v>29414.471375111527</v>
      </c>
      <c r="G15" s="459">
        <f t="shared" si="1"/>
        <v>58818.100636682553</v>
      </c>
      <c r="H15" s="459">
        <f t="shared" si="1"/>
        <v>14783.030194286877</v>
      </c>
      <c r="I15" s="459">
        <f t="shared" si="1"/>
        <v>0</v>
      </c>
      <c r="J15" s="459">
        <f t="shared" si="1"/>
        <v>165.83690088201035</v>
      </c>
      <c r="K15" s="459">
        <f t="shared" si="1"/>
        <v>0</v>
      </c>
      <c r="L15" s="459">
        <f t="shared" ca="1" si="1"/>
        <v>0</v>
      </c>
      <c r="M15" s="459">
        <f t="shared" si="1"/>
        <v>4338.0833957153673</v>
      </c>
      <c r="N15" s="459">
        <f t="shared" ca="1" si="1"/>
        <v>7103.5733826926325</v>
      </c>
      <c r="O15" s="459">
        <f t="shared" si="1"/>
        <v>232.12311166828275</v>
      </c>
      <c r="P15" s="459">
        <f t="shared" si="1"/>
        <v>442.42629092277093</v>
      </c>
      <c r="Q15" s="459">
        <f t="shared" ca="1" si="1"/>
        <v>179523.33569461657</v>
      </c>
    </row>
    <row r="17" spans="1:17">
      <c r="A17" s="461" t="s">
        <v>539</v>
      </c>
      <c r="B17" s="777">
        <f ca="1">huishoudens!B10</f>
        <v>8.0591424019383795E-2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1136.2609263022177</v>
      </c>
      <c r="C22" s="449">
        <f t="shared" ref="C22:C32" ca="1" si="3">C4*$C$17</f>
        <v>0</v>
      </c>
      <c r="D22" s="449">
        <f t="shared" ref="D22:D32" si="4">D4*$D$17</f>
        <v>3662.6391276159725</v>
      </c>
      <c r="E22" s="449">
        <f t="shared" ref="E22:E32" si="5">E4*$E$17</f>
        <v>242.13968616127909</v>
      </c>
      <c r="F22" s="449">
        <f t="shared" ref="F22:F32" si="6">F4*$F$17</f>
        <v>6469.0829206947301</v>
      </c>
      <c r="G22" s="449">
        <f t="shared" ref="G22:G32" si="7">G4*$G$17</f>
        <v>0</v>
      </c>
      <c r="H22" s="449">
        <f t="shared" ref="H22:H32" si="8">H4*$H$17</f>
        <v>0</v>
      </c>
      <c r="I22" s="449">
        <f t="shared" ref="I22:I32" si="9">I4*$I$17</f>
        <v>0</v>
      </c>
      <c r="J22" s="449">
        <f t="shared" ref="J22:J32" si="10">J4*$J$17</f>
        <v>42.909215576748664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11553.031876350948</v>
      </c>
    </row>
    <row r="23" spans="1:17">
      <c r="A23" s="448" t="s">
        <v>155</v>
      </c>
      <c r="B23" s="449">
        <f t="shared" ca="1" si="2"/>
        <v>904.9129156683365</v>
      </c>
      <c r="C23" s="449">
        <f t="shared" ca="1" si="3"/>
        <v>0</v>
      </c>
      <c r="D23" s="449">
        <f t="shared" ca="1" si="4"/>
        <v>1289.613240726384</v>
      </c>
      <c r="E23" s="449">
        <f t="shared" si="5"/>
        <v>18.549641699934998</v>
      </c>
      <c r="F23" s="449">
        <f t="shared" ca="1" si="6"/>
        <v>983.97266436175687</v>
      </c>
      <c r="G23" s="449">
        <f t="shared" si="7"/>
        <v>0</v>
      </c>
      <c r="H23" s="449">
        <f t="shared" si="8"/>
        <v>0</v>
      </c>
      <c r="I23" s="449">
        <f t="shared" si="9"/>
        <v>0</v>
      </c>
      <c r="J23" s="449">
        <f t="shared" si="10"/>
        <v>1.8506296666687544E-2</v>
      </c>
      <c r="K23" s="449">
        <f t="shared" si="11"/>
        <v>0</v>
      </c>
      <c r="L23" s="449">
        <f t="shared" ca="1" si="12"/>
        <v>0</v>
      </c>
      <c r="M23" s="449">
        <f t="shared" si="13"/>
        <v>0</v>
      </c>
      <c r="N23" s="449">
        <f t="shared" ca="1" si="14"/>
        <v>0</v>
      </c>
      <c r="O23" s="449">
        <f t="shared" si="15"/>
        <v>0</v>
      </c>
      <c r="P23" s="450">
        <f t="shared" si="16"/>
        <v>0</v>
      </c>
      <c r="Q23" s="448">
        <f t="shared" ref="Q23:Q31" ca="1" si="17">SUM(B23:P23)</f>
        <v>3197.066968753079</v>
      </c>
    </row>
    <row r="24" spans="1:17">
      <c r="A24" s="448" t="s">
        <v>193</v>
      </c>
      <c r="B24" s="449">
        <f t="shared" ca="1" si="2"/>
        <v>62.117361145476998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62.117361145476998</v>
      </c>
    </row>
    <row r="25" spans="1:17">
      <c r="A25" s="448" t="s">
        <v>111</v>
      </c>
      <c r="B25" s="449">
        <f t="shared" ca="1" si="2"/>
        <v>13.396427685241104</v>
      </c>
      <c r="C25" s="449">
        <f t="shared" ca="1" si="3"/>
        <v>0</v>
      </c>
      <c r="D25" s="449">
        <f t="shared" si="4"/>
        <v>22.456459404624034</v>
      </c>
      <c r="E25" s="449">
        <f t="shared" si="5"/>
        <v>1.4071942029172573</v>
      </c>
      <c r="F25" s="449">
        <f t="shared" si="6"/>
        <v>143.99387199932346</v>
      </c>
      <c r="G25" s="449">
        <f t="shared" si="7"/>
        <v>0</v>
      </c>
      <c r="H25" s="449">
        <f t="shared" si="8"/>
        <v>0</v>
      </c>
      <c r="I25" s="449">
        <f t="shared" si="9"/>
        <v>0</v>
      </c>
      <c r="J25" s="449">
        <f t="shared" si="10"/>
        <v>15.446884954174266</v>
      </c>
      <c r="K25" s="449">
        <f t="shared" si="11"/>
        <v>0</v>
      </c>
      <c r="L25" s="449">
        <f t="shared" si="12"/>
        <v>0</v>
      </c>
      <c r="M25" s="449">
        <f t="shared" si="13"/>
        <v>0</v>
      </c>
      <c r="N25" s="449">
        <f t="shared" si="14"/>
        <v>0</v>
      </c>
      <c r="O25" s="449">
        <f t="shared" si="15"/>
        <v>0</v>
      </c>
      <c r="P25" s="450">
        <f t="shared" si="16"/>
        <v>0</v>
      </c>
      <c r="Q25" s="448">
        <f t="shared" ca="1" si="17"/>
        <v>196.70083824628011</v>
      </c>
    </row>
    <row r="26" spans="1:17">
      <c r="A26" s="448" t="s">
        <v>618</v>
      </c>
      <c r="B26" s="449">
        <f t="shared" ca="1" si="2"/>
        <v>559.07705885379198</v>
      </c>
      <c r="C26" s="449">
        <f t="shared" ca="1" si="3"/>
        <v>0</v>
      </c>
      <c r="D26" s="449">
        <f t="shared" si="4"/>
        <v>488.45356537177207</v>
      </c>
      <c r="E26" s="449">
        <f t="shared" si="5"/>
        <v>6.7051356369714563</v>
      </c>
      <c r="F26" s="449">
        <f t="shared" si="6"/>
        <v>256.61440009896791</v>
      </c>
      <c r="G26" s="449">
        <f t="shared" si="7"/>
        <v>0</v>
      </c>
      <c r="H26" s="449">
        <f t="shared" si="8"/>
        <v>0</v>
      </c>
      <c r="I26" s="449">
        <f t="shared" si="9"/>
        <v>0</v>
      </c>
      <c r="J26" s="449">
        <f t="shared" si="10"/>
        <v>0.3316560846420355</v>
      </c>
      <c r="K26" s="449">
        <f t="shared" si="11"/>
        <v>0</v>
      </c>
      <c r="L26" s="449">
        <f t="shared" si="12"/>
        <v>0</v>
      </c>
      <c r="M26" s="449">
        <f t="shared" si="13"/>
        <v>0</v>
      </c>
      <c r="N26" s="449">
        <f t="shared" si="14"/>
        <v>0</v>
      </c>
      <c r="O26" s="449">
        <f t="shared" si="15"/>
        <v>0</v>
      </c>
      <c r="P26" s="450">
        <f t="shared" si="16"/>
        <v>0</v>
      </c>
      <c r="Q26" s="448">
        <f t="shared" ca="1" si="17"/>
        <v>1311.1818160461453</v>
      </c>
    </row>
    <row r="27" spans="1:17" s="454" customFormat="1">
      <c r="A27" s="452" t="s">
        <v>544</v>
      </c>
      <c r="B27" s="771">
        <f t="shared" ca="1" si="2"/>
        <v>11.239039809563875</v>
      </c>
      <c r="C27" s="453">
        <f t="shared" ca="1" si="3"/>
        <v>0</v>
      </c>
      <c r="D27" s="453">
        <f t="shared" si="4"/>
        <v>48.627808001113991</v>
      </c>
      <c r="E27" s="453">
        <f t="shared" si="5"/>
        <v>31.56391256640989</v>
      </c>
      <c r="F27" s="453">
        <f t="shared" si="6"/>
        <v>0</v>
      </c>
      <c r="G27" s="453">
        <f t="shared" si="7"/>
        <v>15427.614259465608</v>
      </c>
      <c r="H27" s="453">
        <f t="shared" si="8"/>
        <v>3680.9745183774326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19200.019538220131</v>
      </c>
    </row>
    <row r="28" spans="1:17" ht="16.5" customHeight="1">
      <c r="A28" s="448" t="s">
        <v>534</v>
      </c>
      <c r="B28" s="449">
        <f t="shared" ca="1" si="2"/>
        <v>1.1705966520658602</v>
      </c>
      <c r="C28" s="449">
        <f t="shared" ca="1" si="3"/>
        <v>0</v>
      </c>
      <c r="D28" s="449">
        <f t="shared" si="4"/>
        <v>0</v>
      </c>
      <c r="E28" s="449">
        <f t="shared" si="5"/>
        <v>0</v>
      </c>
      <c r="F28" s="449">
        <f t="shared" si="6"/>
        <v>0</v>
      </c>
      <c r="G28" s="449">
        <f t="shared" si="7"/>
        <v>276.8186105286353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277.98920718070116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128.68672923683991</v>
      </c>
      <c r="C32" s="449">
        <f t="shared" ca="1" si="3"/>
        <v>0</v>
      </c>
      <c r="D32" s="449">
        <f t="shared" si="4"/>
        <v>134.13540027000002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262.82212950683993</v>
      </c>
    </row>
    <row r="33" spans="1:17" s="460" customFormat="1">
      <c r="A33" s="458" t="s">
        <v>538</v>
      </c>
      <c r="B33" s="459">
        <f ca="1">SUM(B22:B32)</f>
        <v>2816.8610553535341</v>
      </c>
      <c r="C33" s="459">
        <f t="shared" ref="C33:Q33" ca="1" si="19">SUM(C22:C32)</f>
        <v>0</v>
      </c>
      <c r="D33" s="459">
        <f t="shared" ca="1" si="19"/>
        <v>5645.9256013898676</v>
      </c>
      <c r="E33" s="459">
        <f t="shared" si="19"/>
        <v>300.36557026751274</v>
      </c>
      <c r="F33" s="459">
        <f t="shared" ca="1" si="19"/>
        <v>7853.6638571547783</v>
      </c>
      <c r="G33" s="459">
        <f t="shared" si="19"/>
        <v>15704.432869994243</v>
      </c>
      <c r="H33" s="459">
        <f t="shared" si="19"/>
        <v>3680.9745183774326</v>
      </c>
      <c r="I33" s="459">
        <f t="shared" si="19"/>
        <v>0</v>
      </c>
      <c r="J33" s="459">
        <f t="shared" si="19"/>
        <v>58.706262912231651</v>
      </c>
      <c r="K33" s="459">
        <f t="shared" si="19"/>
        <v>0</v>
      </c>
      <c r="L33" s="459">
        <f t="shared" ca="1" si="19"/>
        <v>0</v>
      </c>
      <c r="M33" s="459">
        <f t="shared" si="19"/>
        <v>0</v>
      </c>
      <c r="N33" s="459">
        <f t="shared" ca="1" si="19"/>
        <v>0</v>
      </c>
      <c r="O33" s="459">
        <f t="shared" si="19"/>
        <v>0</v>
      </c>
      <c r="P33" s="459">
        <f t="shared" si="19"/>
        <v>0</v>
      </c>
      <c r="Q33" s="459">
        <f t="shared" ca="1" si="19"/>
        <v>36060.929735449608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18650.726131300849</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3555.6635649749915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22206.389696275841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8.0591424019383795E-2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8.0591424019383795E-2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8.0591424019383795E-2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8.0591424019383795E-2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3007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487.44</v>
      </c>
      <c r="C14" s="326"/>
      <c r="D14" s="326"/>
      <c r="E14" s="326"/>
      <c r="F14" s="326"/>
    </row>
    <row r="15" spans="1:6">
      <c r="A15" s="1307" t="s">
        <v>183</v>
      </c>
      <c r="B15" s="1308">
        <v>4</v>
      </c>
      <c r="C15" s="326"/>
      <c r="D15" s="326"/>
      <c r="E15" s="326"/>
      <c r="F15" s="326"/>
    </row>
    <row r="16" spans="1:6">
      <c r="A16" s="1307" t="s">
        <v>6</v>
      </c>
      <c r="B16" s="1308">
        <v>10</v>
      </c>
      <c r="C16" s="326"/>
      <c r="D16" s="326"/>
      <c r="E16" s="326"/>
      <c r="F16" s="326"/>
    </row>
    <row r="17" spans="1:6">
      <c r="A17" s="1307" t="s">
        <v>7</v>
      </c>
      <c r="B17" s="1308">
        <v>90</v>
      </c>
      <c r="C17" s="326"/>
      <c r="D17" s="326"/>
      <c r="E17" s="326"/>
      <c r="F17" s="326"/>
    </row>
    <row r="18" spans="1:6">
      <c r="A18" s="1307" t="s">
        <v>8</v>
      </c>
      <c r="B18" s="1308">
        <v>51</v>
      </c>
      <c r="C18" s="326"/>
      <c r="D18" s="326"/>
      <c r="E18" s="326"/>
      <c r="F18" s="326"/>
    </row>
    <row r="19" spans="1:6">
      <c r="A19" s="1307" t="s">
        <v>9</v>
      </c>
      <c r="B19" s="1308">
        <v>59</v>
      </c>
      <c r="C19" s="326"/>
      <c r="D19" s="326"/>
      <c r="E19" s="326"/>
      <c r="F19" s="326"/>
    </row>
    <row r="20" spans="1:6">
      <c r="A20" s="1307" t="s">
        <v>10</v>
      </c>
      <c r="B20" s="1308">
        <v>67</v>
      </c>
      <c r="C20" s="326"/>
      <c r="D20" s="326"/>
      <c r="E20" s="326"/>
      <c r="F20" s="326"/>
    </row>
    <row r="21" spans="1:6">
      <c r="A21" s="1307" t="s">
        <v>11</v>
      </c>
      <c r="B21" s="1308">
        <v>0</v>
      </c>
      <c r="C21" s="326"/>
      <c r="D21" s="326"/>
      <c r="E21" s="326"/>
      <c r="F21" s="326"/>
    </row>
    <row r="22" spans="1:6">
      <c r="A22" s="1307" t="s">
        <v>12</v>
      </c>
      <c r="B22" s="1308">
        <v>5</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50</v>
      </c>
      <c r="C26" s="326"/>
      <c r="D26" s="326"/>
      <c r="E26" s="326"/>
      <c r="F26" s="326"/>
    </row>
    <row r="27" spans="1:6">
      <c r="A27" s="1307" t="s">
        <v>17</v>
      </c>
      <c r="B27" s="1308">
        <v>0</v>
      </c>
      <c r="C27" s="326"/>
      <c r="D27" s="326"/>
      <c r="E27" s="326"/>
      <c r="F27" s="326"/>
    </row>
    <row r="28" spans="1:6" s="43" customFormat="1">
      <c r="A28" s="1309" t="s">
        <v>18</v>
      </c>
      <c r="B28" s="1310">
        <v>63255</v>
      </c>
      <c r="C28" s="332"/>
      <c r="D28" s="332"/>
      <c r="E28" s="332"/>
      <c r="F28" s="332"/>
    </row>
    <row r="29" spans="1:6">
      <c r="A29" s="1309" t="s">
        <v>688</v>
      </c>
      <c r="B29" s="1310">
        <v>154</v>
      </c>
      <c r="C29" s="332"/>
      <c r="D29" s="332"/>
      <c r="E29" s="332"/>
      <c r="F29" s="332"/>
    </row>
    <row r="30" spans="1:6">
      <c r="A30" s="1302" t="s">
        <v>689</v>
      </c>
      <c r="B30" s="1311">
        <v>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1313</v>
      </c>
      <c r="D39" s="1308">
        <v>20079597.862</v>
      </c>
      <c r="E39" s="1308">
        <v>3055</v>
      </c>
      <c r="F39" s="1308">
        <v>11085818.810000001</v>
      </c>
    </row>
    <row r="40" spans="1:6">
      <c r="A40" s="1307" t="s">
        <v>29</v>
      </c>
      <c r="B40" s="1307" t="s">
        <v>28</v>
      </c>
      <c r="C40" s="1308">
        <v>0</v>
      </c>
      <c r="D40" s="1308">
        <v>0</v>
      </c>
      <c r="E40" s="1308">
        <v>0</v>
      </c>
      <c r="F40" s="1308">
        <v>0</v>
      </c>
    </row>
    <row r="41" spans="1:6">
      <c r="A41" s="1307" t="s">
        <v>31</v>
      </c>
      <c r="B41" s="1307" t="s">
        <v>32</v>
      </c>
      <c r="C41" s="1308">
        <v>31</v>
      </c>
      <c r="D41" s="1308">
        <v>243248.318</v>
      </c>
      <c r="E41" s="1308">
        <v>69</v>
      </c>
      <c r="F41" s="1308">
        <v>1162320.8589999999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517100.86499999999</v>
      </c>
      <c r="E44" s="1308">
        <v>14</v>
      </c>
      <c r="F44" s="1308">
        <v>1008302.931</v>
      </c>
    </row>
    <row r="45" spans="1:6">
      <c r="A45" s="1307" t="s">
        <v>31</v>
      </c>
      <c r="B45" s="1307" t="s">
        <v>36</v>
      </c>
      <c r="C45" s="1308">
        <v>0</v>
      </c>
      <c r="D45" s="1308">
        <v>0</v>
      </c>
      <c r="E45" s="1308">
        <v>4</v>
      </c>
      <c r="F45" s="1308">
        <v>4644862.1189999999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1917487.9790000001</v>
      </c>
      <c r="E48" s="1308">
        <v>1</v>
      </c>
      <c r="F48" s="1308">
        <v>21030.510999999999</v>
      </c>
    </row>
    <row r="49" spans="1:6">
      <c r="A49" s="1307" t="s">
        <v>31</v>
      </c>
      <c r="B49" s="1307" t="s">
        <v>39</v>
      </c>
      <c r="C49" s="1308">
        <v>0</v>
      </c>
      <c r="D49" s="1308">
        <v>0</v>
      </c>
      <c r="E49" s="1308">
        <v>0</v>
      </c>
      <c r="F49" s="1308">
        <v>0</v>
      </c>
    </row>
    <row r="50" spans="1:6">
      <c r="A50" s="1307" t="s">
        <v>31</v>
      </c>
      <c r="B50" s="1307" t="s">
        <v>40</v>
      </c>
      <c r="C50" s="1308">
        <v>0</v>
      </c>
      <c r="D50" s="1308">
        <v>0</v>
      </c>
      <c r="E50" s="1308">
        <v>3</v>
      </c>
      <c r="F50" s="1308">
        <v>100661.644</v>
      </c>
    </row>
    <row r="51" spans="1:6">
      <c r="A51" s="1307" t="s">
        <v>41</v>
      </c>
      <c r="B51" s="1307" t="s">
        <v>42</v>
      </c>
      <c r="C51" s="1308">
        <v>2</v>
      </c>
      <c r="D51" s="1308">
        <v>123112.50400000019</v>
      </c>
      <c r="E51" s="1308">
        <v>11</v>
      </c>
      <c r="F51" s="1308">
        <v>166226.46699999995</v>
      </c>
    </row>
    <row r="52" spans="1:6">
      <c r="A52" s="1307" t="s">
        <v>41</v>
      </c>
      <c r="B52" s="1307" t="s">
        <v>28</v>
      </c>
      <c r="C52" s="1308">
        <v>0</v>
      </c>
      <c r="D52" s="1308">
        <v>0</v>
      </c>
      <c r="E52" s="1308">
        <v>0</v>
      </c>
      <c r="F52" s="1308">
        <v>0</v>
      </c>
    </row>
    <row r="53" spans="1:6">
      <c r="A53" s="1307" t="s">
        <v>43</v>
      </c>
      <c r="B53" s="1307" t="s">
        <v>44</v>
      </c>
      <c r="C53" s="1308">
        <v>20</v>
      </c>
      <c r="D53" s="1308">
        <v>664036.63500000001</v>
      </c>
      <c r="E53" s="1308">
        <v>91</v>
      </c>
      <c r="F53" s="1308">
        <v>1596779.4439999999</v>
      </c>
    </row>
    <row r="54" spans="1:6">
      <c r="A54" s="1307" t="s">
        <v>45</v>
      </c>
      <c r="B54" s="1307" t="s">
        <v>46</v>
      </c>
      <c r="C54" s="1308">
        <v>0</v>
      </c>
      <c r="D54" s="1308">
        <v>0</v>
      </c>
      <c r="E54" s="1308">
        <v>3</v>
      </c>
      <c r="F54" s="1308">
        <v>770768.87399999995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20</v>
      </c>
      <c r="D57" s="1308">
        <v>651522.78599999996</v>
      </c>
      <c r="E57" s="1308">
        <v>63</v>
      </c>
      <c r="F57" s="1308">
        <v>5293502.0719999997</v>
      </c>
    </row>
    <row r="58" spans="1:6">
      <c r="A58" s="1307" t="s">
        <v>48</v>
      </c>
      <c r="B58" s="1307" t="s">
        <v>50</v>
      </c>
      <c r="C58" s="1308">
        <v>15</v>
      </c>
      <c r="D58" s="1308">
        <v>1003958.764</v>
      </c>
      <c r="E58" s="1308">
        <v>23</v>
      </c>
      <c r="F58" s="1308">
        <v>430942.39500000002</v>
      </c>
    </row>
    <row r="59" spans="1:6">
      <c r="A59" s="1307" t="s">
        <v>48</v>
      </c>
      <c r="B59" s="1307" t="s">
        <v>51</v>
      </c>
      <c r="C59" s="1308">
        <v>19</v>
      </c>
      <c r="D59" s="1308">
        <v>344794.75400000002</v>
      </c>
      <c r="E59" s="1308">
        <v>60</v>
      </c>
      <c r="F59" s="1308">
        <v>1617148.6359999999</v>
      </c>
    </row>
    <row r="60" spans="1:6">
      <c r="A60" s="1307" t="s">
        <v>48</v>
      </c>
      <c r="B60" s="1307" t="s">
        <v>52</v>
      </c>
      <c r="C60" s="1308">
        <v>14</v>
      </c>
      <c r="D60" s="1308">
        <v>3781164.9380000001</v>
      </c>
      <c r="E60" s="1308">
        <v>35</v>
      </c>
      <c r="F60" s="1308">
        <v>2897975.986</v>
      </c>
    </row>
    <row r="61" spans="1:6">
      <c r="A61" s="1307" t="s">
        <v>48</v>
      </c>
      <c r="B61" s="1307" t="s">
        <v>53</v>
      </c>
      <c r="C61" s="1308">
        <v>46</v>
      </c>
      <c r="D61" s="1308">
        <v>974332.55200000003</v>
      </c>
      <c r="E61" s="1308">
        <v>121</v>
      </c>
      <c r="F61" s="1308">
        <v>911842.26500000001</v>
      </c>
    </row>
    <row r="62" spans="1:6">
      <c r="A62" s="1307" t="s">
        <v>48</v>
      </c>
      <c r="B62" s="1307" t="s">
        <v>54</v>
      </c>
      <c r="C62" s="1308">
        <v>5</v>
      </c>
      <c r="D62" s="1308">
        <v>314241.67</v>
      </c>
      <c r="E62" s="1308">
        <v>7</v>
      </c>
      <c r="F62" s="1308">
        <v>76990.758000000002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3355.8119999999999</v>
      </c>
    </row>
    <row r="66" spans="1:6">
      <c r="A66" s="1307" t="s">
        <v>55</v>
      </c>
      <c r="B66" s="1307" t="s">
        <v>57</v>
      </c>
      <c r="C66" s="1308">
        <v>0</v>
      </c>
      <c r="D66" s="1308">
        <v>0</v>
      </c>
      <c r="E66" s="1308">
        <v>9</v>
      </c>
      <c r="F66" s="1308">
        <v>81743.256999999998</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56765888</v>
      </c>
      <c r="E73" s="447"/>
      <c r="F73" s="326"/>
    </row>
    <row r="74" spans="1:6">
      <c r="A74" s="1307" t="s">
        <v>63</v>
      </c>
      <c r="B74" s="1307" t="s">
        <v>639</v>
      </c>
      <c r="C74" s="1321" t="s">
        <v>641</v>
      </c>
      <c r="D74" s="1322">
        <v>2494885.2559935278</v>
      </c>
      <c r="E74" s="447"/>
      <c r="F74" s="326"/>
    </row>
    <row r="75" spans="1:6">
      <c r="A75" s="1307" t="s">
        <v>64</v>
      </c>
      <c r="B75" s="1307" t="s">
        <v>638</v>
      </c>
      <c r="C75" s="1321" t="s">
        <v>642</v>
      </c>
      <c r="D75" s="1322">
        <v>12471505</v>
      </c>
      <c r="E75" s="447"/>
      <c r="F75" s="326"/>
    </row>
    <row r="76" spans="1:6">
      <c r="A76" s="1307" t="s">
        <v>64</v>
      </c>
      <c r="B76" s="1307" t="s">
        <v>639</v>
      </c>
      <c r="C76" s="1321" t="s">
        <v>643</v>
      </c>
      <c r="D76" s="1322">
        <v>26759.255993528001</v>
      </c>
      <c r="E76" s="447"/>
      <c r="F76" s="326"/>
    </row>
    <row r="77" spans="1:6">
      <c r="A77" s="1307" t="s">
        <v>65</v>
      </c>
      <c r="B77" s="1307" t="s">
        <v>638</v>
      </c>
      <c r="C77" s="1321" t="s">
        <v>644</v>
      </c>
      <c r="D77" s="1322">
        <v>21824498</v>
      </c>
      <c r="E77" s="447"/>
      <c r="F77" s="326"/>
    </row>
    <row r="78" spans="1:6">
      <c r="A78" s="1302" t="s">
        <v>65</v>
      </c>
      <c r="B78" s="1302" t="s">
        <v>639</v>
      </c>
      <c r="C78" s="1302" t="s">
        <v>645</v>
      </c>
      <c r="D78" s="1323">
        <v>4333150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307015.488012944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18650.726131300849</v>
      </c>
      <c r="C90" s="326"/>
      <c r="D90" s="326"/>
      <c r="E90" s="326"/>
      <c r="F90" s="326"/>
    </row>
    <row r="91" spans="1:6">
      <c r="A91" s="1307" t="s">
        <v>67</v>
      </c>
      <c r="B91" s="1308">
        <v>3013.211454422737</v>
      </c>
      <c r="C91" s="326"/>
      <c r="D91" s="326"/>
      <c r="E91" s="326"/>
      <c r="F91" s="326"/>
    </row>
    <row r="92" spans="1:6">
      <c r="A92" s="1302" t="s">
        <v>68</v>
      </c>
      <c r="B92" s="1303">
        <v>542.45211055225434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187</v>
      </c>
      <c r="C97" s="326"/>
      <c r="D97" s="326"/>
      <c r="E97" s="326"/>
      <c r="F97" s="326"/>
    </row>
    <row r="98" spans="1:6">
      <c r="A98" s="1307" t="s">
        <v>71</v>
      </c>
      <c r="B98" s="1308">
        <v>0</v>
      </c>
      <c r="C98" s="326"/>
      <c r="D98" s="326"/>
      <c r="E98" s="326"/>
      <c r="F98" s="326"/>
    </row>
    <row r="99" spans="1:6">
      <c r="A99" s="1307" t="s">
        <v>72</v>
      </c>
      <c r="B99" s="1308">
        <v>15</v>
      </c>
      <c r="C99" s="326"/>
      <c r="D99" s="326"/>
      <c r="E99" s="326"/>
      <c r="F99" s="326"/>
    </row>
    <row r="100" spans="1:6">
      <c r="A100" s="1307" t="s">
        <v>73</v>
      </c>
      <c r="B100" s="1308">
        <v>203</v>
      </c>
      <c r="C100" s="326"/>
      <c r="D100" s="326"/>
      <c r="E100" s="326"/>
      <c r="F100" s="326"/>
    </row>
    <row r="101" spans="1:6">
      <c r="A101" s="1307" t="s">
        <v>74</v>
      </c>
      <c r="B101" s="1308">
        <v>34</v>
      </c>
      <c r="C101" s="326"/>
      <c r="D101" s="326"/>
      <c r="E101" s="326"/>
      <c r="F101" s="326"/>
    </row>
    <row r="102" spans="1:6">
      <c r="A102" s="1307" t="s">
        <v>75</v>
      </c>
      <c r="B102" s="1308">
        <v>17</v>
      </c>
      <c r="C102" s="326"/>
      <c r="D102" s="326"/>
      <c r="E102" s="326"/>
      <c r="F102" s="326"/>
    </row>
    <row r="103" spans="1:6">
      <c r="A103" s="1307" t="s">
        <v>76</v>
      </c>
      <c r="B103" s="1308">
        <v>57</v>
      </c>
      <c r="C103" s="326"/>
      <c r="D103" s="326"/>
      <c r="E103" s="326"/>
      <c r="F103" s="326"/>
    </row>
    <row r="104" spans="1:6">
      <c r="A104" s="1307" t="s">
        <v>77</v>
      </c>
      <c r="B104" s="1308">
        <v>1941</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20</v>
      </c>
      <c r="C123" s="1308">
        <v>11</v>
      </c>
      <c r="D123" s="326"/>
      <c r="E123" s="326"/>
      <c r="F123" s="326"/>
    </row>
    <row r="124" spans="1:6" s="43" customFormat="1">
      <c r="A124" s="1309" t="s">
        <v>88</v>
      </c>
      <c r="B124" s="1330">
        <v>1</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103</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34952.367322309932</v>
      </c>
      <c r="C3" s="43" t="s">
        <v>169</v>
      </c>
      <c r="D3" s="43"/>
      <c r="E3" s="154"/>
      <c r="F3" s="43"/>
      <c r="G3" s="43"/>
      <c r="H3" s="43"/>
      <c r="I3" s="43"/>
      <c r="J3" s="43"/>
      <c r="K3" s="96"/>
    </row>
    <row r="4" spans="1:11">
      <c r="A4" s="354" t="s">
        <v>170</v>
      </c>
      <c r="B4" s="49">
        <f>IF(ISERROR('SEAP template'!B78+'SEAP template'!C78),0,'SEAP template'!B78+'SEAP template'!C78)</f>
        <v>22206.389696275841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8.0591424019383795E-2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770.76887399999998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770.76887399999998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8.0591424019383795E-2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62.117361145476998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11085.818810000001</v>
      </c>
      <c r="C5" s="17">
        <f>IF(ISERROR('Eigen informatie GS &amp; warmtenet'!B59),0,'Eigen informatie GS &amp; warmtenet'!B59)</f>
        <v>0</v>
      </c>
      <c r="D5" s="30">
        <f>(SUM(HH_hh_gas_kWh,HH_rest_gas_kWh)/1000)*0.903</f>
        <v>18131.876869386</v>
      </c>
      <c r="E5" s="17">
        <f>B32*B41</f>
        <v>1066.6946526928593</v>
      </c>
      <c r="F5" s="17">
        <f>B36*B45</f>
        <v>24228.774983875392</v>
      </c>
      <c r="G5" s="18"/>
      <c r="H5" s="17"/>
      <c r="I5" s="17"/>
      <c r="J5" s="17">
        <f>B35*B44+C35*C44</f>
        <v>121.21247338064596</v>
      </c>
      <c r="K5" s="17"/>
      <c r="L5" s="17"/>
      <c r="M5" s="17"/>
      <c r="N5" s="17">
        <f>B34*B43+C34*C43</f>
        <v>4350.9722106798026</v>
      </c>
      <c r="O5" s="17">
        <f>B52*B53*B54</f>
        <v>232.12311166828275</v>
      </c>
      <c r="P5" s="17">
        <f>B60*B61*B62/1000-B60*B61*B62/1000/B63</f>
        <v>442.42629092277093</v>
      </c>
    </row>
    <row r="6" spans="1:16">
      <c r="A6" s="16" t="s">
        <v>604</v>
      </c>
      <c r="B6" s="779">
        <f>kWh_PV_kleiner_dan_10kW</f>
        <v>3013.211454422737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14099.030264422738</v>
      </c>
      <c r="C8" s="21">
        <f>C5</f>
        <v>0</v>
      </c>
      <c r="D8" s="21">
        <f>D5</f>
        <v>18131.876869386</v>
      </c>
      <c r="E8" s="21">
        <f>E5</f>
        <v>1066.6946526928593</v>
      </c>
      <c r="F8" s="21">
        <f>F5</f>
        <v>24228.774983875392</v>
      </c>
      <c r="G8" s="21"/>
      <c r="H8" s="21"/>
      <c r="I8" s="21"/>
      <c r="J8" s="21">
        <f>J5</f>
        <v>121.21247338064596</v>
      </c>
      <c r="K8" s="21"/>
      <c r="L8" s="21">
        <f>L5</f>
        <v>0</v>
      </c>
      <c r="M8" s="21">
        <f>M5</f>
        <v>0</v>
      </c>
      <c r="N8" s="21">
        <f>N5</f>
        <v>4350.9722106798026</v>
      </c>
      <c r="O8" s="21">
        <f>O5</f>
        <v>232.12311166828275</v>
      </c>
      <c r="P8" s="21">
        <f>P5</f>
        <v>442.42629092277093</v>
      </c>
    </row>
    <row r="9" spans="1:16">
      <c r="B9" s="19"/>
      <c r="C9" s="19"/>
      <c r="D9" s="254"/>
      <c r="E9" s="19"/>
      <c r="F9" s="19"/>
      <c r="G9" s="19"/>
      <c r="H9" s="19"/>
      <c r="I9" s="19"/>
      <c r="J9" s="19"/>
      <c r="K9" s="19"/>
      <c r="L9" s="19"/>
      <c r="M9" s="19"/>
      <c r="N9" s="19"/>
      <c r="O9" s="19"/>
      <c r="P9" s="19"/>
    </row>
    <row r="10" spans="1:16">
      <c r="A10" s="24" t="s">
        <v>213</v>
      </c>
      <c r="B10" s="25">
        <f ca="1">'EF ele_warmte'!B12</f>
        <v>8.0591424019383795E-2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1136.2609263022177</v>
      </c>
      <c r="C12" s="23">
        <f ca="1">C10*C8</f>
        <v>0</v>
      </c>
      <c r="D12" s="23">
        <f>D8*D10</f>
        <v>3662.6391276159725</v>
      </c>
      <c r="E12" s="23">
        <f>E10*E8</f>
        <v>242.13968616127909</v>
      </c>
      <c r="F12" s="23">
        <f>F10*F8</f>
        <v>6469.0829206947301</v>
      </c>
      <c r="G12" s="23"/>
      <c r="H12" s="23"/>
      <c r="I12" s="23"/>
      <c r="J12" s="23">
        <f>J10*J8</f>
        <v>42.909215576748664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3007</v>
      </c>
      <c r="C26" s="36"/>
      <c r="D26" s="225"/>
    </row>
    <row r="27" spans="1:5" s="15" customFormat="1">
      <c r="A27" s="227" t="s">
        <v>817</v>
      </c>
      <c r="B27" s="37">
        <f>SUM(HH_hh_gas_aantal,HH_rest_gas_aantal)</f>
        <v>1313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1247.3499999999999</v>
      </c>
      <c r="C31" s="34" t="s">
        <v>110</v>
      </c>
      <c r="D31" s="171"/>
    </row>
    <row r="32" spans="1:5">
      <c r="A32" s="168" t="s">
        <v>72</v>
      </c>
      <c r="B32" s="33">
        <f>IF((B21*($B$26-($B$27-0.05*$B$27)-$B$60))&lt;0,0,B21*($B$26-($B$27-0.05*$B$27)-$B$60))</f>
        <v>26.436967814624889</v>
      </c>
      <c r="C32" s="34" t="s">
        <v>110</v>
      </c>
      <c r="D32" s="171"/>
    </row>
    <row r="33" spans="1:6">
      <c r="A33" s="168" t="s">
        <v>73</v>
      </c>
      <c r="B33" s="33">
        <f>IF((B22*($B$26-($B$27-0.05*$B$27)-$B$60))&lt;0,0,B22*($B$26-($B$27-0.05*$B$27)-$B$60))</f>
        <v>429.28399832006494</v>
      </c>
      <c r="C33" s="34" t="s">
        <v>110</v>
      </c>
      <c r="D33" s="171"/>
    </row>
    <row r="34" spans="1:6">
      <c r="A34" s="168" t="s">
        <v>74</v>
      </c>
      <c r="B34" s="33">
        <f>IF((B24*($B$26-($B$27-0.05*$B$27)-$B$60))&lt;0,0,B24*($B$26-($B$27-0.05*$B$27)-$B$60))</f>
        <v>82.228562859628781</v>
      </c>
      <c r="C34" s="33">
        <f>B26*C24</f>
        <v>615.75511769608943</v>
      </c>
      <c r="D34" s="230"/>
    </row>
    <row r="35" spans="1:6">
      <c r="A35" s="168" t="s">
        <v>76</v>
      </c>
      <c r="B35" s="33">
        <f>IF((B19*($B$26-($B$27-0.05*$B$27)-$B$60))&lt;0,0,B19*($B$26-($B$27-0.05*$B$27)-$B$60))</f>
        <v>11.492086881561022</v>
      </c>
      <c r="C35" s="33">
        <f>B35/2</f>
        <v>5.746043440780511</v>
      </c>
      <c r="D35" s="230"/>
    </row>
    <row r="36" spans="1:6">
      <c r="A36" s="168" t="s">
        <v>77</v>
      </c>
      <c r="B36" s="33">
        <f>IF((B18*($B$26-($B$27-0.05*$B$27)-$B$60))&lt;0,0,B18*($B$26-($B$27-0.05*$B$27)-$B$60))</f>
        <v>1168.2083841241199</v>
      </c>
      <c r="C36" s="34" t="s">
        <v>110</v>
      </c>
      <c r="D36" s="171"/>
    </row>
    <row r="37" spans="1:6">
      <c r="A37" s="168" t="s">
        <v>78</v>
      </c>
      <c r="B37" s="33">
        <f>B60</f>
        <v>42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11228.402112</v>
      </c>
      <c r="C5" s="17">
        <f>IF(ISERROR('Eigen informatie GS &amp; warmtenet'!B60),0,'Eigen informatie GS &amp; warmtenet'!B60)</f>
        <v>0</v>
      </c>
      <c r="D5" s="30">
        <f>SUM(D6:D12)</f>
        <v>6384.2239639919999</v>
      </c>
      <c r="E5" s="17">
        <f>SUM(E6:E12)</f>
        <v>81.716483259625534</v>
      </c>
      <c r="F5" s="17">
        <f>SUM(F6:F12)</f>
        <v>3685.2908777593889</v>
      </c>
      <c r="G5" s="18"/>
      <c r="H5" s="17"/>
      <c r="I5" s="17"/>
      <c r="J5" s="17">
        <f>SUM(J6:J12)</f>
        <v>5.2277674199682329E-2</v>
      </c>
      <c r="K5" s="17"/>
      <c r="L5" s="17"/>
      <c r="M5" s="17"/>
      <c r="N5" s="17">
        <f>SUM(N6:N12)</f>
        <v>1894.6195274373852</v>
      </c>
      <c r="O5" s="17">
        <f>B38*B39*B40</f>
        <v>0</v>
      </c>
      <c r="P5" s="17">
        <f>B46*B47*B48/1000-B46*B47*B48/1000/B49</f>
        <v>0</v>
      </c>
      <c r="R5" s="32"/>
    </row>
    <row r="6" spans="1:18">
      <c r="A6" s="32" t="s">
        <v>53</v>
      </c>
      <c r="B6" s="37">
        <f>B26</f>
        <v>911.842265</v>
      </c>
      <c r="C6" s="33"/>
      <c r="D6" s="37">
        <f>IF(ISERROR(TER_kantoor_gas_kWh/1000),0,TER_kantoor_gas_kWh/1000)*0.903</f>
        <v>879.82229445600012</v>
      </c>
      <c r="E6" s="33">
        <f>$C$26*'E Balans VL '!I12/100/3.6*1000000</f>
        <v>0.21845573255073969</v>
      </c>
      <c r="F6" s="33">
        <f>$C$26*('E Balans VL '!L12+'E Balans VL '!N12)/100/3.6*1000000</f>
        <v>86.468931002599149</v>
      </c>
      <c r="G6" s="34"/>
      <c r="H6" s="33"/>
      <c r="I6" s="33"/>
      <c r="J6" s="33">
        <f>$C$26*('E Balans VL '!D12+'E Balans VL '!E12)/100/3.6*1000000</f>
        <v>0</v>
      </c>
      <c r="K6" s="33"/>
      <c r="L6" s="33"/>
      <c r="M6" s="33"/>
      <c r="N6" s="33">
        <f>$C$26*'E Balans VL '!Y12/100/3.6*1000000</f>
        <v>0.4631687067680445</v>
      </c>
      <c r="O6" s="33"/>
      <c r="P6" s="33"/>
      <c r="R6" s="32"/>
    </row>
    <row r="7" spans="1:18">
      <c r="A7" s="32" t="s">
        <v>52</v>
      </c>
      <c r="B7" s="37">
        <f t="shared" ref="B7:B12" si="0">B27</f>
        <v>2897.9759859999999</v>
      </c>
      <c r="C7" s="33"/>
      <c r="D7" s="37">
        <f>IF(ISERROR(TER_horeca_gas_kWh/1000),0,TER_horeca_gas_kWh/1000)*0.903</f>
        <v>3414.3919390139999</v>
      </c>
      <c r="E7" s="33">
        <f>$C$27*'E Balans VL '!I9/100/3.6*1000000</f>
        <v>0</v>
      </c>
      <c r="F7" s="33">
        <f>$C$27*('E Balans VL '!L9+'E Balans VL '!N9)/100/3.6*1000000</f>
        <v>237.62721861086274</v>
      </c>
      <c r="G7" s="34"/>
      <c r="H7" s="33"/>
      <c r="I7" s="33"/>
      <c r="J7" s="33">
        <f>$C$27*('E Balans VL '!D9+'E Balans VL '!E9)/100/3.6*1000000</f>
        <v>0</v>
      </c>
      <c r="K7" s="33"/>
      <c r="L7" s="33"/>
      <c r="M7" s="33"/>
      <c r="N7" s="33">
        <f>$C$27*'E Balans VL '!Y9/100/3.6*1000000</f>
        <v>0.88834607184572034</v>
      </c>
      <c r="O7" s="33"/>
      <c r="P7" s="33"/>
      <c r="R7" s="32"/>
    </row>
    <row r="8" spans="1:18">
      <c r="A8" s="6" t="s">
        <v>51</v>
      </c>
      <c r="B8" s="37">
        <f t="shared" si="0"/>
        <v>1617.1486359999999</v>
      </c>
      <c r="C8" s="33"/>
      <c r="D8" s="37">
        <f>IF(ISERROR(TER_handel_gas_kWh/1000),0,TER_handel_gas_kWh/1000)*0.903</f>
        <v>311.349662862</v>
      </c>
      <c r="E8" s="33">
        <f>$C$28*'E Balans VL '!I13/100/3.6*1000000</f>
        <v>5.6833935979360417</v>
      </c>
      <c r="F8" s="33">
        <f>$C$28*('E Balans VL '!L13+'E Balans VL '!N13)/100/3.6*1000000</f>
        <v>147.96619606608147</v>
      </c>
      <c r="G8" s="34"/>
      <c r="H8" s="33"/>
      <c r="I8" s="33"/>
      <c r="J8" s="33">
        <f>$C$28*('E Balans VL '!D13+'E Balans VL '!E13)/100/3.6*1000000</f>
        <v>0</v>
      </c>
      <c r="K8" s="33"/>
      <c r="L8" s="33"/>
      <c r="M8" s="33"/>
      <c r="N8" s="33">
        <f>$C$28*'E Balans VL '!Y13/100/3.6*1000000</f>
        <v>0.58566161510488501</v>
      </c>
      <c r="O8" s="33"/>
      <c r="P8" s="33"/>
      <c r="R8" s="32"/>
    </row>
    <row r="9" spans="1:18">
      <c r="A9" s="32" t="s">
        <v>50</v>
      </c>
      <c r="B9" s="37">
        <f t="shared" si="0"/>
        <v>430.94239500000003</v>
      </c>
      <c r="C9" s="33"/>
      <c r="D9" s="37">
        <f>IF(ISERROR(TER_gezond_gas_kWh/1000),0,TER_gezond_gas_kWh/1000)*0.903</f>
        <v>906.57476389199996</v>
      </c>
      <c r="E9" s="33">
        <f>$C$29*'E Balans VL '!I10/100/3.6*1000000</f>
        <v>0</v>
      </c>
      <c r="F9" s="33">
        <f>$C$29*('E Balans VL '!L10+'E Balans VL '!N10)/100/3.6*1000000</f>
        <v>52.825624254089071</v>
      </c>
      <c r="G9" s="34"/>
      <c r="H9" s="33"/>
      <c r="I9" s="33"/>
      <c r="J9" s="33">
        <f>$C$29*('E Balans VL '!D10+'E Balans VL '!E10)/100/3.6*1000000</f>
        <v>0</v>
      </c>
      <c r="K9" s="33"/>
      <c r="L9" s="33"/>
      <c r="M9" s="33"/>
      <c r="N9" s="33">
        <f>$C$29*'E Balans VL '!Y10/100/3.6*1000000</f>
        <v>3.1778998588332974</v>
      </c>
      <c r="O9" s="33"/>
      <c r="P9" s="33"/>
      <c r="R9" s="32"/>
    </row>
    <row r="10" spans="1:18">
      <c r="A10" s="32" t="s">
        <v>49</v>
      </c>
      <c r="B10" s="37">
        <f t="shared" si="0"/>
        <v>5293.5020719999993</v>
      </c>
      <c r="C10" s="33"/>
      <c r="D10" s="37">
        <f>IF(ISERROR(TER_ander_gas_kWh/1000),0,TER_ander_gas_kWh/1000)*0.903</f>
        <v>588.32507575800003</v>
      </c>
      <c r="E10" s="33">
        <f>$C$30*'E Balans VL '!I14/100/3.6*1000000</f>
        <v>75.814633929138751</v>
      </c>
      <c r="F10" s="33">
        <f>$C$30*('E Balans VL '!L14+'E Balans VL '!N14)/100/3.6*1000000</f>
        <v>3151.4017713778289</v>
      </c>
      <c r="G10" s="34"/>
      <c r="H10" s="33"/>
      <c r="I10" s="33"/>
      <c r="J10" s="33">
        <f>$C$30*('E Balans VL '!D14+'E Balans VL '!E14)/100/3.6*1000000</f>
        <v>5.2277674199682329E-2</v>
      </c>
      <c r="K10" s="33"/>
      <c r="L10" s="33"/>
      <c r="M10" s="33"/>
      <c r="N10" s="33">
        <f>$C$30*'E Balans VL '!Y14/100/3.6*1000000</f>
        <v>1889.2876540512477</v>
      </c>
      <c r="O10" s="33"/>
      <c r="P10" s="33"/>
      <c r="R10" s="32"/>
    </row>
    <row r="11" spans="1:18">
      <c r="A11" s="32" t="s">
        <v>54</v>
      </c>
      <c r="B11" s="37">
        <f t="shared" si="0"/>
        <v>76.990758</v>
      </c>
      <c r="C11" s="33"/>
      <c r="D11" s="37">
        <f>IF(ISERROR(TER_onderwijs_gas_kWh/1000),0,TER_onderwijs_gas_kWh/1000)*0.903</f>
        <v>283.76022800999999</v>
      </c>
      <c r="E11" s="33">
        <f>$C$31*'E Balans VL '!I11/100/3.6*1000000</f>
        <v>0</v>
      </c>
      <c r="F11" s="33">
        <f>$C$31*('E Balans VL '!L11+'E Balans VL '!N11)/100/3.6*1000000</f>
        <v>9.0011364479271503</v>
      </c>
      <c r="G11" s="34"/>
      <c r="H11" s="33"/>
      <c r="I11" s="33"/>
      <c r="J11" s="33">
        <f>$C$31*('E Balans VL '!D11+'E Balans VL '!E11)/100/3.6*1000000</f>
        <v>0</v>
      </c>
      <c r="K11" s="33"/>
      <c r="L11" s="33"/>
      <c r="M11" s="33"/>
      <c r="N11" s="33">
        <f>$C$31*'E Balans VL '!Y11/100/3.6*1000000</f>
        <v>0.21679713358553876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11228.402112</v>
      </c>
      <c r="C16" s="21">
        <f t="shared" ca="1" si="1"/>
        <v>0</v>
      </c>
      <c r="D16" s="21">
        <f t="shared" ca="1" si="1"/>
        <v>6384.2239639919999</v>
      </c>
      <c r="E16" s="21">
        <f t="shared" si="1"/>
        <v>81.716483259625534</v>
      </c>
      <c r="F16" s="21">
        <f t="shared" ca="1" si="1"/>
        <v>3685.2908777593889</v>
      </c>
      <c r="G16" s="21">
        <f t="shared" si="1"/>
        <v>0</v>
      </c>
      <c r="H16" s="21">
        <f t="shared" si="1"/>
        <v>0</v>
      </c>
      <c r="I16" s="21">
        <f t="shared" si="1"/>
        <v>0</v>
      </c>
      <c r="J16" s="21">
        <f t="shared" si="1"/>
        <v>5.2277674199682329E-2</v>
      </c>
      <c r="K16" s="21">
        <f t="shared" si="1"/>
        <v>0</v>
      </c>
      <c r="L16" s="21">
        <f t="shared" ca="1" si="1"/>
        <v>0</v>
      </c>
      <c r="M16" s="21">
        <f t="shared" si="1"/>
        <v>0</v>
      </c>
      <c r="N16" s="21">
        <f t="shared" ca="1" si="1"/>
        <v>1894.6195274373852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8.0591424019383795E-2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904.9129156683365</v>
      </c>
      <c r="C20" s="23">
        <f t="shared" ref="C20:P20" ca="1" si="2">C16*C18</f>
        <v>0</v>
      </c>
      <c r="D20" s="23">
        <f t="shared" ca="1" si="2"/>
        <v>1289.613240726384</v>
      </c>
      <c r="E20" s="23">
        <f t="shared" si="2"/>
        <v>18.549641699934998</v>
      </c>
      <c r="F20" s="23">
        <f t="shared" ca="1" si="2"/>
        <v>983.97266436175687</v>
      </c>
      <c r="G20" s="23">
        <f t="shared" si="2"/>
        <v>0</v>
      </c>
      <c r="H20" s="23">
        <f t="shared" si="2"/>
        <v>0</v>
      </c>
      <c r="I20" s="23">
        <f t="shared" si="2"/>
        <v>0</v>
      </c>
      <c r="J20" s="23">
        <f t="shared" si="2"/>
        <v>1.8506296666687544E-2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911.842265</v>
      </c>
      <c r="C26" s="39">
        <f>IF(ISERROR(B26*3.6/1000000/'E Balans VL '!Z12*100),0,B26*3.6/1000000/'E Balans VL '!Z12*100)</f>
        <v>2.5716366553573431E-2</v>
      </c>
      <c r="D26" s="233" t="s">
        <v>691</v>
      </c>
      <c r="F26" s="6"/>
    </row>
    <row r="27" spans="1:18">
      <c r="A27" s="228" t="s">
        <v>52</v>
      </c>
      <c r="B27" s="33">
        <f>IF(ISERROR(TER_horeca_ele_kWh/1000),0,TER_horeca_ele_kWh/1000)</f>
        <v>2897.9759859999999</v>
      </c>
      <c r="C27" s="39">
        <f>IF(ISERROR(B27*3.6/1000000/'E Balans VL '!Z9*100),0,B27*3.6/1000000/'E Balans VL '!Z9*100)</f>
        <v>0.21484931866229076</v>
      </c>
      <c r="D27" s="233" t="s">
        <v>691</v>
      </c>
      <c r="F27" s="6"/>
    </row>
    <row r="28" spans="1:18">
      <c r="A28" s="168" t="s">
        <v>51</v>
      </c>
      <c r="B28" s="33">
        <f>IF(ISERROR(TER_handel_ele_kWh/1000),0,TER_handel_ele_kWh/1000)</f>
        <v>1617.1486359999999</v>
      </c>
      <c r="C28" s="39">
        <f>IF(ISERROR(B28*3.6/1000000/'E Balans VL '!Z13*100),0,B28*3.6/1000000/'E Balans VL '!Z13*100)</f>
        <v>4.8445928220124952E-2</v>
      </c>
      <c r="D28" s="233" t="s">
        <v>691</v>
      </c>
      <c r="F28" s="6"/>
    </row>
    <row r="29" spans="1:18">
      <c r="A29" s="228" t="s">
        <v>50</v>
      </c>
      <c r="B29" s="33">
        <f>IF(ISERROR(TER_gezond_ele_kWh/1000),0,TER_gezond_ele_kWh/1000)</f>
        <v>430.94239500000003</v>
      </c>
      <c r="C29" s="39">
        <f>IF(ISERROR(B29*3.6/1000000/'E Balans VL '!Z10*100),0,B29*3.6/1000000/'E Balans VL '!Z10*100)</f>
        <v>4.2611752924658061E-2</v>
      </c>
      <c r="D29" s="233" t="s">
        <v>691</v>
      </c>
      <c r="F29" s="6"/>
    </row>
    <row r="30" spans="1:18">
      <c r="A30" s="228" t="s">
        <v>49</v>
      </c>
      <c r="B30" s="33">
        <f>IF(ISERROR(TER_ander_ele_kWh/1000),0,TER_ander_ele_kWh/1000)</f>
        <v>5293.5020719999993</v>
      </c>
      <c r="C30" s="39">
        <f>IF(ISERROR(B30*3.6/1000000/'E Balans VL '!Z14*100),0,B30*3.6/1000000/'E Balans VL '!Z14*100)</f>
        <v>0.21410651549357948</v>
      </c>
      <c r="D30" s="233" t="s">
        <v>691</v>
      </c>
      <c r="F30" s="6"/>
    </row>
    <row r="31" spans="1:18">
      <c r="A31" s="228" t="s">
        <v>54</v>
      </c>
      <c r="B31" s="33">
        <f>IF(ISERROR(TER_onderwijs_ele_kWh/1000),0,TER_onderwijs_ele_kWh/1000)</f>
        <v>76.990758</v>
      </c>
      <c r="C31" s="39">
        <f>IF(ISERROR(B31*3.6/1000000/'E Balans VL '!Z11*100),0,B31*3.6/1000000/'E Balans VL '!Z11*100)</f>
        <v>2.1152728385379453E-2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6937.1780639999997</v>
      </c>
      <c r="C5" s="17">
        <f>IF(ISERROR('Eigen informatie GS &amp; warmtenet'!B61),0,'Eigen informatie GS &amp; warmtenet'!B61)</f>
        <v>0</v>
      </c>
      <c r="D5" s="30">
        <f>SUM(D6:D15)</f>
        <v>2418.0869572860001</v>
      </c>
      <c r="E5" s="17">
        <f>SUM(E6:E15)</f>
        <v>29.53804245361875</v>
      </c>
      <c r="F5" s="17">
        <f>SUM(F6:F15)</f>
        <v>961.10262209351265</v>
      </c>
      <c r="G5" s="18"/>
      <c r="H5" s="17"/>
      <c r="I5" s="17"/>
      <c r="J5" s="17">
        <f>SUM(J6:J15)</f>
        <v>0.9368815950339987</v>
      </c>
      <c r="K5" s="17"/>
      <c r="L5" s="17"/>
      <c r="M5" s="17"/>
      <c r="N5" s="17">
        <f>SUM(N6:N15)</f>
        <v>857.98164457544533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1008.3029309999999</v>
      </c>
      <c r="C8" s="33"/>
      <c r="D8" s="37">
        <f>IF( ISERROR(IND_metaal_Gas_kWH/1000),0,IND_metaal_Gas_kWH/1000)*0.903</f>
        <v>466.94208109499999</v>
      </c>
      <c r="E8" s="33">
        <f>C30*'E Balans VL '!I18/100/3.6*1000000</f>
        <v>5.0840393061176101</v>
      </c>
      <c r="F8" s="33">
        <f>C30*'E Balans VL '!L18/100/3.6*1000000+C30*'E Balans VL '!N18/100/3.6*1000000</f>
        <v>68.889316663580104</v>
      </c>
      <c r="G8" s="34"/>
      <c r="H8" s="33"/>
      <c r="I8" s="33"/>
      <c r="J8" s="40">
        <f>C30*'E Balans VL '!D18/100/3.6*1000000+C30*'E Balans VL '!E18/100/3.6*1000000</f>
        <v>0.8939465576795278</v>
      </c>
      <c r="K8" s="33"/>
      <c r="L8" s="33"/>
      <c r="M8" s="33"/>
      <c r="N8" s="33">
        <f>C30*'E Balans VL '!Y18/100/3.6*1000000</f>
        <v>13.40035193679126</v>
      </c>
      <c r="O8" s="33"/>
      <c r="P8" s="33"/>
      <c r="R8" s="32"/>
    </row>
    <row r="9" spans="1:18">
      <c r="A9" s="6" t="s">
        <v>32</v>
      </c>
      <c r="B9" s="37">
        <f t="shared" si="0"/>
        <v>1162.3208589999999</v>
      </c>
      <c r="C9" s="33"/>
      <c r="D9" s="37">
        <f>IF( ISERROR(IND_andere_gas_kWh/1000),0,IND_andere_gas_kWh/1000)*0.903</f>
        <v>219.65323115400003</v>
      </c>
      <c r="E9" s="33">
        <f>C31*'E Balans VL '!I19/100/3.6*1000000</f>
        <v>3.6639100543218923</v>
      </c>
      <c r="F9" s="33">
        <f>C31*'E Balans VL '!L19/100/3.6*1000000+C31*'E Balans VL '!N19/100/3.6*1000000</f>
        <v>711.52394416223058</v>
      </c>
      <c r="G9" s="34"/>
      <c r="H9" s="33"/>
      <c r="I9" s="33"/>
      <c r="J9" s="40">
        <f>C31*'E Balans VL '!D19/100/3.6*1000000+C31*'E Balans VL '!E19/100/3.6*1000000</f>
        <v>0</v>
      </c>
      <c r="K9" s="33"/>
      <c r="L9" s="33"/>
      <c r="M9" s="33"/>
      <c r="N9" s="33">
        <f>C31*'E Balans VL '!Y19/100/3.6*1000000</f>
        <v>48.73769184138245</v>
      </c>
      <c r="O9" s="33"/>
      <c r="P9" s="33"/>
      <c r="R9" s="32"/>
    </row>
    <row r="10" spans="1:18">
      <c r="A10" s="6" t="s">
        <v>40</v>
      </c>
      <c r="B10" s="37">
        <f t="shared" si="0"/>
        <v>100.661644</v>
      </c>
      <c r="C10" s="33"/>
      <c r="D10" s="37">
        <f>IF( ISERROR(IND_voed_gas_kWh/1000),0,IND_voed_gas_kWh/1000)*0.903</f>
        <v>0</v>
      </c>
      <c r="E10" s="33">
        <f>C32*'E Balans VL '!I20/100/3.6*1000000</f>
        <v>0.16042639039720569</v>
      </c>
      <c r="F10" s="33">
        <f>C32*'E Balans VL '!L20/100/3.6*1000000+C32*'E Balans VL '!N20/100/3.6*1000000</f>
        <v>1.635507180147691</v>
      </c>
      <c r="G10" s="34"/>
      <c r="H10" s="33"/>
      <c r="I10" s="33"/>
      <c r="J10" s="40">
        <f>C32*'E Balans VL '!D20/100/3.6*1000000+C32*'E Balans VL '!E20/100/3.6*1000000</f>
        <v>0</v>
      </c>
      <c r="K10" s="33"/>
      <c r="L10" s="33"/>
      <c r="M10" s="33"/>
      <c r="N10" s="33">
        <f>C32*'E Balans VL '!Y20/100/3.6*1000000</f>
        <v>3.1793974592083529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4644.8621190000003</v>
      </c>
      <c r="C12" s="33"/>
      <c r="D12" s="37">
        <f>IF( ISERROR(IND_min_gas_kWh/1000),0,IND_min_gas_kWh/1000)*0.903</f>
        <v>0</v>
      </c>
      <c r="E12" s="33">
        <f>C34*'E Balans VL '!I22/100/3.6*1000000</f>
        <v>20.099576144405052</v>
      </c>
      <c r="F12" s="33">
        <f>C34*'E Balans VL '!L22/100/3.6*1000000+C34*'E Balans VL '!N22/100/3.6*1000000</f>
        <v>177.34656945753267</v>
      </c>
      <c r="G12" s="34"/>
      <c r="H12" s="33"/>
      <c r="I12" s="33"/>
      <c r="J12" s="40">
        <f>C34*'E Balans VL '!D22/100/3.6*1000000+C34*'E Balans VL '!E22/100/3.6*1000000</f>
        <v>0</v>
      </c>
      <c r="K12" s="33"/>
      <c r="L12" s="33"/>
      <c r="M12" s="33"/>
      <c r="N12" s="33">
        <f>C34*'E Balans VL '!Y22/100/3.6*1000000</f>
        <v>792.30884535855068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21.030510999999997</v>
      </c>
      <c r="C15" s="33"/>
      <c r="D15" s="37">
        <f>IF( ISERROR(IND_rest_gas_kWh/1000),0,IND_rest_gas_kWh/1000)*0.903</f>
        <v>1731.4916450370001</v>
      </c>
      <c r="E15" s="33">
        <f>C37*'E Balans VL '!I15/100/3.6*1000000</f>
        <v>0.5300905583769886</v>
      </c>
      <c r="F15" s="33">
        <f>C37*'E Balans VL '!L15/100/3.6*1000000+C37*'E Balans VL '!N15/100/3.6*1000000</f>
        <v>1.707284630021678</v>
      </c>
      <c r="G15" s="34"/>
      <c r="H15" s="33"/>
      <c r="I15" s="33"/>
      <c r="J15" s="40">
        <f>C37*'E Balans VL '!D15/100/3.6*1000000+C37*'E Balans VL '!E15/100/3.6*1000000</f>
        <v>4.2935037354470955E-2</v>
      </c>
      <c r="K15" s="33"/>
      <c r="L15" s="33"/>
      <c r="M15" s="33"/>
      <c r="N15" s="33">
        <f>C37*'E Balans VL '!Y15/100/3.6*1000000</f>
        <v>0.35535797951266901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6937.1780639999997</v>
      </c>
      <c r="C18" s="21">
        <f>C5+C16</f>
        <v>0</v>
      </c>
      <c r="D18" s="21">
        <f>MAX((D5+D16),0)</f>
        <v>2418.0869572860001</v>
      </c>
      <c r="E18" s="21">
        <f>MAX((E5+E16),0)</f>
        <v>29.53804245361875</v>
      </c>
      <c r="F18" s="21">
        <f>MAX((F5+F16),0)</f>
        <v>961.10262209351265</v>
      </c>
      <c r="G18" s="21"/>
      <c r="H18" s="21"/>
      <c r="I18" s="21"/>
      <c r="J18" s="21">
        <f>MAX((J5+J16),0)</f>
        <v>0.9368815950339987</v>
      </c>
      <c r="K18" s="21"/>
      <c r="L18" s="21">
        <f>MAX((L5+L16),0)</f>
        <v>0</v>
      </c>
      <c r="M18" s="21"/>
      <c r="N18" s="21">
        <f>MAX((N5+N16),0)</f>
        <v>857.98164457544533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8.0591424019383795E-2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559.07705885379198</v>
      </c>
      <c r="C22" s="23">
        <f ca="1">C18*C20</f>
        <v>0</v>
      </c>
      <c r="D22" s="23">
        <f>D18*D20</f>
        <v>488.45356537177207</v>
      </c>
      <c r="E22" s="23">
        <f>E18*E20</f>
        <v>6.7051356369714563</v>
      </c>
      <c r="F22" s="23">
        <f>F18*F20</f>
        <v>256.61440009896791</v>
      </c>
      <c r="G22" s="23"/>
      <c r="H22" s="23"/>
      <c r="I22" s="23"/>
      <c r="J22" s="23">
        <f>J18*J20</f>
        <v>0.3316560846420355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1008.3029309999999</v>
      </c>
      <c r="C30" s="39">
        <f>IF(ISERROR(B30*3.6/1000000/'E Balans VL '!Z18*100),0,B30*3.6/1000000/'E Balans VL '!Z18*100)</f>
        <v>5.0049885033379322E-2</v>
      </c>
      <c r="D30" s="233" t="s">
        <v>691</v>
      </c>
    </row>
    <row r="31" spans="1:18">
      <c r="A31" s="6" t="s">
        <v>32</v>
      </c>
      <c r="B31" s="37">
        <f>IF( ISERROR(IND_ander_ele_kWh/1000),0,IND_ander_ele_kWh/1000)</f>
        <v>1162.3208589999999</v>
      </c>
      <c r="C31" s="39">
        <f>IF(ISERROR(B31*3.6/1000000/'E Balans VL '!Z19*100),0,B31*3.6/1000000/'E Balans VL '!Z19*100)</f>
        <v>3.9222372890634634E-2</v>
      </c>
      <c r="D31" s="233" t="s">
        <v>691</v>
      </c>
    </row>
    <row r="32" spans="1:18">
      <c r="A32" s="168" t="s">
        <v>40</v>
      </c>
      <c r="B32" s="37">
        <f>IF( ISERROR(IND_voed_ele_kWh/1000),0,IND_voed_ele_kWh/1000)</f>
        <v>100.661644</v>
      </c>
      <c r="C32" s="39">
        <f>IF(ISERROR(B32*3.6/1000000/'E Balans VL '!Z20*100),0,B32*3.6/1000000/'E Balans VL '!Z20*100)</f>
        <v>2.3639695628723109E-3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4644.8621190000003</v>
      </c>
      <c r="C34" s="39">
        <f>IF(ISERROR(B34*3.6/1000000/'E Balans VL '!Z22*100),0,B34*3.6/1000000/'E Balans VL '!Z22*100)</f>
        <v>0.65897011217789514</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21.030510999999997</v>
      </c>
      <c r="C37" s="39">
        <f>IF(ISERROR(B37*3.6/1000000/'E Balans VL '!Z15*100),0,B37*3.6/1000000/'E Balans VL '!Z15*100)</f>
        <v>7.8812454119977764E-5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166.22646699999996</v>
      </c>
      <c r="C5" s="17">
        <f>'Eigen informatie GS &amp; warmtenet'!B62</f>
        <v>0</v>
      </c>
      <c r="D5" s="30">
        <f>IF(ISERROR(SUM(LB_lb_gas_kWh,LB_rest_gas_kWh)/1000),0,SUM(LB_lb_gas_kWh,LB_rest_gas_kWh)/1000)*0.903</f>
        <v>111.17059111200017</v>
      </c>
      <c r="E5" s="17">
        <f>B17*'E Balans VL '!I25/3.6*1000000/100</f>
        <v>6.1990934049218378</v>
      </c>
      <c r="F5" s="17">
        <f>B17*('E Balans VL '!L25/3.6*1000000+'E Balans VL '!N25/3.6*1000000)/100</f>
        <v>539.30289138323394</v>
      </c>
      <c r="G5" s="18"/>
      <c r="H5" s="17"/>
      <c r="I5" s="17"/>
      <c r="J5" s="17">
        <f>('E Balans VL '!D25+'E Balans VL '!E25)/3.6*1000000*landbouw!B17/100</f>
        <v>43.635268232130699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166.22646699999996</v>
      </c>
      <c r="C8" s="21">
        <f>C5+C6</f>
        <v>0</v>
      </c>
      <c r="D8" s="21">
        <f>MAX((D5+D6),0)</f>
        <v>111.17059111200017</v>
      </c>
      <c r="E8" s="21">
        <f>MAX((E5+E6),0)</f>
        <v>6.1990934049218378</v>
      </c>
      <c r="F8" s="21">
        <f>MAX((F5+F6),0)</f>
        <v>539.30289138323394</v>
      </c>
      <c r="G8" s="21"/>
      <c r="H8" s="21"/>
      <c r="I8" s="21"/>
      <c r="J8" s="21">
        <f>MAX((J5+J6),0)</f>
        <v>43.635268232130699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8.0591424019383795E-2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13.396427685241104</v>
      </c>
      <c r="C12" s="23">
        <f ca="1">C8*C10</f>
        <v>0</v>
      </c>
      <c r="D12" s="23">
        <f>D8*D10</f>
        <v>22.456459404624034</v>
      </c>
      <c r="E12" s="23">
        <f>E8*E10</f>
        <v>1.4071942029172573</v>
      </c>
      <c r="F12" s="23">
        <f>F8*F10</f>
        <v>143.99387199932346</v>
      </c>
      <c r="G12" s="23"/>
      <c r="H12" s="23"/>
      <c r="I12" s="23"/>
      <c r="J12" s="23">
        <f>J8*J10</f>
        <v>15.446884954174266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2.283077147143342E-2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18.033190754040834</v>
      </c>
      <c r="C26" s="243">
        <f>B26*'GWP N2O_CH4'!B5</f>
        <v>378.69700583485752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2.8573920043854306</v>
      </c>
      <c r="C27" s="243">
        <f>B27*'GWP N2O_CH4'!B5</f>
        <v>60.00523209209404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0.32153584588928319</v>
      </c>
      <c r="C28" s="243">
        <f>B28*'GWP N2O_CH4'!B4</f>
        <v>99.676112225677784</v>
      </c>
      <c r="D28" s="50"/>
    </row>
    <row r="29" spans="1:4">
      <c r="A29" s="41" t="s">
        <v>272</v>
      </c>
      <c r="B29" s="243">
        <f>B34*'ha_N2O bodem landbouw'!B4</f>
        <v>3.1643093014320742</v>
      </c>
      <c r="C29" s="243">
        <f>B29*'GWP N2O_CH4'!B4</f>
        <v>980.935883443943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7.2115512646845259E-4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5.0204527102906639E-4</v>
      </c>
      <c r="C5" s="434" t="s">
        <v>210</v>
      </c>
      <c r="D5" s="419">
        <f>SUM(D6:D11)</f>
        <v>8.6663420200005126E-4</v>
      </c>
      <c r="E5" s="419">
        <f>SUM(E6:E11)</f>
        <v>5.005730627272053E-4</v>
      </c>
      <c r="F5" s="432" t="s">
        <v>210</v>
      </c>
      <c r="G5" s="419">
        <f>SUM(G6:G11)</f>
        <v>0.20801277653212055</v>
      </c>
      <c r="H5" s="419">
        <f>SUM(H6:H11)</f>
        <v>5.3218908699432757E-2</v>
      </c>
      <c r="I5" s="434" t="s">
        <v>210</v>
      </c>
      <c r="J5" s="434" t="s">
        <v>210</v>
      </c>
      <c r="K5" s="434" t="s">
        <v>210</v>
      </c>
      <c r="L5" s="434" t="s">
        <v>210</v>
      </c>
      <c r="M5" s="419">
        <f>SUM(M6:M11)</f>
        <v>1.5411003131215087E-2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2.8333258981454949E-4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4.923429560785669E-4</v>
      </c>
      <c r="E6" s="885">
        <f>vkm_GW_PW*SUMIFS(TableVerdeelsleutelVkm[LPG],TableVerdeelsleutelVkm[Voertuigtype],"Lichte voertuigen")*SUMIFS(TableECFTransport[EnergieConsumptieFactor (PJ per km)],TableECFTransport[Index],CONCATENATE($A6,"_LPG_LPG"))</f>
        <v>2.7377480062818822E-4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8.2271930623981498E-2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2.9996620943034673E-2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6.7173049378409788E-3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5.7752099945877975E-7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2.3902149096629095E-2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2.4316054767825077E-7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1.3457278441588439E-3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8.2454690916298695E-5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1.8396813638562405E-4</v>
      </c>
      <c r="E8" s="422">
        <f>vkm_NGW_PW*SUMIFS(TableVerdeelsleutelVkm[LPG],TableVerdeelsleutelVkm[Voertuigtype],"Lichte voertuigen")*SUMIFS(TableECFTransport[EnergieConsumptieFactor (PJ per km)],TableECFTransport[Index],CONCATENATE($A8,"_LPG_LPG"))</f>
        <v>9.7981048242120133E-5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2.7097534712055792E-2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1.1071251223101571E-2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2.2952729925136209E-3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6.1942857808911286E-9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3.3013967027320957E-4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3.14798762841146E-9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1.85873577746207E-5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1.3467122883568719E-4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1.9032310953586028E-4</v>
      </c>
      <c r="E10" s="422">
        <f>vkm_SW_PW*SUMIFS(TableVerdeelsleutelVkm[LPG],TableVerdeelsleutelVkm[Voertuigtype],"Lichte voertuigen")*SUMIFS(TableECFTransport[EnergieConsumptieFactor (PJ per km)],TableECFTransport[Index],CONCATENATE($A10,"_LPG_LPG"))</f>
        <v>1.2881721385689696E-4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3.5192278241273141E-2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1.2150355537714316E-2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2.826031755096354E-3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1.0030461772913309E-6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3.9218744187907821E-2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4.346870468850748E-7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2.2080782438306705E-3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139.45701973029622</v>
      </c>
      <c r="C14" s="21"/>
      <c r="D14" s="21">
        <f t="shared" ref="D14:M14" si="0">((D5)*10^9/3600)+D12</f>
        <v>240.73172277779202</v>
      </c>
      <c r="E14" s="21">
        <f t="shared" si="0"/>
        <v>139.04807297977925</v>
      </c>
      <c r="F14" s="21"/>
      <c r="G14" s="21">
        <f t="shared" si="0"/>
        <v>57781.326814477929</v>
      </c>
      <c r="H14" s="21">
        <f t="shared" si="0"/>
        <v>14783.030194286877</v>
      </c>
      <c r="I14" s="21"/>
      <c r="J14" s="21"/>
      <c r="K14" s="21"/>
      <c r="L14" s="21"/>
      <c r="M14" s="21">
        <f t="shared" si="0"/>
        <v>4280.8342031153015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8.0591424019383795E-2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11.239039809563875</v>
      </c>
      <c r="C18" s="23"/>
      <c r="D18" s="23">
        <f t="shared" ref="D18:M18" si="1">D14*D16</f>
        <v>48.627808001113991</v>
      </c>
      <c r="E18" s="23">
        <f t="shared" si="1"/>
        <v>31.56391256640989</v>
      </c>
      <c r="F18" s="23"/>
      <c r="G18" s="23">
        <f t="shared" si="1"/>
        <v>15427.614259465608</v>
      </c>
      <c r="H18" s="23">
        <f t="shared" si="1"/>
        <v>3680.9745183774326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5.2290277764834051E-5</v>
      </c>
      <c r="C50" s="315">
        <f t="shared" ref="C50:P50" si="2">SUM(C51:C52)</f>
        <v>0</v>
      </c>
      <c r="D50" s="315">
        <f t="shared" si="2"/>
        <v>0</v>
      </c>
      <c r="E50" s="315">
        <f t="shared" si="2"/>
        <v>0</v>
      </c>
      <c r="F50" s="315">
        <f t="shared" si="2"/>
        <v>0</v>
      </c>
      <c r="G50" s="315">
        <f t="shared" si="2"/>
        <v>3.7323857599366561E-3</v>
      </c>
      <c r="H50" s="315">
        <f t="shared" si="2"/>
        <v>0</v>
      </c>
      <c r="I50" s="315">
        <f t="shared" si="2"/>
        <v>0</v>
      </c>
      <c r="J50" s="315">
        <f t="shared" si="2"/>
        <v>0</v>
      </c>
      <c r="K50" s="315">
        <f t="shared" si="2"/>
        <v>0</v>
      </c>
      <c r="L50" s="315">
        <f t="shared" si="2"/>
        <v>0</v>
      </c>
      <c r="M50" s="315">
        <f t="shared" si="2"/>
        <v>2.0609709336023578E-4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5.2290277764834051E-5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3.7323857599366561E-3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2.0609709336023578E-4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14.525077156898346</v>
      </c>
      <c r="C54" s="21">
        <f t="shared" ref="C54:P54" si="3">(C50)*10^9/3600</f>
        <v>0</v>
      </c>
      <c r="D54" s="21">
        <f t="shared" si="3"/>
        <v>0</v>
      </c>
      <c r="E54" s="21">
        <f t="shared" si="3"/>
        <v>0</v>
      </c>
      <c r="F54" s="21">
        <f t="shared" si="3"/>
        <v>0</v>
      </c>
      <c r="G54" s="21">
        <f t="shared" si="3"/>
        <v>1036.7738222046266</v>
      </c>
      <c r="H54" s="21">
        <f t="shared" si="3"/>
        <v>0</v>
      </c>
      <c r="I54" s="21">
        <f t="shared" si="3"/>
        <v>0</v>
      </c>
      <c r="J54" s="21">
        <f t="shared" si="3"/>
        <v>0</v>
      </c>
      <c r="K54" s="21">
        <f t="shared" si="3"/>
        <v>0</v>
      </c>
      <c r="L54" s="21">
        <f t="shared" si="3"/>
        <v>0</v>
      </c>
      <c r="M54" s="21">
        <f t="shared" si="3"/>
        <v>57.249192600065491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8.0591424019383795E-2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1.1705966520658602</v>
      </c>
      <c r="C58" s="23">
        <f t="shared" ref="C58:P58" ca="1" si="4">C54*C56</f>
        <v>0</v>
      </c>
      <c r="D58" s="23">
        <f t="shared" si="4"/>
        <v>0</v>
      </c>
      <c r="E58" s="23">
        <f t="shared" si="4"/>
        <v>0</v>
      </c>
      <c r="F58" s="23">
        <f t="shared" si="4"/>
        <v>0</v>
      </c>
      <c r="G58" s="23">
        <f t="shared" si="4"/>
        <v>276.8186105286353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18650.726131300849</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3555.6635649749915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22206.389696275841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2021-06-29T14:37:07Z</dcterms:modified>
</cp:coreProperties>
</file>