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<sst xmlns="http://schemas.openxmlformats.org/spreadsheetml/2006/main" count="2448" uniqueCount="883">
  <si>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</si>
  <si>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</si>
  <si>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</si>
  <si>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</si>
  <si>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</si>
  <si>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</si>
  <si>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</si>
  <si>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</si>
  <si>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</si>
  <si>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</si>
  <si>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</si>
  <si>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</si>
  <si>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</si>
  <si>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</si>
  <si>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</si>
  <si>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</si>
  <si>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</si>
  <si>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</si>
  <si>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</si>
  <si>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</si>
  <si>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</si>
  <si>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</si>
  <si>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</si>
  <si>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</si>
  <si>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</si>
  <si>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</si>
  <si>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</si>
  <si>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</si>
  <si>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</si>
  <si>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</si>
  <si>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</si>
  <si>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</si>
  <si>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</si>
  <si>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</si>
  <si>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</si>
  <si>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</si>
  <si>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</si>
  <si>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</si>
  <si>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</si>
  <si>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</si>
  <si>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</si>
  <si>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</si>
  <si>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</si>
  <si>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</si>
  <si>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</si>
  <si>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</si>
  <si>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</si>
  <si>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</si>
  <si>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</si>
  <si>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</si>
  <si>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</si>
  <si>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</si>
  <si>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</si>
  <si>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</si>
  <si>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</si>
  <si>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</si>
  <si>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</si>
  <si>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</si>
  <si>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</si>
  <si>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</si>
  <si>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</si>
  <si>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</si>
  <si>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</si>
  <si>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</si>
  <si>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</si>
  <si>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</si>
  <si>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</si>
  <si>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</si>
  <si>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</si>
  <si>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</si>
  <si>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</si>
  <si>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</si>
  <si>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</si>
  <si>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</si>
  <si>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</si>
  <si>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</si>
  <si>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</si>
  <si>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</si>
  <si>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</si>
  <si>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</si>
  <si>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</si>
  <si>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</si>
  <si>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</si>
  <si>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</si>
  <si>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</si>
  <si>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</si>
  <si>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</si>
  <si>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</si>
  <si>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</si>
  <si>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</si>
  <si>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</si>
  <si>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</si>
  <si>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</si>
  <si>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</si>
  <si>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</si>
  <si>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</si>
  <si>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</si>
  <si>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</si>
  <si>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</si>
  <si>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</si>
  <si>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</si>
  <si>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</si>
  <si>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</si>
  <si>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</si>
  <si>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</si>
  <si>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</si>
  <si>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</si>
  <si>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</si>
  <si>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</si>
  <si>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</si>
  <si>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</si>
  <si>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</si>
  <si>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</si>
  <si>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</si>
  <si>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</si>
  <si>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</si>
  <si>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</si>
  <si>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</si>
  <si>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</si>
  <si>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</si>
  <si>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</si>
  <si>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</si>
  <si>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</si>
  <si>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</si>
  <si>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</si>
  <si>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</si>
  <si>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</si>
  <si>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</si>
  <si>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</si>
  <si>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</si>
  <si>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</si>
  <si>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</si>
  <si>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</si>
  <si>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</si>
  <si>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</si>
  <si>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</si>
  <si>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</si>
  <si>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</si>
  <si>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</si>
  <si>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</si>
  <si>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</si>
  <si>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</si>
  <si>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</si>
  <si>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</si>
  <si>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</si>
  <si>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</si>
  <si>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</si>
  <si>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</si>
  <si>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</si>
  <si>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</si>
  <si>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</si>
  <si>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</si>
  <si>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</si>
  <si>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</si>
  <si>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</si>
  <si>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</si>
  <si>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</si>
  <si>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</si>
  <si>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</si>
  <si>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</si>
  <si>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</si>
  <si>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</si>
  <si>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</si>
  <si>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</si>
  <si>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</si>
  <si>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</si>
  <si>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</si>
  <si>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</si>
  <si>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</si>
  <si>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</si>
  <si>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</si>
  <si>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</si>
  <si>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</si>
  <si>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</si>
  <si>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</si>
  <si>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</si>
  <si>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</si>
  <si>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</si>
  <si>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</si>
  <si>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</si>
  <si>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</si>
  <si>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</si>
  <si>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</si>
  <si>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</si>
  <si>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</si>
  <si>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</si>
  <si>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</si>
  <si>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</si>
  <si>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</si>
  <si>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</si>
  <si>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</si>
  <si>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</si>
  <si>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</si>
  <si>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</si>
  <si>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</si>
  <si>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</si>
  <si>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</si>
  <si>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</si>
  <si>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</si>
  <si>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</si>
  <si>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</si>
  <si>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</si>
  <si>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</si>
  <si>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</si>
  <si>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</si>
  <si>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</si>
  <si>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</si>
  <si>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</si>
  <si>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</si>
  <si>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</si>
  <si>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</si>
  <si>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</si>
  <si>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</si>
  <si>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</si>
  <si>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</si>
  <si>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</si>
  <si>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</si>
  <si>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</si>
  <si>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</si>
  <si>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</si>
  <si>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</si>
  <si>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</si>
  <si>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</si>
  <si>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</si>
  <si>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</si>
  <si>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</si>
  <si>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</si>
  <si>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</si>
  <si>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</si>
  <si>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</si>
  <si>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</si>
  <si>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</si>
  <si>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</si>
  <si>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</si>
  <si>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</si>
  <si>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</si>
  <si>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</si>
  <si>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</si>
  <si>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</si>
  <si>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</si>
  <si>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</si>
  <si>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</si>
  <si>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</si>
  <si>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</si>
  <si>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</si>
  <si>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</si>
  <si>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</si>
  <si>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</si>
  <si>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</si>
  <si>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</si>
  <si>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</si>
  <si>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</si>
  <si>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</si>
  <si>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</si>
  <si>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</si>
  <si>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</si>
  <si>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</si>
  <si>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</si>
  <si>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</si>
  <si>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</si>
  <si>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</si>
  <si>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</si>
  <si>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</si>
  <si>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</si>
  <si>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</si>
  <si>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</si>
  <si>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</si>
  <si>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</si>
  <si>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</si>
  <si>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</si>
  <si>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</si>
  <si>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</si>
  <si>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</si>
  <si>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</si>
  <si>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</si>
  <si>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</si>
  <si>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</si>
  <si>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</si>
  <si>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</si>
  <si>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</si>
  <si>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</si>
  <si>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</si>
  <si>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</si>
  <si>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</si>
  <si>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</si>
  <si>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</si>
  <si>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</si>
  <si>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</si>
  <si>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</si>
  <si>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</si>
  <si>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</si>
  <si>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</si>
  <si>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</si>
  <si>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</si>
  <si>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</si>
  <si>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</si>
  <si>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</si>
  <si>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</si>
  <si>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</si>
  <si>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</si>
  <si>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</si>
  <si>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</si>
  <si>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</si>
  <si>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</si>
  <si>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</si>
  <si>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</si>
  <si>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</si>
  <si>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</si>
  <si>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</si>
  <si>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</si>
  <si>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</si>
  <si>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</si>
  <si>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</si>
  <si>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</si>
  <si>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</si>
  <si>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</si>
  <si>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</si>
  <si>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</si>
  <si>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</si>
  <si>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</si>
  <si>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</si>
  <si>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</si>
  <si>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</si>
  <si>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</si>
  <si>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</si>
  <si>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</si>
  <si>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</si>
  <si>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</si>
  <si>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</si>
  <si>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</si>
  <si>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</si>
  <si>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</si>
  <si>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</si>
  <si>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</si>
  <si>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</si>
  <si>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</si>
  <si>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</si>
  <si>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</si>
  <si>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</si>
  <si>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</si>
  <si>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</si>
  <si>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</si>
  <si>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</si>
  <si>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</si>
  <si>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</si>
  <si>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</si>
  <si>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</si>
  <si>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</si>
  <si>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</si>
  <si>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</si>
  <si>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</si>
  <si>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</si>
  <si>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</si>
  <si>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</si>
  <si>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</si>
  <si>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</si>
  <si>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</si>
  <si>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</si>
  <si>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</si>
  <si>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</si>
  <si>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</si>
  <si>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</si>
  <si>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</si>
  <si>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</si>
  <si>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</si>
  <si>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</si>
  <si>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</si>
  <si>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</si>
  <si>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</si>
  <si>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</si>
  <si>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</si>
  <si>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</si>
  <si>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</si>
  <si>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</si>
  <si>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</si>
  <si>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</si>
  <si>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</si>
  <si>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</si>
  <si>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</si>
  <si>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</si>
  <si>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</si>
  <si>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</si>
  <si>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</si>
  <si>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</si>
  <si>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</si>
  <si>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</si>
  <si>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</si>
  <si>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</si>
  <si>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</si>
  <si>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</si>
  <si>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</si>
  <si>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</si>
  <si>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</si>
  <si>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</si>
  <si>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</si>
  <si>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</si>
  <si>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</si>
  <si>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</si>
  <si>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</si>
  <si>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</si>
  <si>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</si>
  <si>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</si>
  <si>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</si>
  <si>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</si>
  <si>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</si>
  <si>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</si>
  <si>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</si>
  <si>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</si>
  <si>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</si>
  <si>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</si>
  <si>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</si>
  <si>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</si>
  <si>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</si>
  <si>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</si>
  <si>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</si>
  <si>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</si>
  <si>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</si>
  <si>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</si>
  <si>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</si>
  <si>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</si>
  <si>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</si>
  <si>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</si>
  <si>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</si>
  <si>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</si>
  <si>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</si>
  <si>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</si>
  <si>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</si>
  <si>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</si>
  <si>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</si>
  <si>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</si>
  <si>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</si>
  <si>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</si>
  <si>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</si>
  <si>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</si>
  <si>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</si>
  <si>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</si>
  <si>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</si>
  <si>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</si>
  <si>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</si>
  <si>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</si>
  <si>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</si>
  <si>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</si>
  <si>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</si>
  <si>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</si>
  <si>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</si>
  <si>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</si>
  <si>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</si>
  <si>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</si>
  <si>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</si>
  <si>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</si>
  <si>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</si>
  <si>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</si>
  <si>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</si>
  <si>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</si>
  <si>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</si>
  <si>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</si>
  <si>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</si>
  <si>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</si>
  <si>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</si>
  <si>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</si>
  <si>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</si>
  <si>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</si>
  <si>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</si>
  <si>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</si>
  <si>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</si>
  <si>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</si>
  <si>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</si>
  <si>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</si>
  <si>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</si>
  <si>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</si>
  <si>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</si>
  <si>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</si>
  <si>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</si>
  <si>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</si>
  <si>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</si>
  <si>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</si>
  <si>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</si>
  <si>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</si>
  <si>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</si>
  <si>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</si>
  <si>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</si>
  <si>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</si>
  <si>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</si>
  <si>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</si>
  <si>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</si>
  <si>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</si>
  <si>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</si>
  <si>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</si>
  <si>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</si>
  <si>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</si>
  <si>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</si>
  <si>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</si>
  <si>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</si>
  <si>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</si>
  <si>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</si>
  <si>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</si>
  <si>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</si>
  <si>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</si>
  <si>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</si>
  <si>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</si>
  <si>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</si>
  <si>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</si>
  <si>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</si>
  <si>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</si>
  <si>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</si>
  <si>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</si>
  <si>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</si>
  <si>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</si>
  <si>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</si>
  <si>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</si>
  <si>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</si>
  <si>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</si>
  <si>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</si>
  <si>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</si>
  <si>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</si>
  <si>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</si>
  <si>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</si>
  <si>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</si>
  <si>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</si>
  <si>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</si>
  <si>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</si>
  <si>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</si>
  <si>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</si>
  <si>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</si>
  <si>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</si>
  <si>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</si>
  <si>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</si>
  <si>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</si>
  <si>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</si>
  <si>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</si>
  <si>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</si>
  <si>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</si>
  <si>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</si>
  <si>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</si>
  <si>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</si>
  <si>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</si>
  <si>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</si>
  <si>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</si>
  <si>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</si>
  <si>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</si>
  <si>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</si>
  <si>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</si>
  <si>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</si>
  <si>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</si>
  <si>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</si>
  <si>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</si>
  <si>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</si>
  <si>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</si>
  <si>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</si>
  <si>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</si>
  <si>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</si>
  <si>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</si>
  <si>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</si>
  <si>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</si>
  <si>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</si>
  <si>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</si>
  <si>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</si>
  <si>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</si>
  <si>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</si>
  <si>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</si>
  <si>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</si>
  <si>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</si>
  <si>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</si>
  <si>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</si>
  <si>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</si>
  <si>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</si>
  <si>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</si>
  <si>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</si>
  <si>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</si>
  <si>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</si>
  <si>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</si>
  <si>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</si>
  <si>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</si>
  <si>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</si>
  <si>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</si>
  <si>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</si>
  <si>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</si>
  <si>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</si>
  <si>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</si>
  <si>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</si>
  <si>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</si>
  <si>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</si>
  <si>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</si>
  <si>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</si>
  <si>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</si>
  <si>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</si>
  <si>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</si>
  <si>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</si>
  <si>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</si>
  <si>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</si>
  <si>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</si>
  <si>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</si>
  <si>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</si>
  <si>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</si>
  <si>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</si>
  <si>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</si>
  <si>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</si>
  <si>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</si>
  <si>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</si>
  <si>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</si>
  <si>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</si>
  <si>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</si>
  <si>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</si>
  <si>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</si>
  <si>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</si>
  <si>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</si>
  <si>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</si>
  <si>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</si>
  <si>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</si>
  <si>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</si>
  <si>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</si>
  <si>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</si>
  <si>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</si>
  <si>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</si>
  <si>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</si>
  <si>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</si>
  <si>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</si>
  <si>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</si>
  <si>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</si>
  <si>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</si>
  <si>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</si>
  <si>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</si>
  <si>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</si>
  <si>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</si>
  <si>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</si>
  <si>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</si>
  <si>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</si>
  <si>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</si>
  <si>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</si>
  <si>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</si>
  <si>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</si>
  <si>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</si>
  <si>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</si>
  <si>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</si>
  <si>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</si>
  <si>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</si>
  <si>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</si>
  <si>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</si>
  <si>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</si>
  <si>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</si>
  <si>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</si>
  <si>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</si>
  <si>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</si>
  <si>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</si>
  <si>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</si>
  <si>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</si>
  <si>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</si>
  <si>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</si>
  <si>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</si>
  <si>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</si>
  <si>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</si>
  <si>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</si>
  <si>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</si>
  <si>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</si>
  <si>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</si>
  <si>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</si>
  <si>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</si>
  <si>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</si>
  <si>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</si>
  <si>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</si>
  <si>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</si>
  <si>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</si>
  <si>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</si>
  <si>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</si>
  <si>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</si>
  <si>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</si>
  <si>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</si>
  <si>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</si>
  <si>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</si>
  <si>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</si>
  <si>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</si>
  <si>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</si>
  <si>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</si>
  <si>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</si>
  <si>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</si>
  <si>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</si>
  <si>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</si>
  <si>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</si>
  <si>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</si>
  <si>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</si>
  <si>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</si>
  <si>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</si>
  <si>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</si>
  <si>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</si>
  <si>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</si>
  <si>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</si>
  <si>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</si>
  <si>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</si>
  <si>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</si>
  <si>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</si>
  <si>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</si>
  <si>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</si>
  <si>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</si>
  <si>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</si>
  <si>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</si>
  <si>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</si>
  <si>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</si>
  <si>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</si>
  <si>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</si>
  <si>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</si>
  <si>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</si>
  <si>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</si>
  <si>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</si>
  <si>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</si>
  <si>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</si>
  <si>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</si>
  <si>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</si>
  <si>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</si>
  <si>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</si>
  <si>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</si>
  <si>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</si>
  <si>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</si>
  <si>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</si>
  <si>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</si>
  <si>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</si>
  <si>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</si>
  <si>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</si>
  <si>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</si>
  <si>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</si>
  <si>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</si>
  <si>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</si>
  <si>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</si>
  <si>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</si>
  <si>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</si>
  <si>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</si>
  <si>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</si>
  <si>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</si>
  <si>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</si>
  <si>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</si>
  <si>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</si>
  <si>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</si>
  <si>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</si>
  <si>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</si>
  <si>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</si>
  <si>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</si>
  <si>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</si>
  <si>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</si>
  <si>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</si>
  <si>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</si>
  <si>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</si>
  <si>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</si>
  <si>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</si>
  <si>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</si>
  <si>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</si>
  <si>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</si>
  <si>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</si>
  <si>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</si>
  <si>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</si>
  <si>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</si>
  <si>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</si>
  <si>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</si>
  <si>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</si>
  <si>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</si>
  <si>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</si>
  <si>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</si>
  <si>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</si>
  <si>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</si>
  <si>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</si>
  <si>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</si>
  <si>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</si>
  <si>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</si>
  <si>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</si>
  <si>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</si>
  <si>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</si>
  <si>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</si>
  <si>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</si>
  <si>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</si>
  <si>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</si>
  <si>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</si>
  <si>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</si>
  <si>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</si>
  <si>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</si>
  <si>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</si>
  <si>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</si>
  <si>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</si>
  <si>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</si>
  <si>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</si>
  <si>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</si>
  <si>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</si>
  <si>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</si>
  <si>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</si>
  <si>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</si>
  <si>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</si>
  <si>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</si>
  <si>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</si>
  <si>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</si>
  <si>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</si>
  <si>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</si>
  <si>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</si>
  <si>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</si>
  <si>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</si>
  <si>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</si>
  <si>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</si>
  <si>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</si>
  <si>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</si>
  <si>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</si>
  <si>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</si>
  <si>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</si>
  <si>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</si>
  <si>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</si>
  <si>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</si>
  <si>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</si>
  <si>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</si>
  <si>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</si>
  <si>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</si>
  <si>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</si>
  <si>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</si>
  <si>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</si>
  <si>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</si>
  <si>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</si>
  <si>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</si>
  <si>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</si>
  <si>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</si>
  <si>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</si>
  <si>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</si>
  <si>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</si>
  <si>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</si>
  <si>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</si>
  <si>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</si>
  <si>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</si>
  <si>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</si>
  <si>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</si>
  <si>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</si>
  <si>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</si>
  <si>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</si>
  <si>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</si>
  <si>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</si>
  <si>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</si>
  <si>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</si>
  <si>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</si>
  <si>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</si>
  <si>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</si>
  <si>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</si>
  <si>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</si>
  <si>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</si>
  <si>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</si>
  <si>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</si>
  <si>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</si>
  <si>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</si>
  <si>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</si>
  <si>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</si>
  <si>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</si>
  <si>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</si>
  <si>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</si>
  <si>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</si>
  <si>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</si>
  <si>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</si>
  <si>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</si>
  <si>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</si>
  <si>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</si>
  <si>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</si>
  <si>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</si>
  <si>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</si>
  <si>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</si>
  <si>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</si>
  <si>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</si>
  <si>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</si>
  <si>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</si>
  <si>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</si>
  <si>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</si>
  <si>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</si>
  <si>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</si>
  <si>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</si>
  <si>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</si>
  <si>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</si>
  <si>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</si>
  <si>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</si>
  <si>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</si>
  <si>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</si>
  <si>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</si>
  <si>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</si>
  <si>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</si>
  <si>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</si>
  <si>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</si>
  <si>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</si>
  <si>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</si>
  <si>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</si>
  <si>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</si>
  <si>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</si>
  <si>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71045</t>
  </si>
  <si>
    <t>NIEUWERKERKEN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</si>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</sst>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60637.3412949392</c:v>
                </c:pt>
                <c:pt idx="1">
                  <c:v>9124.3434095287175</c:v>
                </c:pt>
                <c:pt idx="2">
                  <c:v>514.80077000000006</c:v>
                </c:pt>
                <c:pt idx="3">
                  <c:v>23174.431897459905</c:v>
                </c:pt>
                <c:pt idx="4">
                  <c:v>2507.4331470456759</c:v>
                </c:pt>
                <c:pt idx="5">
                  <c:v>24605.496415497051</c:v>
                </c:pt>
                <c:pt idx="6">
                  <c:v>931.80006092858912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60637.3412949392</c:v>
                </c:pt>
                <c:pt idx="1">
                  <c:v>9124.3434095287175</c:v>
                </c:pt>
                <c:pt idx="2">
                  <c:v>514.80077000000006</c:v>
                </c:pt>
                <c:pt idx="3">
                  <c:v>23174.431897459905</c:v>
                </c:pt>
                <c:pt idx="4">
                  <c:v>2507.4331470456759</c:v>
                </c:pt>
                <c:pt idx="5">
                  <c:v>24605.496415497051</c:v>
                </c:pt>
                <c:pt idx="6">
                  <c:v>931.80006092858912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12538.974569712373</c:v>
                </c:pt>
                <c:pt idx="1">
                  <c:v>1651.3650796849308</c:v>
                </c:pt>
                <c:pt idx="2">
                  <c:v>85.02398855585389</c:v>
                </c:pt>
                <c:pt idx="3">
                  <c:v>5769.0165699762865</c:v>
                </c:pt>
                <c:pt idx="4">
                  <c:v>472.6223479588412</c:v>
                </c:pt>
                <c:pt idx="5">
                  <c:v>6088.500635680196</c:v>
                </c:pt>
                <c:pt idx="6">
                  <c:v>234.69882761293385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12538.974569712373</c:v>
                </c:pt>
                <c:pt idx="1">
                  <c:v>1651.3650796849308</c:v>
                </c:pt>
                <c:pt idx="2">
                  <c:v>85.02398855585389</c:v>
                </c:pt>
                <c:pt idx="3">
                  <c:v>5769.0165699762865</c:v>
                </c:pt>
                <c:pt idx="4">
                  <c:v>472.6223479588412</c:v>
                </c:pt>
                <c:pt idx="5">
                  <c:v>6088.500635680196</c:v>
                </c:pt>
                <c:pt idx="6">
                  <c:v>234.69882761293385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71045</v>
      </c>
      <c r="B6" s="386"/>
      <c r="C6" s="387"/>
    </row>
    <row r="7" spans="1:7" s="384" customFormat="1" ht="15.75" customHeight="1">
      <c r="A7" s="388" t="str">
        <f>txtMunicipality</f>
        <v>NIEUWERKERKEN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5015.8218969999998</v>
      </c>
      <c r="D10" s="682">
        <f ca="1">tertiair!C16</f>
        <v>0</v>
      </c>
      <c r="E10" s="682">
        <f ca="1">tertiair!D16</f>
        <v>3023.216157801</v>
      </c>
      <c r="F10" s="682">
        <f>tertiair!E16</f>
        <v>25.35142735031193</v>
      </c>
      <c r="G10" s="682">
        <f ca="1">tertiair!F16</f>
        <v>1091.8793216770616</v>
      </c>
      <c r="H10" s="682">
        <f>tertiair!G16</f>
        <v>0</v>
      </c>
      <c r="I10" s="682">
        <f>tertiair!H16</f>
        <v>0</v>
      </c>
      <c r="J10" s="682">
        <f>tertiair!I16</f>
        <v>0</v>
      </c>
      <c r="K10" s="682">
        <f>tertiair!J16</f>
        <v>1.3115957878135973E-2</v>
      </c>
      <c r="L10" s="682">
        <f>tertiair!K16</f>
        <v>0</v>
      </c>
      <c r="M10" s="682">
        <f ca="1">tertiair!L16</f>
        <v>0</v>
      </c>
      <c r="N10" s="682">
        <f>tertiair!M16</f>
        <v>0</v>
      </c>
      <c r="O10" s="682">
        <f ca="1">tertiair!N16</f>
        <v>477.96499897662517</v>
      </c>
      <c r="P10" s="682">
        <f>tertiair!O16</f>
        <v>4.8972607658411542</v>
      </c>
      <c r="Q10" s="683">
        <f>tertiair!P16</f>
        <v>0</v>
      </c>
      <c r="R10" s="685">
        <f ca="1">SUM(C10:Q10)</f>
        <v>9639.1441795287174</v>
      </c>
      <c r="S10" s="67"/>
    </row>
    <row r="11" spans="1:19" s="445" customFormat="1">
      <c r="A11" s="803" t="s">
        <v>220</v>
      </c>
      <c r="B11" s="808"/>
      <c r="C11" s="682">
        <f>huishoudens!B8</f>
        <v>12728.502324265326</v>
      </c>
      <c r="D11" s="682">
        <f>huishoudens!C8</f>
        <v>0</v>
      </c>
      <c r="E11" s="682">
        <f>huishoudens!D8</f>
        <v>15568.754434359</v>
      </c>
      <c r="F11" s="682">
        <f>huishoudens!E8</f>
        <v>1151.6191098033</v>
      </c>
      <c r="G11" s="682">
        <f>huishoudens!F8</f>
        <v>26157.73896317558</v>
      </c>
      <c r="H11" s="682">
        <f>huishoudens!G8</f>
        <v>0</v>
      </c>
      <c r="I11" s="682">
        <f>huishoudens!H8</f>
        <v>0</v>
      </c>
      <c r="J11" s="682">
        <f>huishoudens!I8</f>
        <v>0</v>
      </c>
      <c r="K11" s="682">
        <f>huishoudens!J8</f>
        <v>130.86275471549493</v>
      </c>
      <c r="L11" s="682">
        <f>huishoudens!K8</f>
        <v>0</v>
      </c>
      <c r="M11" s="682">
        <f>huishoudens!L8</f>
        <v>0</v>
      </c>
      <c r="N11" s="682">
        <f>huishoudens!M8</f>
        <v>0</v>
      </c>
      <c r="O11" s="682">
        <f>huishoudens!N8</f>
        <v>4277.5113879442551</v>
      </c>
      <c r="P11" s="682">
        <f>huishoudens!O8</f>
        <v>190.45998906115506</v>
      </c>
      <c r="Q11" s="683">
        <f>huishoudens!P8</f>
        <v>431.89233161508594</v>
      </c>
      <c r="R11" s="685">
        <f>SUM(C11:Q11)</f>
        <v>60637.3412949392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1362.2224390000001</v>
      </c>
      <c r="D13" s="682">
        <f>industrie!C18</f>
        <v>0</v>
      </c>
      <c r="E13" s="682">
        <f>industrie!D18</f>
        <v>705.00558504600008</v>
      </c>
      <c r="F13" s="682">
        <f>industrie!E18</f>
        <v>3.797634223919915</v>
      </c>
      <c r="G13" s="682">
        <f>industrie!F18</f>
        <v>390.64806280440314</v>
      </c>
      <c r="H13" s="682">
        <f>industrie!G18</f>
        <v>0</v>
      </c>
      <c r="I13" s="682">
        <f>industrie!H18</f>
        <v>0</v>
      </c>
      <c r="J13" s="682">
        <f>industrie!I18</f>
        <v>0</v>
      </c>
      <c r="K13" s="682">
        <f>industrie!J18</f>
        <v>0.17741973123057164</v>
      </c>
      <c r="L13" s="682">
        <f>industrie!K18</f>
        <v>0</v>
      </c>
      <c r="M13" s="682">
        <f>industrie!L18</f>
        <v>0</v>
      </c>
      <c r="N13" s="682">
        <f>industrie!M18</f>
        <v>0</v>
      </c>
      <c r="O13" s="682">
        <f>industrie!N18</f>
        <v>45.582006240121736</v>
      </c>
      <c r="P13" s="682">
        <f>industrie!O18</f>
        <v>0</v>
      </c>
      <c r="Q13" s="683">
        <f>industrie!P18</f>
        <v>0</v>
      </c>
      <c r="R13" s="685">
        <f>SUM(C13:Q13)</f>
        <v>2507.4331470456759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19106.546660265329</v>
      </c>
      <c r="D16" s="718">
        <f t="shared" ref="D16:R16" ca="1" si="0">SUM(D9:D15)</f>
        <v>0</v>
      </c>
      <c r="E16" s="718">
        <f t="shared" ca="1" si="0"/>
        <v>19296.976177206001</v>
      </c>
      <c r="F16" s="718">
        <f t="shared" si="0"/>
        <v>1180.7681713775319</v>
      </c>
      <c r="G16" s="718">
        <f t="shared" ca="1" si="0"/>
        <v>27640.266347657045</v>
      </c>
      <c r="H16" s="718">
        <f t="shared" si="0"/>
        <v>0</v>
      </c>
      <c r="I16" s="718">
        <f t="shared" si="0"/>
        <v>0</v>
      </c>
      <c r="J16" s="718">
        <f t="shared" si="0"/>
        <v>0</v>
      </c>
      <c r="K16" s="718">
        <f t="shared" si="0"/>
        <v>131.05329040460364</v>
      </c>
      <c r="L16" s="718">
        <f t="shared" si="0"/>
        <v>0</v>
      </c>
      <c r="M16" s="718">
        <f t="shared" ca="1" si="0"/>
        <v>0</v>
      </c>
      <c r="N16" s="718">
        <f t="shared" si="0"/>
        <v>0</v>
      </c>
      <c r="O16" s="718">
        <f t="shared" ca="1" si="0"/>
        <v>4801.0583931610017</v>
      </c>
      <c r="P16" s="718">
        <f t="shared" si="0"/>
        <v>195.35724982699622</v>
      </c>
      <c r="Q16" s="718">
        <f t="shared" si="0"/>
        <v>431.89233161508594</v>
      </c>
      <c r="R16" s="718">
        <f t="shared" ca="1" si="0"/>
        <v>72783.9186215136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12.209184137280792</v>
      </c>
      <c r="D19" s="682">
        <f>transport!C54</f>
        <v>0</v>
      </c>
      <c r="E19" s="682">
        <f>transport!D54</f>
        <v>0</v>
      </c>
      <c r="F19" s="682">
        <f>transport!E54</f>
        <v>0</v>
      </c>
      <c r="G19" s="682">
        <f>transport!F54</f>
        <v>0</v>
      </c>
      <c r="H19" s="682">
        <f>transport!G54</f>
        <v>871.46955346787979</v>
      </c>
      <c r="I19" s="682">
        <f>transport!H54</f>
        <v>0</v>
      </c>
      <c r="J19" s="682">
        <f>transport!I54</f>
        <v>0</v>
      </c>
      <c r="K19" s="682">
        <f>transport!J54</f>
        <v>0</v>
      </c>
      <c r="L19" s="682">
        <f>transport!K54</f>
        <v>0</v>
      </c>
      <c r="M19" s="682">
        <f>transport!L54</f>
        <v>0</v>
      </c>
      <c r="N19" s="682">
        <f>transport!M54</f>
        <v>48.121323323428605</v>
      </c>
      <c r="O19" s="682">
        <f>transport!N54</f>
        <v>0</v>
      </c>
      <c r="P19" s="682">
        <f>transport!O54</f>
        <v>0</v>
      </c>
      <c r="Q19" s="683">
        <f>transport!P54</f>
        <v>0</v>
      </c>
      <c r="R19" s="685">
        <f>SUM(C19:Q19)</f>
        <v>931.80006092858912</v>
      </c>
      <c r="S19" s="67"/>
    </row>
    <row r="20" spans="1:19" s="445" customFormat="1">
      <c r="A20" s="803" t="s">
        <v>302</v>
      </c>
      <c r="B20" s="808"/>
      <c r="C20" s="682">
        <f>transport!B14</f>
        <v>45.296408630361768</v>
      </c>
      <c r="D20" s="682">
        <f>transport!C14</f>
        <v>0</v>
      </c>
      <c r="E20" s="682">
        <f>transport!D14</f>
        <v>93.880079673134389</v>
      </c>
      <c r="F20" s="682">
        <f>transport!E14</f>
        <v>50.580686575893992</v>
      </c>
      <c r="G20" s="682">
        <f>transport!F14</f>
        <v>0</v>
      </c>
      <c r="H20" s="682">
        <f>transport!G14</f>
        <v>17375.244145813482</v>
      </c>
      <c r="I20" s="682">
        <f>transport!H14</f>
        <v>5668.2078173826021</v>
      </c>
      <c r="J20" s="682">
        <f>transport!I14</f>
        <v>0</v>
      </c>
      <c r="K20" s="682">
        <f>transport!J14</f>
        <v>0</v>
      </c>
      <c r="L20" s="682">
        <f>transport!K14</f>
        <v>0</v>
      </c>
      <c r="M20" s="682">
        <f>transport!L14</f>
        <v>0</v>
      </c>
      <c r="N20" s="682">
        <f>transport!M14</f>
        <v>1372.2872774215812</v>
      </c>
      <c r="O20" s="682">
        <f>transport!N14</f>
        <v>0</v>
      </c>
      <c r="P20" s="682">
        <f>transport!O14</f>
        <v>0</v>
      </c>
      <c r="Q20" s="683">
        <f>transport!P14</f>
        <v>0</v>
      </c>
      <c r="R20" s="685">
        <f>SUM(C20:Q20)</f>
        <v>24605.496415497051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57.505592767642561</v>
      </c>
      <c r="D22" s="806">
        <f t="shared" ref="D22:R22" si="1">SUM(D18:D21)</f>
        <v>0</v>
      </c>
      <c r="E22" s="806">
        <f t="shared" si="1"/>
        <v>93.880079673134389</v>
      </c>
      <c r="F22" s="806">
        <f t="shared" si="1"/>
        <v>50.580686575893992</v>
      </c>
      <c r="G22" s="806">
        <f t="shared" si="1"/>
        <v>0</v>
      </c>
      <c r="H22" s="806">
        <f t="shared" si="1"/>
        <v>18246.713699281361</v>
      </c>
      <c r="I22" s="806">
        <f t="shared" si="1"/>
        <v>5668.2078173826021</v>
      </c>
      <c r="J22" s="806">
        <f t="shared" si="1"/>
        <v>0</v>
      </c>
      <c r="K22" s="806">
        <f t="shared" si="1"/>
        <v>0</v>
      </c>
      <c r="L22" s="806">
        <f t="shared" si="1"/>
        <v>0</v>
      </c>
      <c r="M22" s="806">
        <f t="shared" si="1"/>
        <v>0</v>
      </c>
      <c r="N22" s="806">
        <f t="shared" si="1"/>
        <v>1420.4086007450098</v>
      </c>
      <c r="O22" s="806">
        <f t="shared" si="1"/>
        <v>0</v>
      </c>
      <c r="P22" s="806">
        <f t="shared" si="1"/>
        <v>0</v>
      </c>
      <c r="Q22" s="806">
        <f t="shared" si="1"/>
        <v>0</v>
      </c>
      <c r="R22" s="806">
        <f t="shared" si="1"/>
        <v>25537.296476425639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5062.3392210000002</v>
      </c>
      <c r="D24" s="682">
        <f>+landbouw!C8</f>
        <v>0</v>
      </c>
      <c r="E24" s="682">
        <f>+landbouw!D8</f>
        <v>170.228926707</v>
      </c>
      <c r="F24" s="682">
        <f>+landbouw!E8</f>
        <v>188.79011414216163</v>
      </c>
      <c r="G24" s="682">
        <f>+landbouw!F8</f>
        <v>16424.184597799631</v>
      </c>
      <c r="H24" s="682">
        <f>+landbouw!G8</f>
        <v>0</v>
      </c>
      <c r="I24" s="682">
        <f>+landbouw!H8</f>
        <v>0</v>
      </c>
      <c r="J24" s="682">
        <f>+landbouw!I8</f>
        <v>0</v>
      </c>
      <c r="K24" s="682">
        <f>+landbouw!J8</f>
        <v>1328.8890378111128</v>
      </c>
      <c r="L24" s="682">
        <f>+landbouw!K8</f>
        <v>0</v>
      </c>
      <c r="M24" s="682">
        <f>+landbouw!L8</f>
        <v>0</v>
      </c>
      <c r="N24" s="682">
        <f>+landbouw!M8</f>
        <v>0</v>
      </c>
      <c r="O24" s="682">
        <f>+landbouw!N8</f>
        <v>0</v>
      </c>
      <c r="P24" s="682">
        <f>+landbouw!O8</f>
        <v>0</v>
      </c>
      <c r="Q24" s="683">
        <f>+landbouw!P8</f>
        <v>0</v>
      </c>
      <c r="R24" s="685">
        <f>SUM(C24:Q24)</f>
        <v>23174.431897459905</v>
      </c>
      <c r="S24" s="67"/>
    </row>
    <row r="25" spans="1:19" s="445" customFormat="1" ht="15" thickBot="1">
      <c r="A25" s="825" t="s">
        <v>703</v>
      </c>
      <c r="B25" s="938"/>
      <c r="C25" s="939">
        <f>IF(Onbekend_ele_kWh="---",0,Onbekend_ele_kWh)/1000+IF(REST_rest_ele_kWh="---",0,REST_rest_ele_kWh)/1000</f>
        <v>142.867828</v>
      </c>
      <c r="D25" s="939"/>
      <c r="E25" s="939">
        <f>IF(onbekend_gas_kWh="---",0,onbekend_gas_kWh)/1000+IF(REST_rest_gas_kWh="---",0,REST_rest_gas_kWh)/1000</f>
        <v>153.49223999999998</v>
      </c>
      <c r="F25" s="939"/>
      <c r="G25" s="939"/>
      <c r="H25" s="939"/>
      <c r="I25" s="939"/>
      <c r="J25" s="939"/>
      <c r="K25" s="939"/>
      <c r="L25" s="939"/>
      <c r="M25" s="939"/>
      <c r="N25" s="939"/>
      <c r="O25" s="939"/>
      <c r="P25" s="939"/>
      <c r="Q25" s="940"/>
      <c r="R25" s="685">
        <f>SUM(C25:Q25)</f>
        <v>296.36006799999996</v>
      </c>
      <c r="S25" s="67"/>
    </row>
    <row r="26" spans="1:19" s="445" customFormat="1" ht="15.75" thickBot="1">
      <c r="A26" s="690" t="s">
        <v>704</v>
      </c>
      <c r="B26" s="811"/>
      <c r="C26" s="806">
        <f>SUM(C24:C25)</f>
        <v>5205.2070490000006</v>
      </c>
      <c r="D26" s="806">
        <f t="shared" ref="D26:R26" si="2">SUM(D24:D25)</f>
        <v>0</v>
      </c>
      <c r="E26" s="806">
        <f t="shared" si="2"/>
        <v>323.72116670699995</v>
      </c>
      <c r="F26" s="806">
        <f t="shared" si="2"/>
        <v>188.79011414216163</v>
      </c>
      <c r="G26" s="806">
        <f t="shared" si="2"/>
        <v>16424.184597799631</v>
      </c>
      <c r="H26" s="806">
        <f t="shared" si="2"/>
        <v>0</v>
      </c>
      <c r="I26" s="806">
        <f t="shared" si="2"/>
        <v>0</v>
      </c>
      <c r="J26" s="806">
        <f t="shared" si="2"/>
        <v>0</v>
      </c>
      <c r="K26" s="806">
        <f t="shared" si="2"/>
        <v>1328.8890378111128</v>
      </c>
      <c r="L26" s="806">
        <f t="shared" si="2"/>
        <v>0</v>
      </c>
      <c r="M26" s="806">
        <f t="shared" si="2"/>
        <v>0</v>
      </c>
      <c r="N26" s="806">
        <f t="shared" si="2"/>
        <v>0</v>
      </c>
      <c r="O26" s="806">
        <f t="shared" si="2"/>
        <v>0</v>
      </c>
      <c r="P26" s="806">
        <f t="shared" si="2"/>
        <v>0</v>
      </c>
      <c r="Q26" s="806">
        <f t="shared" si="2"/>
        <v>0</v>
      </c>
      <c r="R26" s="806">
        <f t="shared" si="2"/>
        <v>23470.791965459903</v>
      </c>
      <c r="S26" s="67"/>
    </row>
    <row r="27" spans="1:19" s="445" customFormat="1" ht="17.25" thickTop="1" thickBot="1">
      <c r="A27" s="691" t="s">
        <v>115</v>
      </c>
      <c r="B27" s="798"/>
      <c r="C27" s="692">
        <f ca="1">C22+C16+C26</f>
        <v>24369.259302032973</v>
      </c>
      <c r="D27" s="692">
        <f t="shared" ref="D27:R27" ca="1" si="3">D22+D16+D26</f>
        <v>0</v>
      </c>
      <c r="E27" s="692">
        <f t="shared" ca="1" si="3"/>
        <v>19714.577423586135</v>
      </c>
      <c r="F27" s="692">
        <f t="shared" si="3"/>
        <v>1420.1389720955876</v>
      </c>
      <c r="G27" s="692">
        <f t="shared" ca="1" si="3"/>
        <v>44064.450945456672</v>
      </c>
      <c r="H27" s="692">
        <f t="shared" si="3"/>
        <v>18246.713699281361</v>
      </c>
      <c r="I27" s="692">
        <f t="shared" si="3"/>
        <v>5668.2078173826021</v>
      </c>
      <c r="J27" s="692">
        <f t="shared" si="3"/>
        <v>0</v>
      </c>
      <c r="K27" s="692">
        <f t="shared" si="3"/>
        <v>1459.9423282157163</v>
      </c>
      <c r="L27" s="692">
        <f t="shared" si="3"/>
        <v>0</v>
      </c>
      <c r="M27" s="692">
        <f t="shared" ca="1" si="3"/>
        <v>0</v>
      </c>
      <c r="N27" s="692">
        <f t="shared" si="3"/>
        <v>1420.4086007450098</v>
      </c>
      <c r="O27" s="692">
        <f t="shared" ca="1" si="3"/>
        <v>4801.0583931610017</v>
      </c>
      <c r="P27" s="692">
        <f t="shared" si="3"/>
        <v>195.35724982699622</v>
      </c>
      <c r="Q27" s="692">
        <f t="shared" si="3"/>
        <v>431.89233161508594</v>
      </c>
      <c r="R27" s="692">
        <f t="shared" ca="1" si="3"/>
        <v>121792.00706339916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828.40820841959749</v>
      </c>
      <c r="D40" s="682">
        <f ca="1">tertiair!C20</f>
        <v>0</v>
      </c>
      <c r="E40" s="682">
        <f ca="1">tertiair!D20</f>
        <v>610.68966387580201</v>
      </c>
      <c r="F40" s="682">
        <f>tertiair!E20</f>
        <v>5.7547740085208083</v>
      </c>
      <c r="G40" s="682">
        <f ca="1">tertiair!F20</f>
        <v>291.53177888777549</v>
      </c>
      <c r="H40" s="682">
        <f>tertiair!G20</f>
        <v>0</v>
      </c>
      <c r="I40" s="682">
        <f>tertiair!H20</f>
        <v>0</v>
      </c>
      <c r="J40" s="682">
        <f>tertiair!I20</f>
        <v>0</v>
      </c>
      <c r="K40" s="682">
        <f>tertiair!J20</f>
        <v>4.6430490888601343E-3</v>
      </c>
      <c r="L40" s="682">
        <f>tertiair!K20</f>
        <v>0</v>
      </c>
      <c r="M40" s="682">
        <f ca="1">tertiair!L20</f>
        <v>0</v>
      </c>
      <c r="N40" s="682">
        <f>tertiair!M20</f>
        <v>0</v>
      </c>
      <c r="O40" s="682">
        <f ca="1">tertiair!N20</f>
        <v>0</v>
      </c>
      <c r="P40" s="682">
        <f>tertiair!O20</f>
        <v>0</v>
      </c>
      <c r="Q40" s="765">
        <f>tertiair!P20</f>
        <v>0</v>
      </c>
      <c r="R40" s="844">
        <f t="shared" ca="1" si="4"/>
        <v>1736.3890682407848</v>
      </c>
    </row>
    <row r="41" spans="1:18">
      <c r="A41" s="816" t="s">
        <v>220</v>
      </c>
      <c r="B41" s="823"/>
      <c r="C41" s="682">
        <f ca="1">huishoudens!B12</f>
        <v>2102.2269177093394</v>
      </c>
      <c r="D41" s="682">
        <f ca="1">huishoudens!C12</f>
        <v>0</v>
      </c>
      <c r="E41" s="682">
        <f>huishoudens!D12</f>
        <v>3144.8883957405183</v>
      </c>
      <c r="F41" s="682">
        <f>huishoudens!E12</f>
        <v>261.41753792534911</v>
      </c>
      <c r="G41" s="682">
        <f>huishoudens!F12</f>
        <v>6984.1163031678798</v>
      </c>
      <c r="H41" s="682">
        <f>huishoudens!G12</f>
        <v>0</v>
      </c>
      <c r="I41" s="682">
        <f>huishoudens!H12</f>
        <v>0</v>
      </c>
      <c r="J41" s="682">
        <f>huishoudens!I12</f>
        <v>0</v>
      </c>
      <c r="K41" s="682">
        <f>huishoudens!J12</f>
        <v>46.325415169285201</v>
      </c>
      <c r="L41" s="682">
        <f>huishoudens!K12</f>
        <v>0</v>
      </c>
      <c r="M41" s="682">
        <f>huishoudens!L12</f>
        <v>0</v>
      </c>
      <c r="N41" s="682">
        <f>huishoudens!M12</f>
        <v>0</v>
      </c>
      <c r="O41" s="682">
        <f>huishoudens!N12</f>
        <v>0</v>
      </c>
      <c r="P41" s="682">
        <f>huishoudens!O12</f>
        <v>0</v>
      </c>
      <c r="Q41" s="765">
        <f>huishoudens!P12</f>
        <v>0</v>
      </c>
      <c r="R41" s="844">
        <f t="shared" ca="1" si="4"/>
        <v>12538.974569712373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224.98331745708805</v>
      </c>
      <c r="D43" s="682">
        <f ca="1">industrie!C22</f>
        <v>0</v>
      </c>
      <c r="E43" s="682">
        <f>industrie!D22</f>
        <v>142.41112817929204</v>
      </c>
      <c r="F43" s="682">
        <f>industrie!E22</f>
        <v>0.8620629688298207</v>
      </c>
      <c r="G43" s="682">
        <f>industrie!F22</f>
        <v>104.30303276877565</v>
      </c>
      <c r="H43" s="682">
        <f>industrie!G22</f>
        <v>0</v>
      </c>
      <c r="I43" s="682">
        <f>industrie!H22</f>
        <v>0</v>
      </c>
      <c r="J43" s="682">
        <f>industrie!I22</f>
        <v>0</v>
      </c>
      <c r="K43" s="682">
        <f>industrie!J22</f>
        <v>6.2806584855622363E-2</v>
      </c>
      <c r="L43" s="682">
        <f>industrie!K22</f>
        <v>0</v>
      </c>
      <c r="M43" s="682">
        <f>industrie!L22</f>
        <v>0</v>
      </c>
      <c r="N43" s="682">
        <f>industrie!M22</f>
        <v>0</v>
      </c>
      <c r="O43" s="682">
        <f>industrie!N22</f>
        <v>0</v>
      </c>
      <c r="P43" s="682">
        <f>industrie!O22</f>
        <v>0</v>
      </c>
      <c r="Q43" s="765">
        <f>industrie!P22</f>
        <v>0</v>
      </c>
      <c r="R43" s="843">
        <f t="shared" ca="1" si="4"/>
        <v>472.6223479588412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3155.618443586025</v>
      </c>
      <c r="D46" s="718">
        <f t="shared" ref="D46:Q46" ca="1" si="5">SUM(D39:D45)</f>
        <v>0</v>
      </c>
      <c r="E46" s="718">
        <f t="shared" ca="1" si="5"/>
        <v>3897.9891877956125</v>
      </c>
      <c r="F46" s="718">
        <f t="shared" si="5"/>
        <v>268.03437490269977</v>
      </c>
      <c r="G46" s="718">
        <f t="shared" ca="1" si="5"/>
        <v>7379.951114824431</v>
      </c>
      <c r="H46" s="718">
        <f t="shared" si="5"/>
        <v>0</v>
      </c>
      <c r="I46" s="718">
        <f t="shared" si="5"/>
        <v>0</v>
      </c>
      <c r="J46" s="718">
        <f t="shared" si="5"/>
        <v>0</v>
      </c>
      <c r="K46" s="718">
        <f t="shared" si="5"/>
        <v>46.392864803229685</v>
      </c>
      <c r="L46" s="718">
        <f t="shared" si="5"/>
        <v>0</v>
      </c>
      <c r="M46" s="718">
        <f t="shared" ca="1" si="5"/>
        <v>0</v>
      </c>
      <c r="N46" s="718">
        <f t="shared" si="5"/>
        <v>0</v>
      </c>
      <c r="O46" s="718">
        <f t="shared" ca="1" si="5"/>
        <v>0</v>
      </c>
      <c r="P46" s="718">
        <f t="shared" si="5"/>
        <v>0</v>
      </c>
      <c r="Q46" s="718">
        <f t="shared" si="5"/>
        <v>0</v>
      </c>
      <c r="R46" s="718">
        <f ca="1">SUM(R39:R45)</f>
        <v>14747.985985911999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2.0164568370099265</v>
      </c>
      <c r="D49" s="682">
        <f ca="1">transport!C58</f>
        <v>0</v>
      </c>
      <c r="E49" s="682">
        <f>transport!D58</f>
        <v>0</v>
      </c>
      <c r="F49" s="682">
        <f>transport!E58</f>
        <v>0</v>
      </c>
      <c r="G49" s="682">
        <f>transport!F58</f>
        <v>0</v>
      </c>
      <c r="H49" s="682">
        <f>transport!G58</f>
        <v>232.68237077592391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234.69882761293385</v>
      </c>
    </row>
    <row r="50" spans="1:18">
      <c r="A50" s="819" t="s">
        <v>302</v>
      </c>
      <c r="B50" s="829"/>
      <c r="C50" s="688">
        <f ca="1">transport!B18</f>
        <v>7.4811102730269026</v>
      </c>
      <c r="D50" s="688">
        <f>transport!C18</f>
        <v>0</v>
      </c>
      <c r="E50" s="688">
        <f>transport!D18</f>
        <v>18.963776093973149</v>
      </c>
      <c r="F50" s="688">
        <f>transport!E18</f>
        <v>11.481815852727937</v>
      </c>
      <c r="G50" s="688">
        <f>transport!F18</f>
        <v>0</v>
      </c>
      <c r="H50" s="688">
        <f>transport!G18</f>
        <v>4639.1901869322</v>
      </c>
      <c r="I50" s="688">
        <f>transport!H18</f>
        <v>1411.3837465282679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6088.500635680196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9.4975671100368295</v>
      </c>
      <c r="D52" s="718">
        <f t="shared" ref="D52:Q52" ca="1" si="6">SUM(D48:D51)</f>
        <v>0</v>
      </c>
      <c r="E52" s="718">
        <f t="shared" si="6"/>
        <v>18.963776093973149</v>
      </c>
      <c r="F52" s="718">
        <f t="shared" si="6"/>
        <v>11.481815852727937</v>
      </c>
      <c r="G52" s="718">
        <f t="shared" si="6"/>
        <v>0</v>
      </c>
      <c r="H52" s="718">
        <f t="shared" si="6"/>
        <v>4871.8725577081241</v>
      </c>
      <c r="I52" s="718">
        <f t="shared" si="6"/>
        <v>1411.3837465282679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6323.1994632931301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836.09096387356658</v>
      </c>
      <c r="D54" s="688">
        <f ca="1">+landbouw!C12</f>
        <v>0</v>
      </c>
      <c r="E54" s="688">
        <f>+landbouw!D12</f>
        <v>34.386243194814</v>
      </c>
      <c r="F54" s="688">
        <f>+landbouw!E12</f>
        <v>42.855355910270688</v>
      </c>
      <c r="G54" s="688">
        <f>+landbouw!F12</f>
        <v>4385.2572876125014</v>
      </c>
      <c r="H54" s="688">
        <f>+landbouw!G12</f>
        <v>0</v>
      </c>
      <c r="I54" s="688">
        <f>+landbouw!H12</f>
        <v>0</v>
      </c>
      <c r="J54" s="688">
        <f>+landbouw!I12</f>
        <v>0</v>
      </c>
      <c r="K54" s="688">
        <f>+landbouw!J12</f>
        <v>470.42671938513388</v>
      </c>
      <c r="L54" s="688">
        <f>+landbouw!K12</f>
        <v>0</v>
      </c>
      <c r="M54" s="688">
        <f>+landbouw!L12</f>
        <v>0</v>
      </c>
      <c r="N54" s="688">
        <f>+landbouw!M12</f>
        <v>0</v>
      </c>
      <c r="O54" s="688">
        <f>+landbouw!N12</f>
        <v>0</v>
      </c>
      <c r="P54" s="688">
        <f>+landbouw!O12</f>
        <v>0</v>
      </c>
      <c r="Q54" s="689">
        <f>+landbouw!P12</f>
        <v>0</v>
      </c>
      <c r="R54" s="717">
        <f ca="1">SUM(C54:Q54)</f>
        <v>5769.0165699762865</v>
      </c>
    </row>
    <row r="55" spans="1:18" ht="15" thickBot="1">
      <c r="A55" s="819" t="s">
        <v>703</v>
      </c>
      <c r="B55" s="829"/>
      <c r="C55" s="688">
        <f ca="1">C25*'EF ele_warmte'!B12</f>
        <v>23.595909875720857</v>
      </c>
      <c r="D55" s="688"/>
      <c r="E55" s="688">
        <f>E25*EF_CO2_aardgas</f>
        <v>31.00543248</v>
      </c>
      <c r="F55" s="688"/>
      <c r="G55" s="688"/>
      <c r="H55" s="688"/>
      <c r="I55" s="688"/>
      <c r="J55" s="688"/>
      <c r="K55" s="688"/>
      <c r="L55" s="688"/>
      <c r="M55" s="688"/>
      <c r="N55" s="688"/>
      <c r="O55" s="688"/>
      <c r="P55" s="688"/>
      <c r="Q55" s="689"/>
      <c r="R55" s="717">
        <f ca="1">SUM(C55:Q55)</f>
        <v>54.60134235572086</v>
      </c>
    </row>
    <row r="56" spans="1:18" ht="15.75" thickBot="1">
      <c r="A56" s="817" t="s">
        <v>704</v>
      </c>
      <c r="B56" s="830"/>
      <c r="C56" s="718">
        <f ca="1">SUM(C54:C55)</f>
        <v>859.68687374928743</v>
      </c>
      <c r="D56" s="718">
        <f t="shared" ref="D56:Q56" ca="1" si="7">SUM(D54:D55)</f>
        <v>0</v>
      </c>
      <c r="E56" s="718">
        <f t="shared" si="7"/>
        <v>65.391675674813996</v>
      </c>
      <c r="F56" s="718">
        <f t="shared" si="7"/>
        <v>42.855355910270688</v>
      </c>
      <c r="G56" s="718">
        <f t="shared" si="7"/>
        <v>4385.2572876125014</v>
      </c>
      <c r="H56" s="718">
        <f t="shared" si="7"/>
        <v>0</v>
      </c>
      <c r="I56" s="718">
        <f t="shared" si="7"/>
        <v>0</v>
      </c>
      <c r="J56" s="718">
        <f t="shared" si="7"/>
        <v>0</v>
      </c>
      <c r="K56" s="718">
        <f t="shared" si="7"/>
        <v>470.42671938513388</v>
      </c>
      <c r="L56" s="718">
        <f t="shared" si="7"/>
        <v>0</v>
      </c>
      <c r="M56" s="718">
        <f t="shared" si="7"/>
        <v>0</v>
      </c>
      <c r="N56" s="718">
        <f t="shared" si="7"/>
        <v>0</v>
      </c>
      <c r="O56" s="718">
        <f t="shared" si="7"/>
        <v>0</v>
      </c>
      <c r="P56" s="718">
        <f t="shared" si="7"/>
        <v>0</v>
      </c>
      <c r="Q56" s="719">
        <f t="shared" si="7"/>
        <v>0</v>
      </c>
      <c r="R56" s="720">
        <f ca="1">SUM(R54:R55)</f>
        <v>5823.6179123320071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4024.8028844453493</v>
      </c>
      <c r="D61" s="726">
        <f t="shared" ref="D61:Q61" ca="1" si="8">D46+D52+D56</f>
        <v>0</v>
      </c>
      <c r="E61" s="726">
        <f t="shared" ca="1" si="8"/>
        <v>3982.3446395643996</v>
      </c>
      <c r="F61" s="726">
        <f t="shared" si="8"/>
        <v>322.37154666569842</v>
      </c>
      <c r="G61" s="726">
        <f t="shared" ca="1" si="8"/>
        <v>11765.208402436932</v>
      </c>
      <c r="H61" s="726">
        <f t="shared" si="8"/>
        <v>4871.8725577081241</v>
      </c>
      <c r="I61" s="726">
        <f t="shared" si="8"/>
        <v>1411.3837465282679</v>
      </c>
      <c r="J61" s="726">
        <f t="shared" si="8"/>
        <v>0</v>
      </c>
      <c r="K61" s="726">
        <f t="shared" si="8"/>
        <v>516.81958418836359</v>
      </c>
      <c r="L61" s="726">
        <f t="shared" si="8"/>
        <v>0</v>
      </c>
      <c r="M61" s="726">
        <f t="shared" ca="1" si="8"/>
        <v>0</v>
      </c>
      <c r="N61" s="726">
        <f t="shared" si="8"/>
        <v>0</v>
      </c>
      <c r="O61" s="726">
        <f t="shared" ca="1" si="8"/>
        <v>0</v>
      </c>
      <c r="P61" s="726">
        <f t="shared" si="8"/>
        <v>0</v>
      </c>
      <c r="Q61" s="726">
        <f t="shared" si="8"/>
        <v>0</v>
      </c>
      <c r="R61" s="726">
        <f ca="1">R46+R52+R56</f>
        <v>26894.803361537135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0.16515901589629298</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6157.4815443617081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6157.4815443617081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12728.502324265326</v>
      </c>
      <c r="C4" s="449">
        <f>huishoudens!C8</f>
        <v>0</v>
      </c>
      <c r="D4" s="449">
        <f>huishoudens!D8</f>
        <v>15568.754434359</v>
      </c>
      <c r="E4" s="449">
        <f>huishoudens!E8</f>
        <v>1151.6191098033</v>
      </c>
      <c r="F4" s="449">
        <f>huishoudens!F8</f>
        <v>26157.73896317558</v>
      </c>
      <c r="G4" s="449">
        <f>huishoudens!G8</f>
        <v>0</v>
      </c>
      <c r="H4" s="449">
        <f>huishoudens!H8</f>
        <v>0</v>
      </c>
      <c r="I4" s="449">
        <f>huishoudens!I8</f>
        <v>0</v>
      </c>
      <c r="J4" s="449">
        <f>huishoudens!J8</f>
        <v>130.86275471549493</v>
      </c>
      <c r="K4" s="449">
        <f>huishoudens!K8</f>
        <v>0</v>
      </c>
      <c r="L4" s="449">
        <f>huishoudens!L8</f>
        <v>0</v>
      </c>
      <c r="M4" s="449">
        <f>huishoudens!M8</f>
        <v>0</v>
      </c>
      <c r="N4" s="449">
        <f>huishoudens!N8</f>
        <v>4277.5113879442551</v>
      </c>
      <c r="O4" s="449">
        <f>huishoudens!O8</f>
        <v>190.45998906115506</v>
      </c>
      <c r="P4" s="450">
        <f>huishoudens!P8</f>
        <v>431.89233161508594</v>
      </c>
      <c r="Q4" s="451">
        <f>SUM(B4:P4)</f>
        <v>60637.3412949392</v>
      </c>
    </row>
    <row r="5" spans="1:17">
      <c r="A5" s="448" t="s">
        <v>155</v>
      </c>
      <c r="B5" s="449">
        <f ca="1">tertiair!B16</f>
        <v>4501.021127</v>
      </c>
      <c r="C5" s="449">
        <f ca="1">tertiair!C16</f>
        <v>0</v>
      </c>
      <c r="D5" s="449">
        <f ca="1">tertiair!D16</f>
        <v>3023.216157801</v>
      </c>
      <c r="E5" s="449">
        <f>tertiair!E16</f>
        <v>25.35142735031193</v>
      </c>
      <c r="F5" s="449">
        <f ca="1">tertiair!F16</f>
        <v>1091.8793216770616</v>
      </c>
      <c r="G5" s="449">
        <f>tertiair!G16</f>
        <v>0</v>
      </c>
      <c r="H5" s="449">
        <f>tertiair!H16</f>
        <v>0</v>
      </c>
      <c r="I5" s="449">
        <f>tertiair!I16</f>
        <v>0</v>
      </c>
      <c r="J5" s="449">
        <f>tertiair!J16</f>
        <v>1.3115957878135973E-2</v>
      </c>
      <c r="K5" s="449">
        <f>tertiair!K16</f>
        <v>0</v>
      </c>
      <c r="L5" s="449">
        <f ca="1">tertiair!L16</f>
        <v>0</v>
      </c>
      <c r="M5" s="449">
        <f>tertiair!M16</f>
        <v>0</v>
      </c>
      <c r="N5" s="449">
        <f ca="1">tertiair!N16</f>
        <v>477.96499897662517</v>
      </c>
      <c r="O5" s="449">
        <f>tertiair!O16</f>
        <v>4.8972607658411542</v>
      </c>
      <c r="P5" s="450">
        <f>tertiair!P16</f>
        <v>0</v>
      </c>
      <c r="Q5" s="448">
        <f t="shared" ref="Q5:Q14" ca="1" si="0">SUM(B5:P5)</f>
        <v>9124.3434095287175</v>
      </c>
    </row>
    <row r="6" spans="1:17">
      <c r="A6" s="448" t="s">
        <v>193</v>
      </c>
      <c r="B6" s="449">
        <f>'openbare verlichting'!B8</f>
        <v>514.80077000000006</v>
      </c>
      <c r="C6" s="449"/>
      <c r="D6" s="449"/>
      <c r="E6" s="449"/>
      <c r="F6" s="449"/>
      <c r="G6" s="449"/>
      <c r="H6" s="449"/>
      <c r="I6" s="449"/>
      <c r="J6" s="449"/>
      <c r="K6" s="449"/>
      <c r="L6" s="449"/>
      <c r="M6" s="449"/>
      <c r="N6" s="449"/>
      <c r="O6" s="449"/>
      <c r="P6" s="450"/>
      <c r="Q6" s="448">
        <f t="shared" si="0"/>
        <v>514.80077000000006</v>
      </c>
    </row>
    <row r="7" spans="1:17">
      <c r="A7" s="448" t="s">
        <v>111</v>
      </c>
      <c r="B7" s="449">
        <f>landbouw!B8</f>
        <v>5062.3392210000002</v>
      </c>
      <c r="C7" s="449">
        <f>landbouw!C8</f>
        <v>0</v>
      </c>
      <c r="D7" s="449">
        <f>landbouw!D8</f>
        <v>170.228926707</v>
      </c>
      <c r="E7" s="449">
        <f>landbouw!E8</f>
        <v>188.79011414216163</v>
      </c>
      <c r="F7" s="449">
        <f>landbouw!F8</f>
        <v>16424.184597799631</v>
      </c>
      <c r="G7" s="449">
        <f>landbouw!G8</f>
        <v>0</v>
      </c>
      <c r="H7" s="449">
        <f>landbouw!H8</f>
        <v>0</v>
      </c>
      <c r="I7" s="449">
        <f>landbouw!I8</f>
        <v>0</v>
      </c>
      <c r="J7" s="449">
        <f>landbouw!J8</f>
        <v>1328.8890378111128</v>
      </c>
      <c r="K7" s="449">
        <f>landbouw!K8</f>
        <v>0</v>
      </c>
      <c r="L7" s="449">
        <f>landbouw!L8</f>
        <v>0</v>
      </c>
      <c r="M7" s="449">
        <f>landbouw!M8</f>
        <v>0</v>
      </c>
      <c r="N7" s="449">
        <f>landbouw!N8</f>
        <v>0</v>
      </c>
      <c r="O7" s="449">
        <f>landbouw!O8</f>
        <v>0</v>
      </c>
      <c r="P7" s="450">
        <f>landbouw!P8</f>
        <v>0</v>
      </c>
      <c r="Q7" s="448">
        <f t="shared" si="0"/>
        <v>23174.431897459905</v>
      </c>
    </row>
    <row r="8" spans="1:17">
      <c r="A8" s="448" t="s">
        <v>618</v>
      </c>
      <c r="B8" s="449">
        <f>industrie!B18</f>
        <v>1362.2224390000001</v>
      </c>
      <c r="C8" s="449">
        <f>industrie!C18</f>
        <v>0</v>
      </c>
      <c r="D8" s="449">
        <f>industrie!D18</f>
        <v>705.00558504600008</v>
      </c>
      <c r="E8" s="449">
        <f>industrie!E18</f>
        <v>3.797634223919915</v>
      </c>
      <c r="F8" s="449">
        <f>industrie!F18</f>
        <v>390.64806280440314</v>
      </c>
      <c r="G8" s="449">
        <f>industrie!G18</f>
        <v>0</v>
      </c>
      <c r="H8" s="449">
        <f>industrie!H18</f>
        <v>0</v>
      </c>
      <c r="I8" s="449">
        <f>industrie!I18</f>
        <v>0</v>
      </c>
      <c r="J8" s="449">
        <f>industrie!J18</f>
        <v>0.17741973123057164</v>
      </c>
      <c r="K8" s="449">
        <f>industrie!K18</f>
        <v>0</v>
      </c>
      <c r="L8" s="449">
        <f>industrie!L18</f>
        <v>0</v>
      </c>
      <c r="M8" s="449">
        <f>industrie!M18</f>
        <v>0</v>
      </c>
      <c r="N8" s="449">
        <f>industrie!N18</f>
        <v>45.582006240121736</v>
      </c>
      <c r="O8" s="449">
        <f>industrie!O18</f>
        <v>0</v>
      </c>
      <c r="P8" s="450">
        <f>industrie!P18</f>
        <v>0</v>
      </c>
      <c r="Q8" s="448">
        <f t="shared" si="0"/>
        <v>2507.4331470456759</v>
      </c>
    </row>
    <row r="9" spans="1:17" s="454" customFormat="1">
      <c r="A9" s="452" t="s">
        <v>544</v>
      </c>
      <c r="B9" s="453">
        <f>transport!B14</f>
        <v>45.296408630361768</v>
      </c>
      <c r="C9" s="453">
        <f>transport!C14</f>
        <v>0</v>
      </c>
      <c r="D9" s="453">
        <f>transport!D14</f>
        <v>93.880079673134389</v>
      </c>
      <c r="E9" s="453">
        <f>transport!E14</f>
        <v>50.580686575893992</v>
      </c>
      <c r="F9" s="453">
        <f>transport!F14</f>
        <v>0</v>
      </c>
      <c r="G9" s="453">
        <f>transport!G14</f>
        <v>17375.244145813482</v>
      </c>
      <c r="H9" s="453">
        <f>transport!H14</f>
        <v>5668.2078173826021</v>
      </c>
      <c r="I9" s="453">
        <f>transport!I14</f>
        <v>0</v>
      </c>
      <c r="J9" s="453">
        <f>transport!J14</f>
        <v>0</v>
      </c>
      <c r="K9" s="453">
        <f>transport!K14</f>
        <v>0</v>
      </c>
      <c r="L9" s="453">
        <f>transport!L14</f>
        <v>0</v>
      </c>
      <c r="M9" s="453">
        <f>transport!M14</f>
        <v>1372.2872774215812</v>
      </c>
      <c r="N9" s="453">
        <f>transport!N14</f>
        <v>0</v>
      </c>
      <c r="O9" s="453">
        <f>transport!O14</f>
        <v>0</v>
      </c>
      <c r="P9" s="453">
        <f>transport!P14</f>
        <v>0</v>
      </c>
      <c r="Q9" s="452">
        <f>SUM(B9:P9)</f>
        <v>24605.496415497051</v>
      </c>
    </row>
    <row r="10" spans="1:17">
      <c r="A10" s="448" t="s">
        <v>534</v>
      </c>
      <c r="B10" s="449">
        <f>transport!B54</f>
        <v>12.209184137280792</v>
      </c>
      <c r="C10" s="449">
        <f>transport!C54</f>
        <v>0</v>
      </c>
      <c r="D10" s="449">
        <f>transport!D54</f>
        <v>0</v>
      </c>
      <c r="E10" s="449">
        <f>transport!E54</f>
        <v>0</v>
      </c>
      <c r="F10" s="449">
        <f>transport!F54</f>
        <v>0</v>
      </c>
      <c r="G10" s="449">
        <f>transport!G54</f>
        <v>871.46955346787979</v>
      </c>
      <c r="H10" s="449">
        <f>transport!H54</f>
        <v>0</v>
      </c>
      <c r="I10" s="449">
        <f>transport!I54</f>
        <v>0</v>
      </c>
      <c r="J10" s="449">
        <f>transport!J54</f>
        <v>0</v>
      </c>
      <c r="K10" s="449">
        <f>transport!K54</f>
        <v>0</v>
      </c>
      <c r="L10" s="449">
        <f>transport!L54</f>
        <v>0</v>
      </c>
      <c r="M10" s="449">
        <f>transport!M54</f>
        <v>48.121323323428605</v>
      </c>
      <c r="N10" s="449">
        <f>transport!N54</f>
        <v>0</v>
      </c>
      <c r="O10" s="449">
        <f>transport!O54</f>
        <v>0</v>
      </c>
      <c r="P10" s="450">
        <f>transport!P54</f>
        <v>0</v>
      </c>
      <c r="Q10" s="448">
        <f t="shared" si="0"/>
        <v>931.80006092858912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142.867828</v>
      </c>
      <c r="C14" s="456"/>
      <c r="D14" s="456">
        <f>'SEAP template'!E25</f>
        <v>153.49223999999998</v>
      </c>
      <c r="E14" s="456"/>
      <c r="F14" s="456"/>
      <c r="G14" s="456"/>
      <c r="H14" s="456"/>
      <c r="I14" s="456"/>
      <c r="J14" s="456"/>
      <c r="K14" s="456"/>
      <c r="L14" s="456"/>
      <c r="M14" s="456"/>
      <c r="N14" s="456"/>
      <c r="O14" s="456"/>
      <c r="P14" s="457"/>
      <c r="Q14" s="448">
        <f t="shared" si="0"/>
        <v>296.36006799999996</v>
      </c>
    </row>
    <row r="15" spans="1:17" s="460" customFormat="1">
      <c r="A15" s="458" t="s">
        <v>538</v>
      </c>
      <c r="B15" s="459">
        <f ca="1">SUM(B4:B14)</f>
        <v>24369.259302032973</v>
      </c>
      <c r="C15" s="459">
        <f t="shared" ref="C15:Q15" ca="1" si="1">SUM(C4:C14)</f>
        <v>0</v>
      </c>
      <c r="D15" s="459">
        <f t="shared" ca="1" si="1"/>
        <v>19714.577423586135</v>
      </c>
      <c r="E15" s="459">
        <f t="shared" si="1"/>
        <v>1420.1389720955876</v>
      </c>
      <c r="F15" s="459">
        <f t="shared" ca="1" si="1"/>
        <v>44064.450945456672</v>
      </c>
      <c r="G15" s="459">
        <f t="shared" si="1"/>
        <v>18246.713699281361</v>
      </c>
      <c r="H15" s="459">
        <f t="shared" si="1"/>
        <v>5668.2078173826021</v>
      </c>
      <c r="I15" s="459">
        <f t="shared" si="1"/>
        <v>0</v>
      </c>
      <c r="J15" s="459">
        <f t="shared" si="1"/>
        <v>1459.9423282157165</v>
      </c>
      <c r="K15" s="459">
        <f t="shared" si="1"/>
        <v>0</v>
      </c>
      <c r="L15" s="459">
        <f t="shared" ca="1" si="1"/>
        <v>0</v>
      </c>
      <c r="M15" s="459">
        <f t="shared" si="1"/>
        <v>1420.4086007450098</v>
      </c>
      <c r="N15" s="459">
        <f t="shared" ca="1" si="1"/>
        <v>4801.0583931610017</v>
      </c>
      <c r="O15" s="459">
        <f t="shared" si="1"/>
        <v>195.35724982699622</v>
      </c>
      <c r="P15" s="459">
        <f t="shared" si="1"/>
        <v>431.89233161508594</v>
      </c>
      <c r="Q15" s="459">
        <f t="shared" ca="1" si="1"/>
        <v>121792.00706339914</v>
      </c>
    </row>
    <row r="17" spans="1:17">
      <c r="A17" s="461" t="s">
        <v>539</v>
      </c>
      <c r="B17" s="777">
        <f ca="1">huishoudens!B10</f>
        <v>0.165159015896293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2102.2269177093394</v>
      </c>
      <c r="C22" s="449">
        <f t="shared" ref="C22:C32" ca="1" si="3">C4*$C$17</f>
        <v>0</v>
      </c>
      <c r="D22" s="449">
        <f t="shared" ref="D22:D32" si="4">D4*$D$17</f>
        <v>3144.8883957405183</v>
      </c>
      <c r="E22" s="449">
        <f t="shared" ref="E22:E32" si="5">E4*$E$17</f>
        <v>261.41753792534911</v>
      </c>
      <c r="F22" s="449">
        <f t="shared" ref="F22:F32" si="6">F4*$F$17</f>
        <v>6984.1163031678798</v>
      </c>
      <c r="G22" s="449">
        <f t="shared" ref="G22:G32" si="7">G4*$G$17</f>
        <v>0</v>
      </c>
      <c r="H22" s="449">
        <f t="shared" ref="H22:H32" si="8">H4*$H$17</f>
        <v>0</v>
      </c>
      <c r="I22" s="449">
        <f t="shared" ref="I22:I32" si="9">I4*$I$17</f>
        <v>0</v>
      </c>
      <c r="J22" s="449">
        <f t="shared" ref="J22:J32" si="10">J4*$J$17</f>
        <v>46.325415169285201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12538.974569712373</v>
      </c>
    </row>
    <row r="23" spans="1:17">
      <c r="A23" s="448" t="s">
        <v>155</v>
      </c>
      <c r="B23" s="449">
        <f t="shared" ca="1" si="2"/>
        <v>743.38421986374362</v>
      </c>
      <c r="C23" s="449">
        <f t="shared" ca="1" si="3"/>
        <v>0</v>
      </c>
      <c r="D23" s="449">
        <f t="shared" ca="1" si="4"/>
        <v>610.68966387580201</v>
      </c>
      <c r="E23" s="449">
        <f t="shared" si="5"/>
        <v>5.7547740085208083</v>
      </c>
      <c r="F23" s="449">
        <f t="shared" ca="1" si="6"/>
        <v>291.53177888777549</v>
      </c>
      <c r="G23" s="449">
        <f t="shared" si="7"/>
        <v>0</v>
      </c>
      <c r="H23" s="449">
        <f t="shared" si="8"/>
        <v>0</v>
      </c>
      <c r="I23" s="449">
        <f t="shared" si="9"/>
        <v>0</v>
      </c>
      <c r="J23" s="449">
        <f t="shared" si="10"/>
        <v>4.6430490888601343E-3</v>
      </c>
      <c r="K23" s="449">
        <f t="shared" si="11"/>
        <v>0</v>
      </c>
      <c r="L23" s="449">
        <f t="shared" ca="1" si="12"/>
        <v>0</v>
      </c>
      <c r="M23" s="449">
        <f t="shared" si="13"/>
        <v>0</v>
      </c>
      <c r="N23" s="449">
        <f t="shared" ca="1" si="14"/>
        <v>0</v>
      </c>
      <c r="O23" s="449">
        <f t="shared" si="15"/>
        <v>0</v>
      </c>
      <c r="P23" s="450">
        <f t="shared" si="16"/>
        <v>0</v>
      </c>
      <c r="Q23" s="448">
        <f t="shared" ref="Q23:Q31" ca="1" si="17">SUM(B23:P23)</f>
        <v>1651.3650796849308</v>
      </c>
    </row>
    <row r="24" spans="1:17">
      <c r="A24" s="448" t="s">
        <v>193</v>
      </c>
      <c r="B24" s="449">
        <f t="shared" ca="1" si="2"/>
        <v>85.02398855585389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85.02398855585389</v>
      </c>
    </row>
    <row r="25" spans="1:17">
      <c r="A25" s="448" t="s">
        <v>111</v>
      </c>
      <c r="B25" s="449">
        <f t="shared" ca="1" si="2"/>
        <v>836.09096387356658</v>
      </c>
      <c r="C25" s="449">
        <f t="shared" ca="1" si="3"/>
        <v>0</v>
      </c>
      <c r="D25" s="449">
        <f t="shared" si="4"/>
        <v>34.386243194814</v>
      </c>
      <c r="E25" s="449">
        <f t="shared" si="5"/>
        <v>42.855355910270688</v>
      </c>
      <c r="F25" s="449">
        <f t="shared" si="6"/>
        <v>4385.2572876125014</v>
      </c>
      <c r="G25" s="449">
        <f t="shared" si="7"/>
        <v>0</v>
      </c>
      <c r="H25" s="449">
        <f t="shared" si="8"/>
        <v>0</v>
      </c>
      <c r="I25" s="449">
        <f t="shared" si="9"/>
        <v>0</v>
      </c>
      <c r="J25" s="449">
        <f t="shared" si="10"/>
        <v>470.42671938513388</v>
      </c>
      <c r="K25" s="449">
        <f t="shared" si="11"/>
        <v>0</v>
      </c>
      <c r="L25" s="449">
        <f t="shared" si="12"/>
        <v>0</v>
      </c>
      <c r="M25" s="449">
        <f t="shared" si="13"/>
        <v>0</v>
      </c>
      <c r="N25" s="449">
        <f t="shared" si="14"/>
        <v>0</v>
      </c>
      <c r="O25" s="449">
        <f t="shared" si="15"/>
        <v>0</v>
      </c>
      <c r="P25" s="450">
        <f t="shared" si="16"/>
        <v>0</v>
      </c>
      <c r="Q25" s="448">
        <f t="shared" ca="1" si="17"/>
        <v>5769.0165699762865</v>
      </c>
    </row>
    <row r="26" spans="1:17">
      <c r="A26" s="448" t="s">
        <v>618</v>
      </c>
      <c r="B26" s="449">
        <f t="shared" ca="1" si="2"/>
        <v>224.98331745708805</v>
      </c>
      <c r="C26" s="449">
        <f t="shared" ca="1" si="3"/>
        <v>0</v>
      </c>
      <c r="D26" s="449">
        <f t="shared" si="4"/>
        <v>142.41112817929204</v>
      </c>
      <c r="E26" s="449">
        <f t="shared" si="5"/>
        <v>0.8620629688298207</v>
      </c>
      <c r="F26" s="449">
        <f t="shared" si="6"/>
        <v>104.30303276877565</v>
      </c>
      <c r="G26" s="449">
        <f t="shared" si="7"/>
        <v>0</v>
      </c>
      <c r="H26" s="449">
        <f t="shared" si="8"/>
        <v>0</v>
      </c>
      <c r="I26" s="449">
        <f t="shared" si="9"/>
        <v>0</v>
      </c>
      <c r="J26" s="449">
        <f t="shared" si="10"/>
        <v>6.2806584855622363E-2</v>
      </c>
      <c r="K26" s="449">
        <f t="shared" si="11"/>
        <v>0</v>
      </c>
      <c r="L26" s="449">
        <f t="shared" si="12"/>
        <v>0</v>
      </c>
      <c r="M26" s="449">
        <f t="shared" si="13"/>
        <v>0</v>
      </c>
      <c r="N26" s="449">
        <f t="shared" si="14"/>
        <v>0</v>
      </c>
      <c r="O26" s="449">
        <f t="shared" si="15"/>
        <v>0</v>
      </c>
      <c r="P26" s="450">
        <f t="shared" si="16"/>
        <v>0</v>
      </c>
      <c r="Q26" s="448">
        <f t="shared" ca="1" si="17"/>
        <v>472.6223479588412</v>
      </c>
    </row>
    <row r="27" spans="1:17" s="454" customFormat="1">
      <c r="A27" s="452" t="s">
        <v>544</v>
      </c>
      <c r="B27" s="771">
        <f t="shared" ca="1" si="2"/>
        <v>7.4811102730269026</v>
      </c>
      <c r="C27" s="453">
        <f t="shared" ca="1" si="3"/>
        <v>0</v>
      </c>
      <c r="D27" s="453">
        <f t="shared" si="4"/>
        <v>18.963776093973149</v>
      </c>
      <c r="E27" s="453">
        <f t="shared" si="5"/>
        <v>11.481815852727937</v>
      </c>
      <c r="F27" s="453">
        <f t="shared" si="6"/>
        <v>0</v>
      </c>
      <c r="G27" s="453">
        <f t="shared" si="7"/>
        <v>4639.1901869322</v>
      </c>
      <c r="H27" s="453">
        <f t="shared" si="8"/>
        <v>1411.3837465282679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6088.500635680196</v>
      </c>
    </row>
    <row r="28" spans="1:17" ht="16.5" customHeight="1">
      <c r="A28" s="448" t="s">
        <v>534</v>
      </c>
      <c r="B28" s="449">
        <f t="shared" ca="1" si="2"/>
        <v>2.0164568370099265</v>
      </c>
      <c r="C28" s="449">
        <f t="shared" ca="1" si="3"/>
        <v>0</v>
      </c>
      <c r="D28" s="449">
        <f t="shared" si="4"/>
        <v>0</v>
      </c>
      <c r="E28" s="449">
        <f t="shared" si="5"/>
        <v>0</v>
      </c>
      <c r="F28" s="449">
        <f t="shared" si="6"/>
        <v>0</v>
      </c>
      <c r="G28" s="449">
        <f t="shared" si="7"/>
        <v>232.68237077592391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234.69882761293385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23.595909875720857</v>
      </c>
      <c r="C32" s="449">
        <f t="shared" ca="1" si="3"/>
        <v>0</v>
      </c>
      <c r="D32" s="449">
        <f t="shared" si="4"/>
        <v>31.00543248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54.60134235572086</v>
      </c>
    </row>
    <row r="33" spans="1:17" s="460" customFormat="1">
      <c r="A33" s="458" t="s">
        <v>538</v>
      </c>
      <c r="B33" s="459">
        <f ca="1">SUM(B22:B32)</f>
        <v>4024.8028844453493</v>
      </c>
      <c r="C33" s="459">
        <f t="shared" ref="C33:Q33" ca="1" si="19">SUM(C22:C32)</f>
        <v>0</v>
      </c>
      <c r="D33" s="459">
        <f t="shared" ca="1" si="19"/>
        <v>3982.3446395643996</v>
      </c>
      <c r="E33" s="459">
        <f t="shared" si="19"/>
        <v>322.37154666569842</v>
      </c>
      <c r="F33" s="459">
        <f t="shared" ca="1" si="19"/>
        <v>11765.208402436932</v>
      </c>
      <c r="G33" s="459">
        <f t="shared" si="19"/>
        <v>4871.8725577081241</v>
      </c>
      <c r="H33" s="459">
        <f t="shared" si="19"/>
        <v>1411.3837465282679</v>
      </c>
      <c r="I33" s="459">
        <f t="shared" si="19"/>
        <v>0</v>
      </c>
      <c r="J33" s="459">
        <f t="shared" si="19"/>
        <v>516.81958418836359</v>
      </c>
      <c r="K33" s="459">
        <f t="shared" si="19"/>
        <v>0</v>
      </c>
      <c r="L33" s="459">
        <f t="shared" ca="1" si="19"/>
        <v>0</v>
      </c>
      <c r="M33" s="459">
        <f t="shared" si="19"/>
        <v>0</v>
      </c>
      <c r="N33" s="459">
        <f t="shared" ca="1" si="19"/>
        <v>0</v>
      </c>
      <c r="O33" s="459">
        <f t="shared" si="19"/>
        <v>0</v>
      </c>
      <c r="P33" s="459">
        <f t="shared" si="19"/>
        <v>0</v>
      </c>
      <c r="Q33" s="459">
        <f t="shared" ca="1" si="19"/>
        <v>26894.803361537135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6157.4815443617081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6157.4815443617081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0.165159015896293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0.165159015896293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0.165159015896293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0.165159015896293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2891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1321.29</v>
      </c>
      <c r="C14" s="326"/>
      <c r="D14" s="326"/>
      <c r="E14" s="326"/>
      <c r="F14" s="326"/>
    </row>
    <row r="15" spans="1:6">
      <c r="A15" s="1307" t="s">
        <v>183</v>
      </c>
      <c r="B15" s="1308">
        <v>1</v>
      </c>
      <c r="C15" s="326"/>
      <c r="D15" s="326"/>
      <c r="E15" s="326"/>
      <c r="F15" s="326"/>
    </row>
    <row r="16" spans="1:6">
      <c r="A16" s="1307" t="s">
        <v>6</v>
      </c>
      <c r="B16" s="1308">
        <v>52</v>
      </c>
      <c r="C16" s="326"/>
      <c r="D16" s="326"/>
      <c r="E16" s="326"/>
      <c r="F16" s="326"/>
    </row>
    <row r="17" spans="1:6">
      <c r="A17" s="1307" t="s">
        <v>7</v>
      </c>
      <c r="B17" s="1308">
        <v>207</v>
      </c>
      <c r="C17" s="326"/>
      <c r="D17" s="326"/>
      <c r="E17" s="326"/>
      <c r="F17" s="326"/>
    </row>
    <row r="18" spans="1:6">
      <c r="A18" s="1307" t="s">
        <v>8</v>
      </c>
      <c r="B18" s="1308">
        <v>273</v>
      </c>
      <c r="C18" s="326"/>
      <c r="D18" s="326"/>
      <c r="E18" s="326"/>
      <c r="F18" s="326"/>
    </row>
    <row r="19" spans="1:6">
      <c r="A19" s="1307" t="s">
        <v>9</v>
      </c>
      <c r="B19" s="1308">
        <v>240</v>
      </c>
      <c r="C19" s="326"/>
      <c r="D19" s="326"/>
      <c r="E19" s="326"/>
      <c r="F19" s="326"/>
    </row>
    <row r="20" spans="1:6">
      <c r="A20" s="1307" t="s">
        <v>10</v>
      </c>
      <c r="B20" s="1308">
        <v>215</v>
      </c>
      <c r="C20" s="326"/>
      <c r="D20" s="326"/>
      <c r="E20" s="326"/>
      <c r="F20" s="326"/>
    </row>
    <row r="21" spans="1:6">
      <c r="A21" s="1307" t="s">
        <v>11</v>
      </c>
      <c r="B21" s="1308">
        <v>1414</v>
      </c>
      <c r="C21" s="326"/>
      <c r="D21" s="326"/>
      <c r="E21" s="326"/>
      <c r="F21" s="326"/>
    </row>
    <row r="22" spans="1:6">
      <c r="A22" s="1307" t="s">
        <v>12</v>
      </c>
      <c r="B22" s="1308">
        <v>2450</v>
      </c>
      <c r="C22" s="326"/>
      <c r="D22" s="326"/>
      <c r="E22" s="326"/>
      <c r="F22" s="326"/>
    </row>
    <row r="23" spans="1:6">
      <c r="A23" s="1307" t="s">
        <v>13</v>
      </c>
      <c r="B23" s="1308">
        <v>35</v>
      </c>
      <c r="C23" s="326"/>
      <c r="D23" s="326"/>
      <c r="E23" s="326"/>
      <c r="F23" s="326"/>
    </row>
    <row r="24" spans="1:6">
      <c r="A24" s="1307" t="s">
        <v>14</v>
      </c>
      <c r="B24" s="1308">
        <v>2</v>
      </c>
      <c r="C24" s="326"/>
      <c r="D24" s="326"/>
      <c r="E24" s="326"/>
      <c r="F24" s="326"/>
    </row>
    <row r="25" spans="1:6">
      <c r="A25" s="1307" t="s">
        <v>15</v>
      </c>
      <c r="B25" s="1308">
        <v>312</v>
      </c>
      <c r="C25" s="326"/>
      <c r="D25" s="326"/>
      <c r="E25" s="326"/>
      <c r="F25" s="326"/>
    </row>
    <row r="26" spans="1:6">
      <c r="A26" s="1307" t="s">
        <v>16</v>
      </c>
      <c r="B26" s="1308">
        <v>20</v>
      </c>
      <c r="C26" s="326"/>
      <c r="D26" s="326"/>
      <c r="E26" s="326"/>
      <c r="F26" s="326"/>
    </row>
    <row r="27" spans="1:6">
      <c r="A27" s="1307" t="s">
        <v>17</v>
      </c>
      <c r="B27" s="1308">
        <v>0</v>
      </c>
      <c r="C27" s="326"/>
      <c r="D27" s="326"/>
      <c r="E27" s="326"/>
      <c r="F27" s="326"/>
    </row>
    <row r="28" spans="1:6" s="43" customFormat="1">
      <c r="A28" s="1309" t="s">
        <v>18</v>
      </c>
      <c r="B28" s="1310">
        <v>50818</v>
      </c>
      <c r="C28" s="332"/>
      <c r="D28" s="332"/>
      <c r="E28" s="332"/>
      <c r="F28" s="332"/>
    </row>
    <row r="29" spans="1:6">
      <c r="A29" s="1309" t="s">
        <v>688</v>
      </c>
      <c r="B29" s="1310">
        <v>19</v>
      </c>
      <c r="C29" s="332"/>
      <c r="D29" s="332"/>
      <c r="E29" s="332"/>
      <c r="F29" s="332"/>
    </row>
    <row r="30" spans="1:6">
      <c r="A30" s="1302" t="s">
        <v>689</v>
      </c>
      <c r="B30" s="1311">
        <v>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1048</v>
      </c>
      <c r="D39" s="1308">
        <v>17241145.552999999</v>
      </c>
      <c r="E39" s="1308">
        <v>2756</v>
      </c>
      <c r="F39" s="1308">
        <v>9342345.4579999894</v>
      </c>
    </row>
    <row r="40" spans="1:6">
      <c r="A40" s="1307" t="s">
        <v>29</v>
      </c>
      <c r="B40" s="1307" t="s">
        <v>28</v>
      </c>
      <c r="C40" s="1308">
        <v>0</v>
      </c>
      <c r="D40" s="1308">
        <v>0</v>
      </c>
      <c r="E40" s="1308">
        <v>0</v>
      </c>
      <c r="F40" s="1308">
        <v>0</v>
      </c>
    </row>
    <row r="41" spans="1:6">
      <c r="A41" s="1307" t="s">
        <v>31</v>
      </c>
      <c r="B41" s="1307" t="s">
        <v>32</v>
      </c>
      <c r="C41" s="1308">
        <v>16</v>
      </c>
      <c r="D41" s="1308">
        <v>396974.25599999999</v>
      </c>
      <c r="E41" s="1308">
        <v>50</v>
      </c>
      <c r="F41" s="1308">
        <v>600919.78599999996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383762.826</v>
      </c>
      <c r="E44" s="1308">
        <v>9</v>
      </c>
      <c r="F44" s="1308">
        <v>200115.80499999999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0</v>
      </c>
      <c r="F48" s="1308">
        <v>0</v>
      </c>
    </row>
    <row r="49" spans="1:6">
      <c r="A49" s="1307" t="s">
        <v>31</v>
      </c>
      <c r="B49" s="1307" t="s">
        <v>39</v>
      </c>
      <c r="C49" s="1308">
        <v>0</v>
      </c>
      <c r="D49" s="1308">
        <v>0</v>
      </c>
      <c r="E49" s="1308">
        <v>0</v>
      </c>
      <c r="F49" s="1308">
        <v>0</v>
      </c>
    </row>
    <row r="50" spans="1:6">
      <c r="A50" s="1307" t="s">
        <v>31</v>
      </c>
      <c r="B50" s="1307" t="s">
        <v>40</v>
      </c>
      <c r="C50" s="1308">
        <v>0</v>
      </c>
      <c r="D50" s="1308">
        <v>0</v>
      </c>
      <c r="E50" s="1308">
        <v>5</v>
      </c>
      <c r="F50" s="1308">
        <v>561186.848</v>
      </c>
    </row>
    <row r="51" spans="1:6">
      <c r="A51" s="1307" t="s">
        <v>41</v>
      </c>
      <c r="B51" s="1307" t="s">
        <v>42</v>
      </c>
      <c r="C51" s="1308">
        <v>7</v>
      </c>
      <c r="D51" s="1308">
        <v>188514.86900000001</v>
      </c>
      <c r="E51" s="1308">
        <v>83</v>
      </c>
      <c r="F51" s="1308">
        <v>5062339.2209999999</v>
      </c>
    </row>
    <row r="52" spans="1:6">
      <c r="A52" s="1307" t="s">
        <v>41</v>
      </c>
      <c r="B52" s="1307" t="s">
        <v>28</v>
      </c>
      <c r="C52" s="1308">
        <v>0</v>
      </c>
      <c r="D52" s="1308">
        <v>0</v>
      </c>
      <c r="E52" s="1308">
        <v>0</v>
      </c>
      <c r="F52" s="1308">
        <v>0</v>
      </c>
    </row>
    <row r="53" spans="1:6">
      <c r="A53" s="1307" t="s">
        <v>43</v>
      </c>
      <c r="B53" s="1307" t="s">
        <v>44</v>
      </c>
      <c r="C53" s="1308">
        <v>7</v>
      </c>
      <c r="D53" s="1308">
        <v>153492.24</v>
      </c>
      <c r="E53" s="1308">
        <v>35</v>
      </c>
      <c r="F53" s="1308">
        <v>142867.82800000001</v>
      </c>
    </row>
    <row r="54" spans="1:6">
      <c r="A54" s="1307" t="s">
        <v>45</v>
      </c>
      <c r="B54" s="1307" t="s">
        <v>46</v>
      </c>
      <c r="C54" s="1308">
        <v>0</v>
      </c>
      <c r="D54" s="1308">
        <v>0</v>
      </c>
      <c r="E54" s="1308">
        <v>3</v>
      </c>
      <c r="F54" s="1308">
        <v>514800.77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15</v>
      </c>
      <c r="D57" s="1308">
        <v>878880.43299999996</v>
      </c>
      <c r="E57" s="1308">
        <v>48</v>
      </c>
      <c r="F57" s="1308">
        <v>1328087.97</v>
      </c>
    </row>
    <row r="58" spans="1:6">
      <c r="A58" s="1307" t="s">
        <v>48</v>
      </c>
      <c r="B58" s="1307" t="s">
        <v>50</v>
      </c>
      <c r="C58" s="1308">
        <v>8</v>
      </c>
      <c r="D58" s="1308">
        <v>441397.511</v>
      </c>
      <c r="E58" s="1308">
        <v>12</v>
      </c>
      <c r="F58" s="1308">
        <v>372404.79599999997</v>
      </c>
    </row>
    <row r="59" spans="1:6">
      <c r="A59" s="1307" t="s">
        <v>48</v>
      </c>
      <c r="B59" s="1307" t="s">
        <v>51</v>
      </c>
      <c r="C59" s="1308">
        <v>14</v>
      </c>
      <c r="D59" s="1308">
        <v>370631.995</v>
      </c>
      <c r="E59" s="1308">
        <v>78</v>
      </c>
      <c r="F59" s="1308">
        <v>1763217.892</v>
      </c>
    </row>
    <row r="60" spans="1:6">
      <c r="A60" s="1307" t="s">
        <v>48</v>
      </c>
      <c r="B60" s="1307" t="s">
        <v>52</v>
      </c>
      <c r="C60" s="1308">
        <v>11</v>
      </c>
      <c r="D60" s="1308">
        <v>711039.73499999999</v>
      </c>
      <c r="E60" s="1308">
        <v>18</v>
      </c>
      <c r="F60" s="1308">
        <v>421710.19900000002</v>
      </c>
    </row>
    <row r="61" spans="1:6">
      <c r="A61" s="1307" t="s">
        <v>48</v>
      </c>
      <c r="B61" s="1307" t="s">
        <v>53</v>
      </c>
      <c r="C61" s="1308">
        <v>32</v>
      </c>
      <c r="D61" s="1308">
        <v>873486.95200000005</v>
      </c>
      <c r="E61" s="1308">
        <v>82</v>
      </c>
      <c r="F61" s="1308">
        <v>557354.77300000004</v>
      </c>
    </row>
    <row r="62" spans="1:6">
      <c r="A62" s="1307" t="s">
        <v>48</v>
      </c>
      <c r="B62" s="1307" t="s">
        <v>54</v>
      </c>
      <c r="C62" s="1308">
        <v>0</v>
      </c>
      <c r="D62" s="1308">
        <v>0</v>
      </c>
      <c r="E62" s="1308">
        <v>7</v>
      </c>
      <c r="F62" s="1308">
        <v>58245.497000000003</v>
      </c>
    </row>
    <row r="63" spans="1:6">
      <c r="A63" s="1307" t="s">
        <v>48</v>
      </c>
      <c r="B63" s="1307" t="s">
        <v>28</v>
      </c>
      <c r="C63" s="1308">
        <v>2</v>
      </c>
      <c r="D63" s="1308">
        <v>72532.540999999997</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8292.8269999999993</v>
      </c>
      <c r="E65" s="1308">
        <v>1</v>
      </c>
      <c r="F65" s="1308">
        <v>3089.7779999999998</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5</v>
      </c>
      <c r="F68" s="1311">
        <v>21256.276000000002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10264776</v>
      </c>
      <c r="E73" s="447"/>
      <c r="F73" s="326"/>
    </row>
    <row r="74" spans="1:6">
      <c r="A74" s="1307" t="s">
        <v>63</v>
      </c>
      <c r="B74" s="1307" t="s">
        <v>639</v>
      </c>
      <c r="C74" s="1321" t="s">
        <v>641</v>
      </c>
      <c r="D74" s="1322">
        <v>996475.68624162045</v>
      </c>
      <c r="E74" s="447"/>
      <c r="F74" s="326"/>
    </row>
    <row r="75" spans="1:6">
      <c r="A75" s="1307" t="s">
        <v>64</v>
      </c>
      <c r="B75" s="1307" t="s">
        <v>638</v>
      </c>
      <c r="C75" s="1321" t="s">
        <v>642</v>
      </c>
      <c r="D75" s="1322">
        <v>16876031</v>
      </c>
      <c r="E75" s="447"/>
      <c r="F75" s="326"/>
    </row>
    <row r="76" spans="1:6">
      <c r="A76" s="1307" t="s">
        <v>64</v>
      </c>
      <c r="B76" s="1307" t="s">
        <v>639</v>
      </c>
      <c r="C76" s="1321" t="s">
        <v>643</v>
      </c>
      <c r="D76" s="1322">
        <v>118318.6862416205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258064.62751675901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3386.1568662653376</v>
      </c>
      <c r="C91" s="326"/>
      <c r="D91" s="326"/>
      <c r="E91" s="326"/>
      <c r="F91" s="326"/>
    </row>
    <row r="92" spans="1:6">
      <c r="A92" s="1302" t="s">
        <v>68</v>
      </c>
      <c r="B92" s="1303">
        <v>2771.3246780963705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137</v>
      </c>
      <c r="C97" s="326"/>
      <c r="D97" s="326"/>
      <c r="E97" s="326"/>
      <c r="F97" s="326"/>
    </row>
    <row r="98" spans="1:6">
      <c r="A98" s="1307" t="s">
        <v>71</v>
      </c>
      <c r="B98" s="1308">
        <v>1</v>
      </c>
      <c r="C98" s="326"/>
      <c r="D98" s="326"/>
      <c r="E98" s="326"/>
      <c r="F98" s="326"/>
    </row>
    <row r="99" spans="1:6">
      <c r="A99" s="1307" t="s">
        <v>72</v>
      </c>
      <c r="B99" s="1308">
        <v>20</v>
      </c>
      <c r="C99" s="326"/>
      <c r="D99" s="326"/>
      <c r="E99" s="326"/>
      <c r="F99" s="326"/>
    </row>
    <row r="100" spans="1:6">
      <c r="A100" s="1307" t="s">
        <v>73</v>
      </c>
      <c r="B100" s="1308">
        <v>81</v>
      </c>
      <c r="C100" s="326"/>
      <c r="D100" s="326"/>
      <c r="E100" s="326"/>
      <c r="F100" s="326"/>
    </row>
    <row r="101" spans="1:6">
      <c r="A101" s="1307" t="s">
        <v>74</v>
      </c>
      <c r="B101" s="1308">
        <v>22</v>
      </c>
      <c r="C101" s="326"/>
      <c r="D101" s="326"/>
      <c r="E101" s="326"/>
      <c r="F101" s="326"/>
    </row>
    <row r="102" spans="1:6">
      <c r="A102" s="1307" t="s">
        <v>75</v>
      </c>
      <c r="B102" s="1308">
        <v>32</v>
      </c>
      <c r="C102" s="326"/>
      <c r="D102" s="326"/>
      <c r="E102" s="326"/>
      <c r="F102" s="326"/>
    </row>
    <row r="103" spans="1:6">
      <c r="A103" s="1307" t="s">
        <v>76</v>
      </c>
      <c r="B103" s="1308">
        <v>55</v>
      </c>
      <c r="C103" s="326"/>
      <c r="D103" s="326"/>
      <c r="E103" s="326"/>
      <c r="F103" s="326"/>
    </row>
    <row r="104" spans="1:6">
      <c r="A104" s="1307" t="s">
        <v>77</v>
      </c>
      <c r="B104" s="1308">
        <v>2087</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20</v>
      </c>
      <c r="C123" s="1308">
        <v>18</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76</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24369.259302032973</v>
      </c>
      <c r="C3" s="43" t="s">
        <v>169</v>
      </c>
      <c r="D3" s="43"/>
      <c r="E3" s="154"/>
      <c r="F3" s="43"/>
      <c r="G3" s="43"/>
      <c r="H3" s="43"/>
      <c r="I3" s="43"/>
      <c r="J3" s="43"/>
      <c r="K3" s="96"/>
    </row>
    <row r="4" spans="1:11">
      <c r="A4" s="354" t="s">
        <v>170</v>
      </c>
      <c r="B4" s="49">
        <f>IF(ISERROR('SEAP template'!B78+'SEAP template'!C78),0,'SEAP template'!B78+'SEAP template'!C78)</f>
        <v>6157.4815443617081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0.165159015896293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514.80077000000006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514.80077000000006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0.165159015896293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85.02398855585389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9342.3454579999889</v>
      </c>
      <c r="C5" s="17">
        <f>IF(ISERROR('Eigen informatie GS &amp; warmtenet'!B59),0,'Eigen informatie GS &amp; warmtenet'!B59)</f>
        <v>0</v>
      </c>
      <c r="D5" s="30">
        <f>(SUM(HH_hh_gas_kWh,HH_rest_gas_kWh)/1000)*0.903</f>
        <v>15568.754434359</v>
      </c>
      <c r="E5" s="17">
        <f>B32*B41</f>
        <v>1151.6191098033</v>
      </c>
      <c r="F5" s="17">
        <f>B36*B45</f>
        <v>26157.73896317558</v>
      </c>
      <c r="G5" s="18"/>
      <c r="H5" s="17"/>
      <c r="I5" s="17"/>
      <c r="J5" s="17">
        <f>B35*B44+C35*C44</f>
        <v>130.86275471549493</v>
      </c>
      <c r="K5" s="17"/>
      <c r="L5" s="17"/>
      <c r="M5" s="17"/>
      <c r="N5" s="17">
        <f>B34*B43+C34*C43</f>
        <v>4277.5113879442551</v>
      </c>
      <c r="O5" s="17">
        <f>B52*B53*B54</f>
        <v>190.45998906115506</v>
      </c>
      <c r="P5" s="17">
        <f>B60*B61*B62/1000-B60*B61*B62/1000/B63</f>
        <v>431.89233161508594</v>
      </c>
    </row>
    <row r="6" spans="1:16">
      <c r="A6" s="16" t="s">
        <v>604</v>
      </c>
      <c r="B6" s="779">
        <f>kWh_PV_kleiner_dan_10kW</f>
        <v>3386.1568662653376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12728.502324265326</v>
      </c>
      <c r="C8" s="21">
        <f>C5</f>
        <v>0</v>
      </c>
      <c r="D8" s="21">
        <f>D5</f>
        <v>15568.754434359</v>
      </c>
      <c r="E8" s="21">
        <f>E5</f>
        <v>1151.6191098033</v>
      </c>
      <c r="F8" s="21">
        <f>F5</f>
        <v>26157.73896317558</v>
      </c>
      <c r="G8" s="21"/>
      <c r="H8" s="21"/>
      <c r="I8" s="21"/>
      <c r="J8" s="21">
        <f>J5</f>
        <v>130.86275471549493</v>
      </c>
      <c r="K8" s="21"/>
      <c r="L8" s="21">
        <f>L5</f>
        <v>0</v>
      </c>
      <c r="M8" s="21">
        <f>M5</f>
        <v>0</v>
      </c>
      <c r="N8" s="21">
        <f>N5</f>
        <v>4277.5113879442551</v>
      </c>
      <c r="O8" s="21">
        <f>O5</f>
        <v>190.45998906115506</v>
      </c>
      <c r="P8" s="21">
        <f>P5</f>
        <v>431.89233161508594</v>
      </c>
    </row>
    <row r="9" spans="1:16">
      <c r="B9" s="19"/>
      <c r="C9" s="19"/>
      <c r="D9" s="254"/>
      <c r="E9" s="19"/>
      <c r="F9" s="19"/>
      <c r="G9" s="19"/>
      <c r="H9" s="19"/>
      <c r="I9" s="19"/>
      <c r="J9" s="19"/>
      <c r="K9" s="19"/>
      <c r="L9" s="19"/>
      <c r="M9" s="19"/>
      <c r="N9" s="19"/>
      <c r="O9" s="19"/>
      <c r="P9" s="19"/>
    </row>
    <row r="10" spans="1:16">
      <c r="A10" s="24" t="s">
        <v>213</v>
      </c>
      <c r="B10" s="25">
        <f ca="1">'EF ele_warmte'!B12</f>
        <v>0.165159015896293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2102.2269177093394</v>
      </c>
      <c r="C12" s="23">
        <f ca="1">C10*C8</f>
        <v>0</v>
      </c>
      <c r="D12" s="23">
        <f>D8*D10</f>
        <v>3144.8883957405183</v>
      </c>
      <c r="E12" s="23">
        <f>E10*E8</f>
        <v>261.41753792534911</v>
      </c>
      <c r="F12" s="23">
        <f>F10*F8</f>
        <v>6984.1163031678798</v>
      </c>
      <c r="G12" s="23"/>
      <c r="H12" s="23"/>
      <c r="I12" s="23"/>
      <c r="J12" s="23">
        <f>J10*J8</f>
        <v>46.325415169285201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2891</v>
      </c>
      <c r="C26" s="36"/>
      <c r="D26" s="225"/>
    </row>
    <row r="27" spans="1:5" s="15" customFormat="1">
      <c r="A27" s="227" t="s">
        <v>817</v>
      </c>
      <c r="B27" s="37">
        <f>SUM(HH_hh_gas_aantal,HH_rest_gas_aantal)</f>
        <v>1048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995.6</v>
      </c>
      <c r="C31" s="34" t="s">
        <v>110</v>
      </c>
      <c r="D31" s="171"/>
    </row>
    <row r="32" spans="1:5">
      <c r="A32" s="168" t="s">
        <v>72</v>
      </c>
      <c r="B32" s="33">
        <f>IF((B21*($B$26-($B$27-0.05*$B$27)-$B$60))&lt;0,0,B21*($B$26-($B$27-0.05*$B$27)-$B$60))</f>
        <v>28.541736160125982</v>
      </c>
      <c r="C32" s="34" t="s">
        <v>110</v>
      </c>
      <c r="D32" s="171"/>
    </row>
    <row r="33" spans="1:6">
      <c r="A33" s="168" t="s">
        <v>73</v>
      </c>
      <c r="B33" s="33">
        <f>IF((B22*($B$26-($B$27-0.05*$B$27)-$B$60))&lt;0,0,B22*($B$26-($B$27-0.05*$B$27)-$B$60))</f>
        <v>463.46126771154104</v>
      </c>
      <c r="C33" s="34" t="s">
        <v>110</v>
      </c>
      <c r="D33" s="171"/>
    </row>
    <row r="34" spans="1:6">
      <c r="A34" s="168" t="s">
        <v>74</v>
      </c>
      <c r="B34" s="33">
        <f>IF((B24*($B$26-($B$27-0.05*$B$27)-$B$60))&lt;0,0,B24*($B$26-($B$27-0.05*$B$27)-$B$60))</f>
        <v>88.775156153404708</v>
      </c>
      <c r="C34" s="33">
        <f>B26*C24</f>
        <v>592.00134528080957</v>
      </c>
      <c r="D34" s="230"/>
    </row>
    <row r="35" spans="1:6">
      <c r="A35" s="168" t="s">
        <v>76</v>
      </c>
      <c r="B35" s="33">
        <f>IF((B19*($B$26-($B$27-0.05*$B$27)-$B$60))&lt;0,0,B19*($B$26-($B$27-0.05*$B$27)-$B$60))</f>
        <v>12.407024663445265</v>
      </c>
      <c r="C35" s="33">
        <f>B35/2</f>
        <v>6.2035123317226324</v>
      </c>
      <c r="D35" s="230"/>
    </row>
    <row r="36" spans="1:6">
      <c r="A36" s="168" t="s">
        <v>77</v>
      </c>
      <c r="B36" s="33">
        <f>IF((B18*($B$26-($B$27-0.05*$B$27)-$B$60))&lt;0,0,B18*($B$26-($B$27-0.05*$B$27)-$B$60))</f>
        <v>1261.2148153114827</v>
      </c>
      <c r="C36" s="34" t="s">
        <v>110</v>
      </c>
      <c r="D36" s="171"/>
    </row>
    <row r="37" spans="1:6">
      <c r="A37" s="168" t="s">
        <v>78</v>
      </c>
      <c r="B37" s="33">
        <f>B60</f>
        <v>41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4501.021127</v>
      </c>
      <c r="C5" s="17">
        <f>IF(ISERROR('Eigen informatie GS &amp; warmtenet'!B60),0,'Eigen informatie GS &amp; warmtenet'!B60)</f>
        <v>0</v>
      </c>
      <c r="D5" s="30">
        <f>SUM(D6:D12)</f>
        <v>3023.216157801</v>
      </c>
      <c r="E5" s="17">
        <f>SUM(E6:E12)</f>
        <v>25.35142735031193</v>
      </c>
      <c r="F5" s="17">
        <f>SUM(F6:F12)</f>
        <v>1091.8793216770616</v>
      </c>
      <c r="G5" s="18"/>
      <c r="H5" s="17"/>
      <c r="I5" s="17"/>
      <c r="J5" s="17">
        <f>SUM(J6:J12)</f>
        <v>1.3115957878135973E-2</v>
      </c>
      <c r="K5" s="17"/>
      <c r="L5" s="17"/>
      <c r="M5" s="17"/>
      <c r="N5" s="17">
        <f>SUM(N6:N12)</f>
        <v>477.96499897662517</v>
      </c>
      <c r="O5" s="17">
        <f>B38*B39*B40</f>
        <v>4.8972607658411542</v>
      </c>
      <c r="P5" s="17">
        <f>B46*B47*B48/1000-B46*B47*B48/1000/B49</f>
        <v>0</v>
      </c>
      <c r="R5" s="32"/>
    </row>
    <row r="6" spans="1:18">
      <c r="A6" s="32" t="s">
        <v>53</v>
      </c>
      <c r="B6" s="37">
        <f>B26</f>
        <v>557.35477300000002</v>
      </c>
      <c r="C6" s="33"/>
      <c r="D6" s="37">
        <f>IF(ISERROR(TER_kantoor_gas_kWh/1000),0,TER_kantoor_gas_kWh/1000)*0.903</f>
        <v>788.75871765600004</v>
      </c>
      <c r="E6" s="33">
        <f>$C$26*'E Balans VL '!I12/100/3.6*1000000</f>
        <v>0.13352895550017765</v>
      </c>
      <c r="F6" s="33">
        <f>$C$26*('E Balans VL '!L12+'E Balans VL '!N12)/100/3.6*1000000</f>
        <v>52.853298492921148</v>
      </c>
      <c r="G6" s="34"/>
      <c r="H6" s="33"/>
      <c r="I6" s="33"/>
      <c r="J6" s="33">
        <f>$C$26*('E Balans VL '!D12+'E Balans VL '!E12)/100/3.6*1000000</f>
        <v>0</v>
      </c>
      <c r="K6" s="33"/>
      <c r="L6" s="33"/>
      <c r="M6" s="33"/>
      <c r="N6" s="33">
        <f>$C$26*'E Balans VL '!Y12/100/3.6*1000000</f>
        <v>0.28310739623525455</v>
      </c>
      <c r="O6" s="33"/>
      <c r="P6" s="33"/>
      <c r="R6" s="32"/>
    </row>
    <row r="7" spans="1:18">
      <c r="A7" s="32" t="s">
        <v>52</v>
      </c>
      <c r="B7" s="37">
        <f t="shared" ref="B7:B12" si="0">B27</f>
        <v>421.71019900000005</v>
      </c>
      <c r="C7" s="33"/>
      <c r="D7" s="37">
        <f>IF(ISERROR(TER_horeca_gas_kWh/1000),0,TER_horeca_gas_kWh/1000)*0.903</f>
        <v>642.06888070499997</v>
      </c>
      <c r="E7" s="33">
        <f>$C$27*'E Balans VL '!I9/100/3.6*1000000</f>
        <v>0</v>
      </c>
      <c r="F7" s="33">
        <f>$C$27*('E Balans VL '!L9+'E Balans VL '!N9)/100/3.6*1000000</f>
        <v>34.579245008348209</v>
      </c>
      <c r="G7" s="34"/>
      <c r="H7" s="33"/>
      <c r="I7" s="33"/>
      <c r="J7" s="33">
        <f>$C$27*('E Balans VL '!D9+'E Balans VL '!E9)/100/3.6*1000000</f>
        <v>0</v>
      </c>
      <c r="K7" s="33"/>
      <c r="L7" s="33"/>
      <c r="M7" s="33"/>
      <c r="N7" s="33">
        <f>$C$27*'E Balans VL '!Y9/100/3.6*1000000</f>
        <v>0.12927111906679789</v>
      </c>
      <c r="O7" s="33"/>
      <c r="P7" s="33"/>
      <c r="R7" s="32"/>
    </row>
    <row r="8" spans="1:18">
      <c r="A8" s="6" t="s">
        <v>51</v>
      </c>
      <c r="B8" s="37">
        <f t="shared" si="0"/>
        <v>1763.2178919999999</v>
      </c>
      <c r="C8" s="33"/>
      <c r="D8" s="37">
        <f>IF(ISERROR(TER_handel_gas_kWh/1000),0,TER_handel_gas_kWh/1000)*0.903</f>
        <v>334.68069148500001</v>
      </c>
      <c r="E8" s="33">
        <f>$C$28*'E Balans VL '!I13/100/3.6*1000000</f>
        <v>6.1967471981710194</v>
      </c>
      <c r="F8" s="33">
        <f>$C$28*('E Balans VL '!L13+'E Balans VL '!N13)/100/3.6*1000000</f>
        <v>161.33127067417865</v>
      </c>
      <c r="G8" s="34"/>
      <c r="H8" s="33"/>
      <c r="I8" s="33"/>
      <c r="J8" s="33">
        <f>$C$28*('E Balans VL '!D13+'E Balans VL '!E13)/100/3.6*1000000</f>
        <v>0</v>
      </c>
      <c r="K8" s="33"/>
      <c r="L8" s="33"/>
      <c r="M8" s="33"/>
      <c r="N8" s="33">
        <f>$C$28*'E Balans VL '!Y13/100/3.6*1000000</f>
        <v>0.63856161111126875</v>
      </c>
      <c r="O8" s="33"/>
      <c r="P8" s="33"/>
      <c r="R8" s="32"/>
    </row>
    <row r="9" spans="1:18">
      <c r="A9" s="32" t="s">
        <v>50</v>
      </c>
      <c r="B9" s="37">
        <f t="shared" si="0"/>
        <v>372.40479599999998</v>
      </c>
      <c r="C9" s="33"/>
      <c r="D9" s="37">
        <f>IF(ISERROR(TER_gezond_gas_kWh/1000),0,TER_gezond_gas_kWh/1000)*0.903</f>
        <v>398.58195243300003</v>
      </c>
      <c r="E9" s="33">
        <f>$C$29*'E Balans VL '!I10/100/3.6*1000000</f>
        <v>0</v>
      </c>
      <c r="F9" s="33">
        <f>$C$29*('E Balans VL '!L10+'E Balans VL '!N10)/100/3.6*1000000</f>
        <v>45.649989539591914</v>
      </c>
      <c r="G9" s="34"/>
      <c r="H9" s="33"/>
      <c r="I9" s="33"/>
      <c r="J9" s="33">
        <f>$C$29*('E Balans VL '!D10+'E Balans VL '!E10)/100/3.6*1000000</f>
        <v>0</v>
      </c>
      <c r="K9" s="33"/>
      <c r="L9" s="33"/>
      <c r="M9" s="33"/>
      <c r="N9" s="33">
        <f>$C$29*'E Balans VL '!Y10/100/3.6*1000000</f>
        <v>2.7462258584172079</v>
      </c>
      <c r="O9" s="33"/>
      <c r="P9" s="33"/>
      <c r="R9" s="32"/>
    </row>
    <row r="10" spans="1:18">
      <c r="A10" s="32" t="s">
        <v>49</v>
      </c>
      <c r="B10" s="37">
        <f t="shared" si="0"/>
        <v>1328.08797</v>
      </c>
      <c r="C10" s="33"/>
      <c r="D10" s="37">
        <f>IF(ISERROR(TER_ander_gas_kWh/1000),0,TER_ander_gas_kWh/1000)*0.903</f>
        <v>793.62903099899995</v>
      </c>
      <c r="E10" s="33">
        <f>$C$30*'E Balans VL '!I14/100/3.6*1000000</f>
        <v>19.021151196640734</v>
      </c>
      <c r="F10" s="33">
        <f>$C$30*('E Balans VL '!L14+'E Balans VL '!N14)/100/3.6*1000000</f>
        <v>790.65592575130029</v>
      </c>
      <c r="G10" s="34"/>
      <c r="H10" s="33"/>
      <c r="I10" s="33"/>
      <c r="J10" s="33">
        <f>$C$30*('E Balans VL '!D14+'E Balans VL '!E14)/100/3.6*1000000</f>
        <v>1.3115957878135973E-2</v>
      </c>
      <c r="K10" s="33"/>
      <c r="L10" s="33"/>
      <c r="M10" s="33"/>
      <c r="N10" s="33">
        <f>$C$30*'E Balans VL '!Y14/100/3.6*1000000</f>
        <v>474.00382036064394</v>
      </c>
      <c r="O10" s="33"/>
      <c r="P10" s="33"/>
      <c r="R10" s="32"/>
    </row>
    <row r="11" spans="1:18">
      <c r="A11" s="32" t="s">
        <v>54</v>
      </c>
      <c r="B11" s="37">
        <f t="shared" si="0"/>
        <v>58.245497</v>
      </c>
      <c r="C11" s="33"/>
      <c r="D11" s="37">
        <f>IF(ISERROR(TER_onderwijs_gas_kWh/1000),0,TER_onderwijs_gas_kWh/1000)*0.903</f>
        <v>0</v>
      </c>
      <c r="E11" s="33">
        <f>$C$31*'E Balans VL '!I11/100/3.6*1000000</f>
        <v>0</v>
      </c>
      <c r="F11" s="33">
        <f>$C$31*('E Balans VL '!L11+'E Balans VL '!N11)/100/3.6*1000000</f>
        <v>6.8095922107213376</v>
      </c>
      <c r="G11" s="34"/>
      <c r="H11" s="33"/>
      <c r="I11" s="33"/>
      <c r="J11" s="33">
        <f>$C$31*('E Balans VL '!D11+'E Balans VL '!E11)/100/3.6*1000000</f>
        <v>0</v>
      </c>
      <c r="K11" s="33"/>
      <c r="L11" s="33"/>
      <c r="M11" s="33"/>
      <c r="N11" s="33">
        <f>$C$31*'E Balans VL '!Y11/100/3.6*1000000</f>
        <v>0.16401263115067782</v>
      </c>
      <c r="O11" s="33"/>
      <c r="P11" s="33"/>
      <c r="R11" s="32"/>
    </row>
    <row r="12" spans="1:18">
      <c r="A12" s="32" t="s">
        <v>255</v>
      </c>
      <c r="B12" s="37">
        <f t="shared" si="0"/>
        <v>0</v>
      </c>
      <c r="C12" s="33"/>
      <c r="D12" s="37">
        <f>IF(ISERROR(TER_rest_gas_kWh/1000),0,TER_rest_gas_kWh/1000)*0.903</f>
        <v>65.496884522999991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4501.021127</v>
      </c>
      <c r="C16" s="21">
        <f t="shared" ca="1" si="1"/>
        <v>0</v>
      </c>
      <c r="D16" s="21">
        <f t="shared" ca="1" si="1"/>
        <v>3023.216157801</v>
      </c>
      <c r="E16" s="21">
        <f t="shared" si="1"/>
        <v>25.35142735031193</v>
      </c>
      <c r="F16" s="21">
        <f t="shared" ca="1" si="1"/>
        <v>1091.8793216770616</v>
      </c>
      <c r="G16" s="21">
        <f t="shared" si="1"/>
        <v>0</v>
      </c>
      <c r="H16" s="21">
        <f t="shared" si="1"/>
        <v>0</v>
      </c>
      <c r="I16" s="21">
        <f t="shared" si="1"/>
        <v>0</v>
      </c>
      <c r="J16" s="21">
        <f t="shared" si="1"/>
        <v>1.3115957878135973E-2</v>
      </c>
      <c r="K16" s="21">
        <f t="shared" si="1"/>
        <v>0</v>
      </c>
      <c r="L16" s="21">
        <f t="shared" ca="1" si="1"/>
        <v>0</v>
      </c>
      <c r="M16" s="21">
        <f t="shared" si="1"/>
        <v>0</v>
      </c>
      <c r="N16" s="21">
        <f t="shared" ca="1" si="1"/>
        <v>477.96499897662517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0.165159015896293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743.38421986374362</v>
      </c>
      <c r="C20" s="23">
        <f t="shared" ref="C20:P20" ca="1" si="2">C16*C18</f>
        <v>0</v>
      </c>
      <c r="D20" s="23">
        <f t="shared" ca="1" si="2"/>
        <v>610.68966387580201</v>
      </c>
      <c r="E20" s="23">
        <f t="shared" si="2"/>
        <v>5.7547740085208083</v>
      </c>
      <c r="F20" s="23">
        <f t="shared" ca="1" si="2"/>
        <v>291.53177888777549</v>
      </c>
      <c r="G20" s="23">
        <f t="shared" si="2"/>
        <v>0</v>
      </c>
      <c r="H20" s="23">
        <f t="shared" si="2"/>
        <v>0</v>
      </c>
      <c r="I20" s="23">
        <f t="shared" si="2"/>
        <v>0</v>
      </c>
      <c r="J20" s="23">
        <f t="shared" si="2"/>
        <v>4.6430490888601343E-3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557.35477300000002</v>
      </c>
      <c r="C26" s="39">
        <f>IF(ISERROR(B26*3.6/1000000/'E Balans VL '!Z12*100),0,B26*3.6/1000000/'E Balans VL '!Z12*100)</f>
        <v>1.5718880548766523E-2</v>
      </c>
      <c r="D26" s="233" t="s">
        <v>691</v>
      </c>
      <c r="F26" s="6"/>
    </row>
    <row r="27" spans="1:18">
      <c r="A27" s="228" t="s">
        <v>52</v>
      </c>
      <c r="B27" s="33">
        <f>IF(ISERROR(TER_horeca_ele_kWh/1000),0,TER_horeca_ele_kWh/1000)</f>
        <v>421.71019900000005</v>
      </c>
      <c r="C27" s="39">
        <f>IF(ISERROR(B27*3.6/1000000/'E Balans VL '!Z9*100),0,B27*3.6/1000000/'E Balans VL '!Z9*100)</f>
        <v>3.1264630682170558E-2</v>
      </c>
      <c r="D27" s="233" t="s">
        <v>691</v>
      </c>
      <c r="F27" s="6"/>
    </row>
    <row r="28" spans="1:18">
      <c r="A28" s="168" t="s">
        <v>51</v>
      </c>
      <c r="B28" s="33">
        <f>IF(ISERROR(TER_handel_ele_kWh/1000),0,TER_handel_ele_kWh/1000)</f>
        <v>1763.2178919999999</v>
      </c>
      <c r="C28" s="39">
        <f>IF(ISERROR(B28*3.6/1000000/'E Balans VL '!Z13*100),0,B28*3.6/1000000/'E Balans VL '!Z13*100)</f>
        <v>5.2821815837262365E-2</v>
      </c>
      <c r="D28" s="233" t="s">
        <v>691</v>
      </c>
      <c r="F28" s="6"/>
    </row>
    <row r="29" spans="1:18">
      <c r="A29" s="228" t="s">
        <v>50</v>
      </c>
      <c r="B29" s="33">
        <f>IF(ISERROR(TER_gezond_ele_kWh/1000),0,TER_gezond_ele_kWh/1000)</f>
        <v>372.40479599999998</v>
      </c>
      <c r="C29" s="39">
        <f>IF(ISERROR(B29*3.6/1000000/'E Balans VL '!Z10*100),0,B29*3.6/1000000/'E Balans VL '!Z10*100)</f>
        <v>3.682353219183665E-2</v>
      </c>
      <c r="D29" s="233" t="s">
        <v>691</v>
      </c>
      <c r="F29" s="6"/>
    </row>
    <row r="30" spans="1:18">
      <c r="A30" s="228" t="s">
        <v>49</v>
      </c>
      <c r="B30" s="33">
        <f>IF(ISERROR(TER_ander_ele_kWh/1000),0,TER_ander_ele_kWh/1000)</f>
        <v>1328.08797</v>
      </c>
      <c r="C30" s="39">
        <f>IF(ISERROR(B30*3.6/1000000/'E Balans VL '!Z14*100),0,B30*3.6/1000000/'E Balans VL '!Z14*100)</f>
        <v>5.3717233630591013E-2</v>
      </c>
      <c r="D30" s="233" t="s">
        <v>691</v>
      </c>
      <c r="F30" s="6"/>
    </row>
    <row r="31" spans="1:18">
      <c r="A31" s="228" t="s">
        <v>54</v>
      </c>
      <c r="B31" s="33">
        <f>IF(ISERROR(TER_onderwijs_ele_kWh/1000),0,TER_onderwijs_ele_kWh/1000)</f>
        <v>58.245497</v>
      </c>
      <c r="C31" s="39">
        <f>IF(ISERROR(B31*3.6/1000000/'E Balans VL '!Z11*100),0,B31*3.6/1000000/'E Balans VL '!Z11*100)</f>
        <v>1.6002585371512175E-2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1362.2224390000001</v>
      </c>
      <c r="C5" s="17">
        <f>IF(ISERROR('Eigen informatie GS &amp; warmtenet'!B61),0,'Eigen informatie GS &amp; warmtenet'!B61)</f>
        <v>0</v>
      </c>
      <c r="D5" s="30">
        <f>SUM(D6:D15)</f>
        <v>705.00558504600008</v>
      </c>
      <c r="E5" s="17">
        <f>SUM(E6:E15)</f>
        <v>3.797634223919915</v>
      </c>
      <c r="F5" s="17">
        <f>SUM(F6:F15)</f>
        <v>390.64806280440314</v>
      </c>
      <c r="G5" s="18"/>
      <c r="H5" s="17"/>
      <c r="I5" s="17"/>
      <c r="J5" s="17">
        <f>SUM(J6:J15)</f>
        <v>0.17741973123057164</v>
      </c>
      <c r="K5" s="17"/>
      <c r="L5" s="17"/>
      <c r="M5" s="17"/>
      <c r="N5" s="17">
        <f>SUM(N6:N15)</f>
        <v>45.582006240121736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200.11580499999999</v>
      </c>
      <c r="C8" s="33"/>
      <c r="D8" s="37">
        <f>IF( ISERROR(IND_metaal_Gas_kWH/1000),0,IND_metaal_Gas_kWH/1000)*0.903</f>
        <v>346.53783187800002</v>
      </c>
      <c r="E8" s="33">
        <f>C30*'E Balans VL '!I18/100/3.6*1000000</f>
        <v>1.00901880488074</v>
      </c>
      <c r="F8" s="33">
        <f>C30*'E Balans VL '!L18/100/3.6*1000000+C30*'E Balans VL '!N18/100/3.6*1000000</f>
        <v>13.672320724447291</v>
      </c>
      <c r="G8" s="34"/>
      <c r="H8" s="33"/>
      <c r="I8" s="33"/>
      <c r="J8" s="40">
        <f>C30*'E Balans VL '!D18/100/3.6*1000000+C30*'E Balans VL '!E18/100/3.6*1000000</f>
        <v>0.17741973123057164</v>
      </c>
      <c r="K8" s="33"/>
      <c r="L8" s="33"/>
      <c r="M8" s="33"/>
      <c r="N8" s="33">
        <f>C30*'E Balans VL '!Y18/100/3.6*1000000</f>
        <v>2.6595402360427061</v>
      </c>
      <c r="O8" s="33"/>
      <c r="P8" s="33"/>
      <c r="R8" s="32"/>
    </row>
    <row r="9" spans="1:18">
      <c r="A9" s="6" t="s">
        <v>32</v>
      </c>
      <c r="B9" s="37">
        <f t="shared" si="0"/>
        <v>600.91978599999993</v>
      </c>
      <c r="C9" s="33"/>
      <c r="D9" s="37">
        <f>IF( ISERROR(IND_andere_gas_kWh/1000),0,IND_andere_gas_kWh/1000)*0.903</f>
        <v>358.467753168</v>
      </c>
      <c r="E9" s="33">
        <f>C31*'E Balans VL '!I19/100/3.6*1000000</f>
        <v>1.8942411888405766</v>
      </c>
      <c r="F9" s="33">
        <f>C31*'E Balans VL '!L19/100/3.6*1000000+C31*'E Balans VL '!N19/100/3.6*1000000</f>
        <v>367.85781907734275</v>
      </c>
      <c r="G9" s="34"/>
      <c r="H9" s="33"/>
      <c r="I9" s="33"/>
      <c r="J9" s="40">
        <f>C31*'E Balans VL '!D19/100/3.6*1000000+C31*'E Balans VL '!E19/100/3.6*1000000</f>
        <v>0</v>
      </c>
      <c r="K9" s="33"/>
      <c r="L9" s="33"/>
      <c r="M9" s="33"/>
      <c r="N9" s="33">
        <f>C31*'E Balans VL '!Y19/100/3.6*1000000</f>
        <v>25.197382568402734</v>
      </c>
      <c r="O9" s="33"/>
      <c r="P9" s="33"/>
      <c r="R9" s="32"/>
    </row>
    <row r="10" spans="1:18">
      <c r="A10" s="6" t="s">
        <v>40</v>
      </c>
      <c r="B10" s="37">
        <f t="shared" si="0"/>
        <v>561.18684800000005</v>
      </c>
      <c r="C10" s="33"/>
      <c r="D10" s="37">
        <f>IF( ISERROR(IND_voed_gas_kWh/1000),0,IND_voed_gas_kWh/1000)*0.903</f>
        <v>0</v>
      </c>
      <c r="E10" s="33">
        <f>C32*'E Balans VL '!I20/100/3.6*1000000</f>
        <v>0.8943742301985983</v>
      </c>
      <c r="F10" s="33">
        <f>C32*'E Balans VL '!L20/100/3.6*1000000+C32*'E Balans VL '!N20/100/3.6*1000000</f>
        <v>9.117923002613102</v>
      </c>
      <c r="G10" s="34"/>
      <c r="H10" s="33"/>
      <c r="I10" s="33"/>
      <c r="J10" s="40">
        <f>C32*'E Balans VL '!D20/100/3.6*1000000+C32*'E Balans VL '!E20/100/3.6*1000000</f>
        <v>0</v>
      </c>
      <c r="K10" s="33"/>
      <c r="L10" s="33"/>
      <c r="M10" s="33"/>
      <c r="N10" s="33">
        <f>C32*'E Balans VL '!Y20/100/3.6*1000000</f>
        <v>17.725083435676297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1362.2224390000001</v>
      </c>
      <c r="C18" s="21">
        <f>C5+C16</f>
        <v>0</v>
      </c>
      <c r="D18" s="21">
        <f>MAX((D5+D16),0)</f>
        <v>705.00558504600008</v>
      </c>
      <c r="E18" s="21">
        <f>MAX((E5+E16),0)</f>
        <v>3.797634223919915</v>
      </c>
      <c r="F18" s="21">
        <f>MAX((F5+F16),0)</f>
        <v>390.64806280440314</v>
      </c>
      <c r="G18" s="21"/>
      <c r="H18" s="21"/>
      <c r="I18" s="21"/>
      <c r="J18" s="21">
        <f>MAX((J5+J16),0)</f>
        <v>0.17741973123057164</v>
      </c>
      <c r="K18" s="21"/>
      <c r="L18" s="21">
        <f>MAX((L5+L16),0)</f>
        <v>0</v>
      </c>
      <c r="M18" s="21"/>
      <c r="N18" s="21">
        <f>MAX((N5+N16),0)</f>
        <v>45.582006240121736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0.165159015896293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224.98331745708805</v>
      </c>
      <c r="C22" s="23">
        <f ca="1">C18*C20</f>
        <v>0</v>
      </c>
      <c r="D22" s="23">
        <f>D18*D20</f>
        <v>142.41112817929204</v>
      </c>
      <c r="E22" s="23">
        <f>E18*E20</f>
        <v>0.8620629688298207</v>
      </c>
      <c r="F22" s="23">
        <f>F18*F20</f>
        <v>104.30303276877565</v>
      </c>
      <c r="G22" s="23"/>
      <c r="H22" s="23"/>
      <c r="I22" s="23"/>
      <c r="J22" s="23">
        <f>J18*J20</f>
        <v>6.2806584855622363E-2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200.11580499999999</v>
      </c>
      <c r="C30" s="39">
        <f>IF(ISERROR(B30*3.6/1000000/'E Balans VL '!Z18*100),0,B30*3.6/1000000/'E Balans VL '!Z18*100)</f>
        <v>9.9332975494565486E-3</v>
      </c>
      <c r="D30" s="233" t="s">
        <v>691</v>
      </c>
    </row>
    <row r="31" spans="1:18">
      <c r="A31" s="6" t="s">
        <v>32</v>
      </c>
      <c r="B31" s="37">
        <f>IF( ISERROR(IND_ander_ele_kWh/1000),0,IND_ander_ele_kWh/1000)</f>
        <v>600.91978599999993</v>
      </c>
      <c r="C31" s="39">
        <f>IF(ISERROR(B31*3.6/1000000/'E Balans VL '!Z19*100),0,B31*3.6/1000000/'E Balans VL '!Z19*100)</f>
        <v>2.0277963473984566E-2</v>
      </c>
      <c r="D31" s="233" t="s">
        <v>691</v>
      </c>
    </row>
    <row r="32" spans="1:18">
      <c r="A32" s="168" t="s">
        <v>40</v>
      </c>
      <c r="B32" s="37">
        <f>IF( ISERROR(IND_voed_ele_kWh/1000),0,IND_voed_ele_kWh/1000)</f>
        <v>561.18684800000005</v>
      </c>
      <c r="C32" s="39">
        <f>IF(ISERROR(B32*3.6/1000000/'E Balans VL '!Z20*100),0,B32*3.6/1000000/'E Balans VL '!Z20*100)</f>
        <v>1.3179087634970974E-2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5062.3392210000002</v>
      </c>
      <c r="C5" s="17">
        <f>'Eigen informatie GS &amp; warmtenet'!B62</f>
        <v>0</v>
      </c>
      <c r="D5" s="30">
        <f>IF(ISERROR(SUM(LB_lb_gas_kWh,LB_rest_gas_kWh)/1000),0,SUM(LB_lb_gas_kWh,LB_rest_gas_kWh)/1000)*0.903</f>
        <v>170.228926707</v>
      </c>
      <c r="E5" s="17">
        <f>B17*'E Balans VL '!I25/3.6*1000000/100</f>
        <v>188.79011414216163</v>
      </c>
      <c r="F5" s="17">
        <f>B17*('E Balans VL '!L25/3.6*1000000+'E Balans VL '!N25/3.6*1000000)/100</f>
        <v>16424.184597799631</v>
      </c>
      <c r="G5" s="18"/>
      <c r="H5" s="17"/>
      <c r="I5" s="17"/>
      <c r="J5" s="17">
        <f>('E Balans VL '!D25+'E Balans VL '!E25)/3.6*1000000*landbouw!B17/100</f>
        <v>1328.8890378111128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5062.3392210000002</v>
      </c>
      <c r="C8" s="21">
        <f>C5+C6</f>
        <v>0</v>
      </c>
      <c r="D8" s="21">
        <f>MAX((D5+D6),0)</f>
        <v>170.228926707</v>
      </c>
      <c r="E8" s="21">
        <f>MAX((E5+E6),0)</f>
        <v>188.79011414216163</v>
      </c>
      <c r="F8" s="21">
        <f>MAX((F5+F6),0)</f>
        <v>16424.184597799631</v>
      </c>
      <c r="G8" s="21"/>
      <c r="H8" s="21"/>
      <c r="I8" s="21"/>
      <c r="J8" s="21">
        <f>MAX((J5+J6),0)</f>
        <v>1328.8890378111128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0.165159015896293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836.09096387356658</v>
      </c>
      <c r="C12" s="23">
        <f ca="1">C8*C10</f>
        <v>0</v>
      </c>
      <c r="D12" s="23">
        <f>D8*D10</f>
        <v>34.386243194814</v>
      </c>
      <c r="E12" s="23">
        <f>E8*E10</f>
        <v>42.855355910270688</v>
      </c>
      <c r="F12" s="23">
        <f>F8*F10</f>
        <v>4385.2572876125014</v>
      </c>
      <c r="G12" s="23"/>
      <c r="H12" s="23"/>
      <c r="I12" s="23"/>
      <c r="J12" s="23">
        <f>J8*J10</f>
        <v>470.42671938513388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0.69529908173723809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57.166468212609409</v>
      </c>
      <c r="C26" s="243">
        <f>B26*'GWP N2O_CH4'!B5</f>
        <v>1200.4958324647976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23.765206399869513</v>
      </c>
      <c r="C27" s="243">
        <f>B27*'GWP N2O_CH4'!B5</f>
        <v>499.06933439725975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1.0561947958811537</v>
      </c>
      <c r="C28" s="243">
        <f>B28*'GWP N2O_CH4'!B4</f>
        <v>327.42038672315766</v>
      </c>
      <c r="D28" s="50"/>
    </row>
    <row r="29" spans="1:4">
      <c r="A29" s="41" t="s">
        <v>272</v>
      </c>
      <c r="B29" s="243">
        <f>B34*'ha_N2O bodem landbouw'!B4</f>
        <v>8.577404884476417</v>
      </c>
      <c r="C29" s="243">
        <f>B29*'GWP N2O_CH4'!B4</f>
        <v>2658.9955141876894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1.9548150686269114E-3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1.6306707106930236E-4</v>
      </c>
      <c r="C5" s="434" t="s">
        <v>210</v>
      </c>
      <c r="D5" s="419">
        <f>SUM(D6:D11)</f>
        <v>3.3796828682328383E-4</v>
      </c>
      <c r="E5" s="419">
        <f>SUM(E6:E11)</f>
        <v>1.8209047167321837E-4</v>
      </c>
      <c r="F5" s="432" t="s">
        <v>210</v>
      </c>
      <c r="G5" s="419">
        <f>SUM(G6:G11)</f>
        <v>6.2550878924928541E-2</v>
      </c>
      <c r="H5" s="419">
        <f>SUM(H6:H11)</f>
        <v>2.0405548142577369E-2</v>
      </c>
      <c r="I5" s="434" t="s">
        <v>210</v>
      </c>
      <c r="J5" s="434" t="s">
        <v>210</v>
      </c>
      <c r="K5" s="434" t="s">
        <v>210</v>
      </c>
      <c r="L5" s="434" t="s">
        <v>210</v>
      </c>
      <c r="M5" s="419">
        <f>SUM(M6:M11)</f>
        <v>4.9402341987176916E-3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5.1234036327349133E-5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8.9028646206051196E-5</v>
      </c>
      <c r="E6" s="885">
        <f>vkm_GW_PW*SUMIFS(TableVerdeelsleutelVkm[LPG],TableVerdeelsleutelVkm[Voertuigtype],"Lichte voertuigen")*SUMIFS(TableECFTransport[EnergieConsumptieFactor (PJ per km)],TableECFTransport[Index],CONCATENATE($A6,"_LPG_LPG"))</f>
        <v>4.9505734903557071E-5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1.487694403622666E-2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5.4241835296782405E-3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1.2146666411812597E-3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2.3066617307234069E-7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9.5466957313947061E-3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9.7120127281397417E-8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5.3749368784843186E-4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1.115749799241451E-4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2.4893964061723265E-4</v>
      </c>
      <c r="E8" s="422">
        <f>vkm_NGW_PW*SUMIFS(TableVerdeelsleutelVkm[LPG],TableVerdeelsleutelVkm[Voertuigtype],"Lichte voertuigen")*SUMIFS(TableECFTransport[EnergieConsumptieFactor (PJ per km)],TableECFTransport[Index],CONCATENATE($A8,"_LPG_LPG"))</f>
        <v>1.325847367696613E-4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3.6667494085455575E-2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1.4981253573634461E-2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3.1058880363775375E-3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2.7388644735767239E-8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1.4597450718516014E-3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1.3919137385157615E-8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8.218583331046268E-5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45.296408630361768</v>
      </c>
      <c r="C14" s="21"/>
      <c r="D14" s="21">
        <f t="shared" ref="D14:M14" si="0">((D5)*10^9/3600)+D12</f>
        <v>93.880079673134389</v>
      </c>
      <c r="E14" s="21">
        <f t="shared" si="0"/>
        <v>50.580686575893992</v>
      </c>
      <c r="F14" s="21"/>
      <c r="G14" s="21">
        <f t="shared" si="0"/>
        <v>17375.244145813482</v>
      </c>
      <c r="H14" s="21">
        <f t="shared" si="0"/>
        <v>5668.2078173826021</v>
      </c>
      <c r="I14" s="21"/>
      <c r="J14" s="21"/>
      <c r="K14" s="21"/>
      <c r="L14" s="21"/>
      <c r="M14" s="21">
        <f t="shared" si="0"/>
        <v>1372.2872774215812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0.165159015896293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7.4811102730269026</v>
      </c>
      <c r="C18" s="23"/>
      <c r="D18" s="23">
        <f t="shared" ref="D18:M18" si="1">D14*D16</f>
        <v>18.963776093973149</v>
      </c>
      <c r="E18" s="23">
        <f t="shared" si="1"/>
        <v>11.481815852727937</v>
      </c>
      <c r="F18" s="23"/>
      <c r="G18" s="23">
        <f t="shared" si="1"/>
        <v>4639.1901869322</v>
      </c>
      <c r="H18" s="23">
        <f t="shared" si="1"/>
        <v>1411.3837465282679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4.3953062894210853E-5</v>
      </c>
      <c r="C50" s="315">
        <f t="shared" ref="C50:P50" si="2">SUM(C51:C52)</f>
        <v>0</v>
      </c>
      <c r="D50" s="315">
        <f t="shared" si="2"/>
        <v>0</v>
      </c>
      <c r="E50" s="315">
        <f t="shared" si="2"/>
        <v>0</v>
      </c>
      <c r="F50" s="315">
        <f t="shared" si="2"/>
        <v>0</v>
      </c>
      <c r="G50" s="315">
        <f t="shared" si="2"/>
        <v>3.1372903924843675E-3</v>
      </c>
      <c r="H50" s="315">
        <f t="shared" si="2"/>
        <v>0</v>
      </c>
      <c r="I50" s="315">
        <f t="shared" si="2"/>
        <v>0</v>
      </c>
      <c r="J50" s="315">
        <f t="shared" si="2"/>
        <v>0</v>
      </c>
      <c r="K50" s="315">
        <f t="shared" si="2"/>
        <v>0</v>
      </c>
      <c r="L50" s="315">
        <f t="shared" si="2"/>
        <v>0</v>
      </c>
      <c r="M50" s="315">
        <f t="shared" si="2"/>
        <v>1.7323676396434297E-4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4.3953062894210853E-5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3.1372903924843675E-3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1.7323676396434297E-4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12.209184137280792</v>
      </c>
      <c r="C54" s="21">
        <f t="shared" ref="C54:P54" si="3">(C50)*10^9/3600</f>
        <v>0</v>
      </c>
      <c r="D54" s="21">
        <f t="shared" si="3"/>
        <v>0</v>
      </c>
      <c r="E54" s="21">
        <f t="shared" si="3"/>
        <v>0</v>
      </c>
      <c r="F54" s="21">
        <f t="shared" si="3"/>
        <v>0</v>
      </c>
      <c r="G54" s="21">
        <f t="shared" si="3"/>
        <v>871.46955346787979</v>
      </c>
      <c r="H54" s="21">
        <f t="shared" si="3"/>
        <v>0</v>
      </c>
      <c r="I54" s="21">
        <f t="shared" si="3"/>
        <v>0</v>
      </c>
      <c r="J54" s="21">
        <f t="shared" si="3"/>
        <v>0</v>
      </c>
      <c r="K54" s="21">
        <f t="shared" si="3"/>
        <v>0</v>
      </c>
      <c r="L54" s="21">
        <f t="shared" si="3"/>
        <v>0</v>
      </c>
      <c r="M54" s="21">
        <f t="shared" si="3"/>
        <v>48.121323323428605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0.165159015896293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2.0164568370099265</v>
      </c>
      <c r="C58" s="23">
        <f t="shared" ref="C58:P58" ca="1" si="4">C54*C56</f>
        <v>0</v>
      </c>
      <c r="D58" s="23">
        <f t="shared" si="4"/>
        <v>0</v>
      </c>
      <c r="E58" s="23">
        <f t="shared" si="4"/>
        <v>0</v>
      </c>
      <c r="F58" s="23">
        <f t="shared" si="4"/>
        <v>0</v>
      </c>
      <c r="G58" s="23">
        <f t="shared" si="4"/>
        <v>232.68237077592391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6157.4815443617081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6157.4815443617081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2021-06-29T14:36:53Z</dcterms:modified>
</cp:coreProperties>
</file>