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2" i="13"/>
  <c r="B35" i="13"/>
  <c r="B33"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<sst xmlns="http://schemas.openxmlformats.org/spreadsheetml/2006/main" count="2448" uniqueCount="883">
  <si>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</si>
  <si>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</si>
  <si>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</si>
  <si>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</si>
  <si>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</si>
  <si>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</si>
  <si>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</si>
  <si>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</si>
  <si>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</si>
  <si>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</si>
  <si>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</si>
  <si>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</si>
  <si>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</si>
  <si>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</si>
  <si>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</si>
  <si>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</si>
  <si>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</si>
  <si>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</si>
  <si>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</si>
  <si>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</si>
  <si>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</si>
  <si>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</si>
  <si>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</si>
  <si>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</si>
  <si>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</si>
  <si>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</si>
  <si>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</si>
  <si>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</si>
  <si>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</si>
  <si>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</si>
  <si>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</si>
  <si>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</si>
  <si>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</si>
  <si>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</si>
  <si>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</si>
  <si>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</si>
  <si>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</si>
  <si>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</si>
  <si>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</si>
  <si>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</si>
  <si>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</si>
  <si>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</si>
  <si>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</si>
  <si>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</si>
  <si>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</si>
  <si>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</si>
  <si>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</si>
  <si>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</si>
  <si>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</si>
  <si>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</si>
  <si>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</si>
  <si>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</si>
  <si>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</si>
  <si>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</si>
  <si>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</si>
  <si>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</si>
  <si>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</si>
  <si>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</si>
  <si>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</si>
  <si>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</si>
  <si>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</si>
  <si>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</si>
  <si>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</si>
  <si>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</si>
  <si>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</si>
  <si>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</si>
  <si>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</si>
  <si>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</si>
  <si>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</si>
  <si>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</si>
  <si>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</si>
  <si>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</si>
  <si>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</si>
  <si>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</si>
  <si>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</si>
  <si>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</si>
  <si>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</si>
  <si>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</si>
  <si>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</si>
  <si>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</si>
  <si>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</si>
  <si>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</si>
  <si>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</si>
  <si>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</si>
  <si>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</si>
  <si>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</si>
  <si>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</si>
  <si>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</si>
  <si>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</si>
  <si>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</si>
  <si>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</si>
  <si>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</si>
  <si>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</si>
  <si>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</si>
  <si>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</si>
  <si>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</si>
  <si>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</si>
  <si>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</si>
  <si>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</si>
  <si>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</si>
  <si>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</si>
  <si>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</si>
  <si>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</si>
  <si>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</si>
  <si>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</si>
  <si>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</si>
  <si>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</si>
  <si>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</si>
  <si>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</si>
  <si>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</si>
  <si>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</si>
  <si>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</si>
  <si>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</si>
  <si>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</si>
  <si>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</si>
  <si>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</si>
  <si>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</si>
  <si>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</si>
  <si>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</si>
  <si>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</si>
  <si>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</si>
  <si>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</si>
  <si>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</si>
  <si>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</si>
  <si>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</si>
  <si>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</si>
  <si>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</si>
  <si>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</si>
  <si>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</si>
  <si>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</si>
  <si>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</si>
  <si>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</si>
  <si>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</si>
  <si>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</si>
  <si>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</si>
  <si>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</si>
  <si>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</si>
  <si>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</si>
  <si>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</si>
  <si>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</si>
  <si>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</si>
  <si>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</si>
  <si>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</si>
  <si>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</si>
  <si>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</si>
  <si>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</si>
  <si>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</si>
  <si>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</si>
  <si>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</si>
  <si>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</si>
  <si>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</si>
  <si>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</si>
  <si>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</si>
  <si>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</si>
  <si>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</si>
  <si>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</si>
  <si>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</si>
  <si>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</si>
  <si>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</si>
  <si>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</si>
  <si>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</si>
  <si>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</si>
  <si>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</si>
  <si>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</si>
  <si>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</si>
  <si>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</si>
  <si>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</si>
  <si>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</si>
  <si>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</si>
  <si>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</si>
  <si>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</si>
  <si>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</si>
  <si>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</si>
  <si>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</si>
  <si>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</si>
  <si>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</si>
  <si>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</si>
  <si>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</si>
  <si>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</si>
  <si>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</si>
  <si>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</si>
  <si>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</si>
  <si>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</si>
  <si>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</si>
  <si>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</si>
  <si>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</si>
  <si>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</si>
  <si>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</si>
  <si>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</si>
  <si>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</si>
  <si>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</si>
  <si>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</si>
  <si>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</si>
  <si>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</si>
  <si>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</si>
  <si>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</si>
  <si>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</si>
  <si>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</si>
  <si>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</si>
  <si>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</si>
  <si>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</si>
  <si>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</si>
  <si>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</si>
  <si>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</si>
  <si>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</si>
  <si>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</si>
  <si>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</si>
  <si>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</si>
  <si>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</si>
  <si>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</si>
  <si>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</si>
  <si>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</si>
  <si>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</si>
  <si>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</si>
  <si>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</si>
  <si>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</si>
  <si>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</si>
  <si>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</si>
  <si>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</si>
  <si>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</si>
  <si>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</si>
  <si>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</si>
  <si>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</si>
  <si>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</si>
  <si>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</si>
  <si>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</si>
  <si>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</si>
  <si>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</si>
  <si>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</si>
  <si>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</si>
  <si>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</si>
  <si>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</si>
  <si>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</si>
  <si>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</si>
  <si>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</si>
  <si>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</si>
  <si>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</si>
  <si>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</si>
  <si>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</si>
  <si>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</si>
  <si>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</si>
  <si>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</si>
  <si>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</si>
  <si>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</si>
  <si>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</si>
  <si>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</si>
  <si>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</si>
  <si>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</si>
  <si>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</si>
  <si>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</si>
  <si>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</si>
  <si>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</si>
  <si>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</si>
  <si>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</si>
  <si>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</si>
  <si>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</si>
  <si>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</si>
  <si>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</si>
  <si>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</si>
  <si>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</si>
  <si>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</si>
  <si>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</si>
  <si>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</si>
  <si>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</si>
  <si>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</si>
  <si>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</si>
  <si>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</si>
  <si>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</si>
  <si>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</si>
  <si>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</si>
  <si>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</si>
  <si>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</si>
  <si>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</si>
  <si>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</si>
  <si>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</si>
  <si>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</si>
  <si>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</si>
  <si>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</si>
  <si>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</si>
  <si>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</si>
  <si>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</si>
  <si>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</si>
  <si>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</si>
  <si>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</si>
  <si>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</si>
  <si>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</si>
  <si>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</si>
  <si>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</si>
  <si>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</si>
  <si>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</si>
  <si>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</si>
  <si>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</si>
  <si>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</si>
  <si>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</si>
  <si>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</si>
  <si>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</si>
  <si>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</si>
  <si>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</si>
  <si>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</si>
  <si>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</si>
  <si>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</si>
  <si>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</si>
  <si>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</si>
  <si>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</si>
  <si>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</si>
  <si>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</si>
  <si>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</si>
  <si>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</si>
  <si>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</si>
  <si>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</si>
  <si>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</si>
  <si>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</si>
  <si>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</si>
  <si>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</si>
  <si>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</si>
  <si>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</si>
  <si>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</si>
  <si>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</si>
  <si>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</si>
  <si>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</si>
  <si>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</si>
  <si>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</si>
  <si>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</si>
  <si>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</si>
  <si>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</si>
  <si>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</si>
  <si>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</si>
  <si>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</si>
  <si>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</si>
  <si>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</si>
  <si>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</si>
  <si>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</si>
  <si>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</si>
  <si>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</si>
  <si>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</si>
  <si>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</si>
  <si>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</si>
  <si>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</si>
  <si>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</si>
  <si>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</si>
  <si>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</si>
  <si>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</si>
  <si>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</si>
  <si>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</si>
  <si>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</si>
  <si>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</si>
  <si>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</si>
  <si>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</si>
  <si>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</si>
  <si>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</si>
  <si>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</si>
  <si>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</si>
  <si>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</si>
  <si>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</si>
  <si>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</si>
  <si>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</si>
  <si>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</si>
  <si>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</si>
  <si>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</si>
  <si>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</si>
  <si>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</si>
  <si>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</si>
  <si>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</si>
  <si>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</si>
  <si>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</si>
  <si>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</si>
  <si>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</si>
  <si>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</si>
  <si>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</si>
  <si>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</si>
  <si>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</si>
  <si>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</si>
  <si>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</si>
  <si>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</si>
  <si>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</si>
  <si>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</si>
  <si>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</si>
  <si>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</si>
  <si>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</si>
  <si>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</si>
  <si>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</si>
  <si>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</si>
  <si>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</si>
  <si>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</si>
  <si>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</si>
  <si>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</si>
  <si>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</si>
  <si>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</si>
  <si>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</si>
  <si>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</si>
  <si>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</si>
  <si>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</si>
  <si>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</si>
  <si>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</si>
  <si>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</si>
  <si>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</si>
  <si>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</si>
  <si>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</si>
  <si>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</si>
  <si>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</si>
  <si>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</si>
  <si>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</si>
  <si>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</si>
  <si>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</si>
  <si>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</si>
  <si>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</si>
  <si>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</si>
  <si>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</si>
  <si>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</si>
  <si>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</si>
  <si>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</si>
  <si>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</si>
  <si>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</si>
  <si>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</si>
  <si>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</si>
  <si>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</si>
  <si>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</si>
  <si>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</si>
  <si>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</si>
  <si>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</si>
  <si>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</si>
  <si>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</si>
  <si>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</si>
  <si>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</si>
  <si>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</si>
  <si>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</si>
  <si>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</si>
  <si>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</si>
  <si>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</si>
  <si>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</si>
  <si>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</si>
  <si>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</si>
  <si>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</si>
  <si>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</si>
  <si>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</si>
  <si>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</si>
  <si>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</si>
  <si>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</si>
  <si>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</si>
  <si>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</si>
  <si>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</si>
  <si>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</si>
  <si>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</si>
  <si>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</si>
  <si>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</si>
  <si>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</si>
  <si>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</si>
  <si>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</si>
  <si>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</si>
  <si>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</si>
  <si>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</si>
  <si>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</si>
  <si>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</si>
  <si>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</si>
  <si>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</si>
  <si>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</si>
  <si>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</si>
  <si>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</si>
  <si>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</si>
  <si>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</si>
  <si>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</si>
  <si>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</si>
  <si>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</si>
  <si>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</si>
  <si>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</si>
  <si>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</si>
  <si>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</si>
  <si>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</si>
  <si>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</si>
  <si>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</si>
  <si>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</si>
  <si>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</si>
  <si>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</si>
  <si>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</si>
  <si>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</si>
  <si>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</si>
  <si>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</si>
  <si>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</si>
  <si>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</si>
  <si>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</si>
  <si>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</si>
  <si>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</si>
  <si>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</si>
  <si>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</si>
  <si>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</si>
  <si>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</si>
  <si>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</si>
  <si>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</si>
  <si>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</si>
  <si>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</si>
  <si>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</si>
  <si>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</si>
  <si>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</si>
  <si>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</si>
  <si>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</si>
  <si>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</si>
  <si>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</si>
  <si>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</si>
  <si>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</si>
  <si>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</si>
  <si>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</si>
  <si>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</si>
  <si>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</si>
  <si>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</si>
  <si>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</si>
  <si>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</si>
  <si>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</si>
  <si>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</si>
  <si>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</si>
  <si>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</si>
  <si>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</si>
  <si>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</si>
  <si>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</si>
  <si>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</si>
  <si>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</si>
  <si>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</si>
  <si>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</si>
  <si>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</si>
  <si>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</si>
  <si>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</si>
  <si>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</si>
  <si>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</si>
  <si>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</si>
  <si>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</si>
  <si>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</si>
  <si>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</si>
  <si>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</si>
  <si>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</si>
  <si>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</si>
  <si>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</si>
  <si>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</si>
  <si>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</si>
  <si>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</si>
  <si>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</si>
  <si>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</si>
  <si>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</si>
  <si>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</si>
  <si>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</si>
  <si>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</si>
  <si>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</si>
  <si>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</si>
  <si>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</si>
  <si>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</si>
  <si>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</si>
  <si>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</si>
  <si>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</si>
  <si>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</si>
  <si>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</si>
  <si>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</si>
  <si>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</si>
  <si>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</si>
  <si>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</si>
  <si>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</si>
  <si>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</si>
  <si>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</si>
  <si>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</si>
  <si>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</si>
  <si>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</si>
  <si>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</si>
  <si>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</si>
  <si>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</si>
  <si>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</si>
  <si>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</si>
  <si>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</si>
  <si>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</si>
  <si>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</si>
  <si>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</si>
  <si>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</si>
  <si>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</si>
  <si>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</si>
  <si>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</si>
  <si>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</si>
  <si>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</si>
  <si>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</si>
  <si>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</si>
  <si>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</si>
  <si>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</si>
  <si>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</si>
  <si>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</si>
  <si>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</si>
  <si>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</si>
  <si>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</si>
  <si>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</si>
  <si>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</si>
  <si>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</si>
  <si>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</si>
  <si>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</si>
  <si>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</si>
  <si>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</si>
  <si>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</si>
  <si>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</si>
  <si>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</si>
  <si>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</si>
  <si>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</si>
  <si>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</si>
  <si>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</si>
  <si>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</si>
  <si>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</si>
  <si>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</si>
  <si>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</si>
  <si>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</si>
  <si>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</si>
  <si>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</si>
  <si>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</si>
  <si>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</si>
  <si>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</si>
  <si>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</si>
  <si>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</si>
  <si>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</si>
  <si>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</si>
  <si>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</si>
  <si>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</si>
  <si>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</si>
  <si>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</si>
  <si>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</si>
  <si>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</si>
  <si>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</si>
  <si>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</si>
  <si>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</si>
  <si>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</si>
  <si>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</si>
  <si>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</si>
  <si>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</si>
  <si>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</si>
  <si>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</si>
  <si>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</si>
  <si>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</si>
  <si>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</si>
  <si>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</si>
  <si>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</si>
  <si>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</si>
  <si>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</si>
  <si>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</si>
  <si>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</si>
  <si>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</si>
  <si>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</si>
  <si>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</si>
  <si>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</si>
  <si>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</si>
  <si>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</si>
  <si>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</si>
  <si>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</si>
  <si>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</si>
  <si>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</si>
  <si>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</si>
  <si>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</si>
  <si>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</si>
  <si>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</si>
  <si>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</si>
  <si>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</si>
  <si>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</si>
  <si>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</si>
  <si>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</si>
  <si>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</si>
  <si>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</si>
  <si>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</si>
  <si>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</si>
  <si>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</si>
  <si>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</si>
  <si>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</si>
  <si>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</si>
  <si>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</si>
  <si>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</si>
  <si>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</si>
  <si>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</si>
  <si>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</si>
  <si>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</si>
  <si>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</si>
  <si>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</si>
  <si>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</si>
  <si>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</si>
  <si>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</si>
  <si>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</si>
  <si>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</si>
  <si>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</si>
  <si>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</si>
  <si>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</si>
  <si>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</si>
  <si>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</si>
  <si>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</si>
  <si>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</si>
  <si>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</si>
  <si>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</si>
  <si>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</si>
  <si>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</si>
  <si>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</si>
  <si>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</si>
  <si>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</si>
  <si>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</si>
  <si>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</si>
  <si>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</si>
  <si>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</si>
  <si>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</si>
  <si>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</si>
  <si>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</si>
  <si>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</si>
  <si>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</si>
  <si>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</si>
  <si>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</si>
  <si>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</si>
  <si>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</si>
  <si>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</si>
  <si>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</si>
  <si>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</si>
  <si>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</si>
  <si>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</si>
  <si>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</si>
  <si>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</si>
  <si>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</si>
  <si>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</si>
  <si>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</si>
  <si>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</si>
  <si>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</si>
  <si>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</si>
  <si>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</si>
  <si>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</si>
  <si>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</si>
  <si>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</si>
  <si>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</si>
  <si>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</si>
  <si>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</si>
  <si>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</si>
  <si>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</si>
  <si>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</si>
  <si>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</si>
  <si>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</si>
  <si>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</si>
  <si>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</si>
  <si>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</si>
  <si>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</si>
  <si>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</si>
  <si>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</si>
  <si>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</si>
  <si>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</si>
  <si>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</si>
  <si>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</si>
  <si>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</si>
  <si>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</si>
  <si>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</si>
  <si>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</si>
  <si>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</si>
  <si>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</si>
  <si>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</si>
  <si>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</si>
  <si>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</si>
  <si>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</si>
  <si>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</si>
  <si>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</si>
  <si>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</si>
  <si>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</si>
  <si>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</si>
  <si>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</si>
  <si>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</si>
  <si>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</si>
  <si>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</si>
  <si>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</si>
  <si>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</si>
  <si>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</si>
  <si>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</si>
  <si>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</si>
  <si>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</si>
  <si>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</si>
  <si>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</si>
  <si>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</si>
  <si>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</si>
  <si>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</si>
  <si>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</si>
  <si>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</si>
  <si>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</si>
  <si>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</si>
  <si>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</si>
  <si>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</si>
  <si>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</si>
  <si>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</si>
  <si>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</si>
  <si>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</si>
  <si>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</si>
  <si>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</si>
  <si>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</si>
  <si>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</si>
  <si>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</si>
  <si>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</si>
  <si>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</si>
  <si>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</si>
  <si>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</si>
  <si>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</si>
  <si>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</si>
  <si>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</si>
  <si>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</si>
  <si>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</si>
  <si>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</si>
  <si>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</si>
  <si>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</si>
  <si>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</si>
  <si>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</si>
  <si>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</si>
  <si>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</si>
  <si>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</si>
  <si>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</si>
  <si>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</si>
  <si>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</si>
  <si>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</si>
  <si>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</si>
  <si>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</si>
  <si>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</si>
  <si>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</si>
  <si>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</si>
  <si>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</si>
  <si>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</si>
  <si>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</si>
  <si>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</si>
  <si>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</si>
  <si>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</si>
  <si>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</si>
  <si>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</si>
  <si>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</si>
  <si>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</si>
  <si>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</si>
  <si>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</si>
  <si>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</si>
  <si>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</si>
  <si>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</si>
  <si>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</si>
  <si>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</si>
  <si>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</si>
  <si>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</si>
  <si>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</si>
  <si>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</si>
  <si>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</si>
  <si>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</si>
  <si>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</si>
  <si>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</si>
  <si>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</si>
  <si>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</si>
  <si>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</si>
  <si>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</si>
  <si>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</si>
  <si>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</si>
  <si>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</si>
  <si>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</si>
  <si>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</si>
  <si>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</si>
  <si>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</si>
  <si>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</si>
  <si>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</si>
  <si>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</si>
  <si>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</si>
  <si>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</si>
  <si>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</si>
  <si>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</si>
  <si>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</si>
  <si>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</si>
  <si>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</si>
  <si>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</si>
  <si>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</si>
  <si>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</si>
  <si>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</si>
  <si>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</si>
  <si>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</si>
  <si>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</si>
  <si>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</si>
  <si>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</si>
  <si>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</si>
  <si>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</si>
  <si>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</si>
  <si>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</si>
  <si>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</si>
  <si>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</si>
  <si>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</si>
  <si>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</si>
  <si>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</si>
  <si>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</si>
  <si>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</si>
  <si>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</si>
  <si>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</si>
  <si>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</si>
  <si>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</si>
  <si>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</si>
  <si>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</si>
  <si>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45064</t>
  </si>
  <si>
    <t>MAARKEDAL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</si>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</sst>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51410.447905390414</c:v>
                </c:pt>
                <c:pt idx="1">
                  <c:v>10539.193455138371</c:v>
                </c:pt>
                <c:pt idx="2">
                  <c:v>415.47199999999998</c:v>
                </c:pt>
                <c:pt idx="3">
                  <c:v>7718.8829585456979</c:v>
                </c:pt>
                <c:pt idx="4">
                  <c:v>1584.7383467984023</c:v>
                </c:pt>
                <c:pt idx="5">
                  <c:v>51973.819707062168</c:v>
                </c:pt>
                <c:pt idx="6">
                  <c:v>744.24245757051938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51410.447905390414</c:v>
                </c:pt>
                <c:pt idx="1">
                  <c:v>10539.193455138371</c:v>
                </c:pt>
                <c:pt idx="2">
                  <c:v>415.47199999999998</c:v>
                </c:pt>
                <c:pt idx="3">
                  <c:v>7718.8829585456979</c:v>
                </c:pt>
                <c:pt idx="4">
                  <c:v>1584.7383467984023</c:v>
                </c:pt>
                <c:pt idx="5">
                  <c:v>51973.819707062168</c:v>
                </c:pt>
                <c:pt idx="6">
                  <c:v>744.24245757051938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11221.35943244159</c:v>
                </c:pt>
                <c:pt idx="1">
                  <c:v>2109.9191856272118</c:v>
                </c:pt>
                <c:pt idx="2">
                  <c:v>82.383179387484986</c:v>
                </c:pt>
                <c:pt idx="3">
                  <c:v>1979.8988127646342</c:v>
                </c:pt>
                <c:pt idx="4">
                  <c:v>329.27387164823142</c:v>
                </c:pt>
                <c:pt idx="5">
                  <c:v>12926.494312156308</c:v>
                </c:pt>
                <c:pt idx="6">
                  <c:v>187.78048066912405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11221.35943244159</c:v>
                </c:pt>
                <c:pt idx="1">
                  <c:v>2109.9191856272118</c:v>
                </c:pt>
                <c:pt idx="2">
                  <c:v>82.383179387484986</c:v>
                </c:pt>
                <c:pt idx="3">
                  <c:v>1979.8988127646342</c:v>
                </c:pt>
                <c:pt idx="4">
                  <c:v>329.27387164823142</c:v>
                </c:pt>
                <c:pt idx="5">
                  <c:v>12926.494312156308</c:v>
                </c:pt>
                <c:pt idx="6">
                  <c:v>187.78048066912405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45064</v>
      </c>
      <c r="B6" s="386"/>
      <c r="C6" s="387"/>
    </row>
    <row r="7" spans="1:7" s="384" customFormat="1" ht="15.75" customHeight="1">
      <c r="A7" s="388" t="str">
        <f>txtMunicipality</f>
        <v>MAARKEDAL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5343.6313298529585</v>
      </c>
      <c r="D10" s="682">
        <f ca="1">tertiair!C16</f>
        <v>0</v>
      </c>
      <c r="E10" s="682">
        <f ca="1">tertiair!D16</f>
        <v>4632.0432452446057</v>
      </c>
      <c r="F10" s="682">
        <f>tertiair!E16</f>
        <v>11.511021791493679</v>
      </c>
      <c r="G10" s="682">
        <f ca="1">tertiair!F16</f>
        <v>728.22507886626397</v>
      </c>
      <c r="H10" s="682">
        <f>tertiair!G16</f>
        <v>0</v>
      </c>
      <c r="I10" s="682">
        <f>tertiair!H16</f>
        <v>0</v>
      </c>
      <c r="J10" s="682">
        <f>tertiair!I16</f>
        <v>0</v>
      </c>
      <c r="K10" s="682">
        <f>tertiair!J16</f>
        <v>4.7875818224415037E-3</v>
      </c>
      <c r="L10" s="682">
        <f>tertiair!K16</f>
        <v>0</v>
      </c>
      <c r="M10" s="682">
        <f ca="1">tertiair!L16</f>
        <v>0</v>
      </c>
      <c r="N10" s="682">
        <f>tertiair!M16</f>
        <v>0</v>
      </c>
      <c r="O10" s="682">
        <f ca="1">tertiair!N16</f>
        <v>181.81359272889196</v>
      </c>
      <c r="P10" s="682">
        <f>tertiair!O16</f>
        <v>4.8972607658411542</v>
      </c>
      <c r="Q10" s="683">
        <f>tertiair!P16</f>
        <v>52.539138306495019</v>
      </c>
      <c r="R10" s="685">
        <f ca="1">SUM(C10:Q10)</f>
        <v>10954.665455138371</v>
      </c>
      <c r="S10" s="67"/>
    </row>
    <row r="11" spans="1:19" s="445" customFormat="1">
      <c r="A11" s="803" t="s">
        <v>220</v>
      </c>
      <c r="B11" s="808"/>
      <c r="C11" s="682">
        <f>huishoudens!B8</f>
        <v>11547.809184650483</v>
      </c>
      <c r="D11" s="682">
        <f>huishoudens!C8</f>
        <v>0</v>
      </c>
      <c r="E11" s="682">
        <f>huishoudens!D8</f>
        <v>7624.8605113718149</v>
      </c>
      <c r="F11" s="682">
        <f>huishoudens!E8</f>
        <v>1167.3309106434767</v>
      </c>
      <c r="G11" s="682">
        <f>huishoudens!F8</f>
        <v>26514.614931557986</v>
      </c>
      <c r="H11" s="682">
        <f>huishoudens!G8</f>
        <v>0</v>
      </c>
      <c r="I11" s="682">
        <f>huishoudens!H8</f>
        <v>0</v>
      </c>
      <c r="J11" s="682">
        <f>huishoudens!I8</f>
        <v>0</v>
      </c>
      <c r="K11" s="682">
        <f>huishoudens!J8</f>
        <v>132.64814497342311</v>
      </c>
      <c r="L11" s="682">
        <f>huishoudens!K8</f>
        <v>0</v>
      </c>
      <c r="M11" s="682">
        <f>huishoudens!L8</f>
        <v>0</v>
      </c>
      <c r="N11" s="682">
        <f>huishoudens!M8</f>
        <v>0</v>
      </c>
      <c r="O11" s="682">
        <f>huishoudens!N8</f>
        <v>3762.3810735507418</v>
      </c>
      <c r="P11" s="682">
        <f>huishoudens!O8</f>
        <v>249.97873564276603</v>
      </c>
      <c r="Q11" s="683">
        <f>huishoudens!P8</f>
        <v>410.82441299971589</v>
      </c>
      <c r="R11" s="685">
        <f>SUM(C11:Q11)</f>
        <v>51410.447905390414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1025.0342956786969</v>
      </c>
      <c r="D13" s="682">
        <f>industrie!C18</f>
        <v>0</v>
      </c>
      <c r="E13" s="682">
        <f>industrie!D18</f>
        <v>223.01340341721394</v>
      </c>
      <c r="F13" s="682">
        <f>industrie!E18</f>
        <v>2.6173317292173128</v>
      </c>
      <c r="G13" s="682">
        <f>industrie!F18</f>
        <v>300.93478879517119</v>
      </c>
      <c r="H13" s="682">
        <f>industrie!G18</f>
        <v>0</v>
      </c>
      <c r="I13" s="682">
        <f>industrie!H18</f>
        <v>0</v>
      </c>
      <c r="J13" s="682">
        <f>industrie!I18</f>
        <v>0</v>
      </c>
      <c r="K13" s="682">
        <f>industrie!J18</f>
        <v>8.269607974112976E-2</v>
      </c>
      <c r="L13" s="682">
        <f>industrie!K18</f>
        <v>0</v>
      </c>
      <c r="M13" s="682">
        <f>industrie!L18</f>
        <v>0</v>
      </c>
      <c r="N13" s="682">
        <f>industrie!M18</f>
        <v>0</v>
      </c>
      <c r="O13" s="682">
        <f>industrie!N18</f>
        <v>33.055831098361693</v>
      </c>
      <c r="P13" s="682">
        <f>industrie!O18</f>
        <v>0</v>
      </c>
      <c r="Q13" s="683">
        <f>industrie!P18</f>
        <v>0</v>
      </c>
      <c r="R13" s="685">
        <f>SUM(C13:Q13)</f>
        <v>1584.7383467984023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17916.474810182135</v>
      </c>
      <c r="D16" s="718">
        <f t="shared" ref="D16:R16" ca="1" si="0">SUM(D9:D15)</f>
        <v>0</v>
      </c>
      <c r="E16" s="718">
        <f t="shared" ca="1" si="0"/>
        <v>12479.917160033634</v>
      </c>
      <c r="F16" s="718">
        <f t="shared" si="0"/>
        <v>1181.4592641641877</v>
      </c>
      <c r="G16" s="718">
        <f t="shared" ca="1" si="0"/>
        <v>27543.77479921942</v>
      </c>
      <c r="H16" s="718">
        <f t="shared" si="0"/>
        <v>0</v>
      </c>
      <c r="I16" s="718">
        <f t="shared" si="0"/>
        <v>0</v>
      </c>
      <c r="J16" s="718">
        <f t="shared" si="0"/>
        <v>0</v>
      </c>
      <c r="K16" s="718">
        <f t="shared" si="0"/>
        <v>132.73562863498671</v>
      </c>
      <c r="L16" s="718">
        <f t="shared" si="0"/>
        <v>0</v>
      </c>
      <c r="M16" s="718">
        <f t="shared" ca="1" si="0"/>
        <v>0</v>
      </c>
      <c r="N16" s="718">
        <f t="shared" si="0"/>
        <v>0</v>
      </c>
      <c r="O16" s="718">
        <f t="shared" ca="1" si="0"/>
        <v>3977.2504973779951</v>
      </c>
      <c r="P16" s="718">
        <f t="shared" si="0"/>
        <v>254.87599640860719</v>
      </c>
      <c r="Q16" s="718">
        <f t="shared" si="0"/>
        <v>463.36355130621092</v>
      </c>
      <c r="R16" s="718">
        <f t="shared" ca="1" si="0"/>
        <v>63949.851707327187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9.7516555195387902</v>
      </c>
      <c r="D19" s="682">
        <f>transport!C54</f>
        <v>0</v>
      </c>
      <c r="E19" s="682">
        <f>transport!D54</f>
        <v>0</v>
      </c>
      <c r="F19" s="682">
        <f>transport!E54</f>
        <v>0</v>
      </c>
      <c r="G19" s="682">
        <f>transport!F54</f>
        <v>0</v>
      </c>
      <c r="H19" s="682">
        <f>transport!G54</f>
        <v>696.05559107226111</v>
      </c>
      <c r="I19" s="682">
        <f>transport!H54</f>
        <v>0</v>
      </c>
      <c r="J19" s="682">
        <f>transport!I54</f>
        <v>0</v>
      </c>
      <c r="K19" s="682">
        <f>transport!J54</f>
        <v>0</v>
      </c>
      <c r="L19" s="682">
        <f>transport!K54</f>
        <v>0</v>
      </c>
      <c r="M19" s="682">
        <f>transport!L54</f>
        <v>0</v>
      </c>
      <c r="N19" s="682">
        <f>transport!M54</f>
        <v>38.435210978719553</v>
      </c>
      <c r="O19" s="682">
        <f>transport!N54</f>
        <v>0</v>
      </c>
      <c r="P19" s="682">
        <f>transport!O54</f>
        <v>0</v>
      </c>
      <c r="Q19" s="683">
        <f>transport!P54</f>
        <v>0</v>
      </c>
      <c r="R19" s="685">
        <f>SUM(C19:Q19)</f>
        <v>744.24245757051938</v>
      </c>
      <c r="S19" s="67"/>
    </row>
    <row r="20" spans="1:19" s="445" customFormat="1">
      <c r="A20" s="803" t="s">
        <v>302</v>
      </c>
      <c r="B20" s="808"/>
      <c r="C20" s="682">
        <f>transport!B14</f>
        <v>80.494705817961304</v>
      </c>
      <c r="D20" s="682">
        <f>transport!C14</f>
        <v>0</v>
      </c>
      <c r="E20" s="682">
        <f>transport!D14</f>
        <v>151.92571448671828</v>
      </c>
      <c r="F20" s="682">
        <f>transport!E14</f>
        <v>83.136507354746769</v>
      </c>
      <c r="G20" s="682">
        <f>transport!F14</f>
        <v>0</v>
      </c>
      <c r="H20" s="682">
        <f>transport!G14</f>
        <v>39575.889441962521</v>
      </c>
      <c r="I20" s="682">
        <f>transport!H14</f>
        <v>9213.6935837791079</v>
      </c>
      <c r="J20" s="682">
        <f>transport!I14</f>
        <v>0</v>
      </c>
      <c r="K20" s="682">
        <f>transport!J14</f>
        <v>0</v>
      </c>
      <c r="L20" s="682">
        <f>transport!K14</f>
        <v>0</v>
      </c>
      <c r="M20" s="682">
        <f>transport!L14</f>
        <v>0</v>
      </c>
      <c r="N20" s="682">
        <f>transport!M14</f>
        <v>2868.6797536611134</v>
      </c>
      <c r="O20" s="682">
        <f>transport!N14</f>
        <v>0</v>
      </c>
      <c r="P20" s="682">
        <f>transport!O14</f>
        <v>0</v>
      </c>
      <c r="Q20" s="683">
        <f>transport!P14</f>
        <v>0</v>
      </c>
      <c r="R20" s="685">
        <f>SUM(C20:Q20)</f>
        <v>51973.819707062168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90.24636133750009</v>
      </c>
      <c r="D22" s="806">
        <f t="shared" ref="D22:R22" si="1">SUM(D18:D21)</f>
        <v>0</v>
      </c>
      <c r="E22" s="806">
        <f t="shared" si="1"/>
        <v>151.92571448671828</v>
      </c>
      <c r="F22" s="806">
        <f t="shared" si="1"/>
        <v>83.136507354746769</v>
      </c>
      <c r="G22" s="806">
        <f t="shared" si="1"/>
        <v>0</v>
      </c>
      <c r="H22" s="806">
        <f t="shared" si="1"/>
        <v>40271.945033034783</v>
      </c>
      <c r="I22" s="806">
        <f t="shared" si="1"/>
        <v>9213.6935837791079</v>
      </c>
      <c r="J22" s="806">
        <f t="shared" si="1"/>
        <v>0</v>
      </c>
      <c r="K22" s="806">
        <f t="shared" si="1"/>
        <v>0</v>
      </c>
      <c r="L22" s="806">
        <f t="shared" si="1"/>
        <v>0</v>
      </c>
      <c r="M22" s="806">
        <f t="shared" si="1"/>
        <v>0</v>
      </c>
      <c r="N22" s="806">
        <f t="shared" si="1"/>
        <v>2907.114964639833</v>
      </c>
      <c r="O22" s="806">
        <f t="shared" si="1"/>
        <v>0</v>
      </c>
      <c r="P22" s="806">
        <f t="shared" si="1"/>
        <v>0</v>
      </c>
      <c r="Q22" s="806">
        <f t="shared" si="1"/>
        <v>0</v>
      </c>
      <c r="R22" s="806">
        <f t="shared" si="1"/>
        <v>52718.062164632691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1696.2648117374802</v>
      </c>
      <c r="D24" s="682">
        <f>+landbouw!C8</f>
        <v>0</v>
      </c>
      <c r="E24" s="682">
        <f>+landbouw!D8</f>
        <v>10.742844291001569</v>
      </c>
      <c r="F24" s="682">
        <f>+landbouw!E8</f>
        <v>63.258903333623778</v>
      </c>
      <c r="G24" s="682">
        <f>+landbouw!F8</f>
        <v>5503.3385118006545</v>
      </c>
      <c r="H24" s="682">
        <f>+landbouw!G8</f>
        <v>0</v>
      </c>
      <c r="I24" s="682">
        <f>+landbouw!H8</f>
        <v>0</v>
      </c>
      <c r="J24" s="682">
        <f>+landbouw!I8</f>
        <v>0</v>
      </c>
      <c r="K24" s="682">
        <f>+landbouw!J8</f>
        <v>445.27788738293805</v>
      </c>
      <c r="L24" s="682">
        <f>+landbouw!K8</f>
        <v>0</v>
      </c>
      <c r="M24" s="682">
        <f>+landbouw!L8</f>
        <v>0</v>
      </c>
      <c r="N24" s="682">
        <f>+landbouw!M8</f>
        <v>0</v>
      </c>
      <c r="O24" s="682">
        <f>+landbouw!N8</f>
        <v>0</v>
      </c>
      <c r="P24" s="682">
        <f>+landbouw!O8</f>
        <v>0</v>
      </c>
      <c r="Q24" s="683">
        <f>+landbouw!P8</f>
        <v>0</v>
      </c>
      <c r="R24" s="685">
        <f>SUM(C24:Q24)</f>
        <v>7718.8829585456979</v>
      </c>
      <c r="S24" s="67"/>
    </row>
    <row r="25" spans="1:19" s="445" customFormat="1" ht="15" thickBot="1">
      <c r="A25" s="825" t="s">
        <v>703</v>
      </c>
      <c r="B25" s="938"/>
      <c r="C25" s="939">
        <f>IF(Onbekend_ele_kWh="---",0,Onbekend_ele_kWh)/1000+IF(REST_rest_ele_kWh="---",0,REST_rest_ele_kWh)/1000</f>
        <v>367.60329610874101</v>
      </c>
      <c r="D25" s="939"/>
      <c r="E25" s="939">
        <f>IF(onbekend_gas_kWh="---",0,onbekend_gas_kWh)/1000+IF(REST_rest_gas_kWh="---",0,REST_rest_gas_kWh)/1000</f>
        <v>238.02102396954899</v>
      </c>
      <c r="F25" s="939"/>
      <c r="G25" s="939"/>
      <c r="H25" s="939"/>
      <c r="I25" s="939"/>
      <c r="J25" s="939"/>
      <c r="K25" s="939"/>
      <c r="L25" s="939"/>
      <c r="M25" s="939"/>
      <c r="N25" s="939"/>
      <c r="O25" s="939"/>
      <c r="P25" s="939"/>
      <c r="Q25" s="940"/>
      <c r="R25" s="685">
        <f>SUM(C25:Q25)</f>
        <v>605.62432007829</v>
      </c>
      <c r="S25" s="67"/>
    </row>
    <row r="26" spans="1:19" s="445" customFormat="1" ht="15.75" thickBot="1">
      <c r="A26" s="690" t="s">
        <v>704</v>
      </c>
      <c r="B26" s="811"/>
      <c r="C26" s="806">
        <f>SUM(C24:C25)</f>
        <v>2063.8681078462214</v>
      </c>
      <c r="D26" s="806">
        <f t="shared" ref="D26:R26" si="2">SUM(D24:D25)</f>
        <v>0</v>
      </c>
      <c r="E26" s="806">
        <f t="shared" si="2"/>
        <v>248.76386826055057</v>
      </c>
      <c r="F26" s="806">
        <f t="shared" si="2"/>
        <v>63.258903333623778</v>
      </c>
      <c r="G26" s="806">
        <f t="shared" si="2"/>
        <v>5503.3385118006545</v>
      </c>
      <c r="H26" s="806">
        <f t="shared" si="2"/>
        <v>0</v>
      </c>
      <c r="I26" s="806">
        <f t="shared" si="2"/>
        <v>0</v>
      </c>
      <c r="J26" s="806">
        <f t="shared" si="2"/>
        <v>0</v>
      </c>
      <c r="K26" s="806">
        <f t="shared" si="2"/>
        <v>445.27788738293805</v>
      </c>
      <c r="L26" s="806">
        <f t="shared" si="2"/>
        <v>0</v>
      </c>
      <c r="M26" s="806">
        <f t="shared" si="2"/>
        <v>0</v>
      </c>
      <c r="N26" s="806">
        <f t="shared" si="2"/>
        <v>0</v>
      </c>
      <c r="O26" s="806">
        <f t="shared" si="2"/>
        <v>0</v>
      </c>
      <c r="P26" s="806">
        <f t="shared" si="2"/>
        <v>0</v>
      </c>
      <c r="Q26" s="806">
        <f t="shared" si="2"/>
        <v>0</v>
      </c>
      <c r="R26" s="806">
        <f t="shared" si="2"/>
        <v>8324.5072786239871</v>
      </c>
      <c r="S26" s="67"/>
    </row>
    <row r="27" spans="1:19" s="445" customFormat="1" ht="17.25" thickTop="1" thickBot="1">
      <c r="A27" s="691" t="s">
        <v>115</v>
      </c>
      <c r="B27" s="798"/>
      <c r="C27" s="692">
        <f ca="1">C22+C16+C26</f>
        <v>20070.589279365857</v>
      </c>
      <c r="D27" s="692">
        <f t="shared" ref="D27:R27" ca="1" si="3">D22+D16+D26</f>
        <v>0</v>
      </c>
      <c r="E27" s="692">
        <f t="shared" ca="1" si="3"/>
        <v>12880.606742780903</v>
      </c>
      <c r="F27" s="692">
        <f t="shared" si="3"/>
        <v>1327.8546748525582</v>
      </c>
      <c r="G27" s="692">
        <f t="shared" ca="1" si="3"/>
        <v>33047.113311020075</v>
      </c>
      <c r="H27" s="692">
        <f t="shared" si="3"/>
        <v>40271.945033034783</v>
      </c>
      <c r="I27" s="692">
        <f t="shared" si="3"/>
        <v>9213.6935837791079</v>
      </c>
      <c r="J27" s="692">
        <f t="shared" si="3"/>
        <v>0</v>
      </c>
      <c r="K27" s="692">
        <f t="shared" si="3"/>
        <v>578.01351601792476</v>
      </c>
      <c r="L27" s="692">
        <f t="shared" si="3"/>
        <v>0</v>
      </c>
      <c r="M27" s="692">
        <f t="shared" ca="1" si="3"/>
        <v>0</v>
      </c>
      <c r="N27" s="692">
        <f t="shared" si="3"/>
        <v>2907.114964639833</v>
      </c>
      <c r="O27" s="692">
        <f t="shared" ca="1" si="3"/>
        <v>3977.2504973779951</v>
      </c>
      <c r="P27" s="692">
        <f t="shared" si="3"/>
        <v>254.87599640860719</v>
      </c>
      <c r="Q27" s="692">
        <f t="shared" si="3"/>
        <v>463.36355130621092</v>
      </c>
      <c r="R27" s="692">
        <f t="shared" ca="1" si="3"/>
        <v>124992.42115058386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1059.5788366673596</v>
      </c>
      <c r="D40" s="682">
        <f ca="1">tertiair!C20</f>
        <v>0</v>
      </c>
      <c r="E40" s="682">
        <f ca="1">tertiair!D20</f>
        <v>935.67273553941038</v>
      </c>
      <c r="F40" s="682">
        <f>tertiair!E20</f>
        <v>2.613001946669065</v>
      </c>
      <c r="G40" s="682">
        <f ca="1">tertiair!F20</f>
        <v>194.4360960572925</v>
      </c>
      <c r="H40" s="682">
        <f>tertiair!G20</f>
        <v>0</v>
      </c>
      <c r="I40" s="682">
        <f>tertiair!H20</f>
        <v>0</v>
      </c>
      <c r="J40" s="682">
        <f>tertiair!I20</f>
        <v>0</v>
      </c>
      <c r="K40" s="682">
        <f>tertiair!J20</f>
        <v>1.6948039651442923E-3</v>
      </c>
      <c r="L40" s="682">
        <f>tertiair!K20</f>
        <v>0</v>
      </c>
      <c r="M40" s="682">
        <f ca="1">tertiair!L20</f>
        <v>0</v>
      </c>
      <c r="N40" s="682">
        <f>tertiair!M20</f>
        <v>0</v>
      </c>
      <c r="O40" s="682">
        <f ca="1">tertiair!N20</f>
        <v>0</v>
      </c>
      <c r="P40" s="682">
        <f>tertiair!O20</f>
        <v>0</v>
      </c>
      <c r="Q40" s="765">
        <f>tertiair!P20</f>
        <v>0</v>
      </c>
      <c r="R40" s="844">
        <f t="shared" ca="1" si="4"/>
        <v>2192.302365014697</v>
      </c>
    </row>
    <row r="41" spans="1:18">
      <c r="A41" s="816" t="s">
        <v>220</v>
      </c>
      <c r="B41" s="823"/>
      <c r="C41" s="682">
        <f ca="1">huishoudens!B12</f>
        <v>2289.7938623818391</v>
      </c>
      <c r="D41" s="682">
        <f ca="1">huishoudens!C12</f>
        <v>0</v>
      </c>
      <c r="E41" s="682">
        <f>huishoudens!D12</f>
        <v>1540.2218232971068</v>
      </c>
      <c r="F41" s="682">
        <f>huishoudens!E12</f>
        <v>264.98411671606925</v>
      </c>
      <c r="G41" s="682">
        <f>huishoudens!F12</f>
        <v>7079.4021867259826</v>
      </c>
      <c r="H41" s="682">
        <f>huishoudens!G12</f>
        <v>0</v>
      </c>
      <c r="I41" s="682">
        <f>huishoudens!H12</f>
        <v>0</v>
      </c>
      <c r="J41" s="682">
        <f>huishoudens!I12</f>
        <v>0</v>
      </c>
      <c r="K41" s="682">
        <f>huishoudens!J12</f>
        <v>46.957443320591779</v>
      </c>
      <c r="L41" s="682">
        <f>huishoudens!K12</f>
        <v>0</v>
      </c>
      <c r="M41" s="682">
        <f>huishoudens!L12</f>
        <v>0</v>
      </c>
      <c r="N41" s="682">
        <f>huishoudens!M12</f>
        <v>0</v>
      </c>
      <c r="O41" s="682">
        <f>huishoudens!N12</f>
        <v>0</v>
      </c>
      <c r="P41" s="682">
        <f>huishoudens!O12</f>
        <v>0</v>
      </c>
      <c r="Q41" s="765">
        <f>huishoudens!P12</f>
        <v>0</v>
      </c>
      <c r="R41" s="844">
        <f t="shared" ca="1" si="4"/>
        <v>11221.35943244159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203.25216683488279</v>
      </c>
      <c r="D43" s="682">
        <f ca="1">industrie!C22</f>
        <v>0</v>
      </c>
      <c r="E43" s="682">
        <f>industrie!D22</f>
        <v>45.048707490277216</v>
      </c>
      <c r="F43" s="682">
        <f>industrie!E22</f>
        <v>0.59413430253233002</v>
      </c>
      <c r="G43" s="682">
        <f>industrie!F22</f>
        <v>80.349588608310711</v>
      </c>
      <c r="H43" s="682">
        <f>industrie!G22</f>
        <v>0</v>
      </c>
      <c r="I43" s="682">
        <f>industrie!H22</f>
        <v>0</v>
      </c>
      <c r="J43" s="682">
        <f>industrie!I22</f>
        <v>0</v>
      </c>
      <c r="K43" s="682">
        <f>industrie!J22</f>
        <v>2.9274412228359935E-2</v>
      </c>
      <c r="L43" s="682">
        <f>industrie!K22</f>
        <v>0</v>
      </c>
      <c r="M43" s="682">
        <f>industrie!L22</f>
        <v>0</v>
      </c>
      <c r="N43" s="682">
        <f>industrie!M22</f>
        <v>0</v>
      </c>
      <c r="O43" s="682">
        <f>industrie!N22</f>
        <v>0</v>
      </c>
      <c r="P43" s="682">
        <f>industrie!O22</f>
        <v>0</v>
      </c>
      <c r="Q43" s="765">
        <f>industrie!P22</f>
        <v>0</v>
      </c>
      <c r="R43" s="843">
        <f t="shared" ca="1" si="4"/>
        <v>329.27387164823142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3552.6248658840814</v>
      </c>
      <c r="D46" s="718">
        <f t="shared" ref="D46:Q46" ca="1" si="5">SUM(D39:D45)</f>
        <v>0</v>
      </c>
      <c r="E46" s="718">
        <f t="shared" ca="1" si="5"/>
        <v>2520.9432663267944</v>
      </c>
      <c r="F46" s="718">
        <f t="shared" si="5"/>
        <v>268.19125296527062</v>
      </c>
      <c r="G46" s="718">
        <f t="shared" ca="1" si="5"/>
        <v>7354.1878713915858</v>
      </c>
      <c r="H46" s="718">
        <f t="shared" si="5"/>
        <v>0</v>
      </c>
      <c r="I46" s="718">
        <f t="shared" si="5"/>
        <v>0</v>
      </c>
      <c r="J46" s="718">
        <f t="shared" si="5"/>
        <v>0</v>
      </c>
      <c r="K46" s="718">
        <f t="shared" si="5"/>
        <v>46.988412536785283</v>
      </c>
      <c r="L46" s="718">
        <f t="shared" si="5"/>
        <v>0</v>
      </c>
      <c r="M46" s="718">
        <f t="shared" ca="1" si="5"/>
        <v>0</v>
      </c>
      <c r="N46" s="718">
        <f t="shared" si="5"/>
        <v>0</v>
      </c>
      <c r="O46" s="718">
        <f t="shared" ca="1" si="5"/>
        <v>0</v>
      </c>
      <c r="P46" s="718">
        <f t="shared" si="5"/>
        <v>0</v>
      </c>
      <c r="Q46" s="718">
        <f t="shared" si="5"/>
        <v>0</v>
      </c>
      <c r="R46" s="718">
        <f ca="1">SUM(R39:R45)</f>
        <v>13742.935669104518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1.9336378528303286</v>
      </c>
      <c r="D49" s="682">
        <f ca="1">transport!C58</f>
        <v>0</v>
      </c>
      <c r="E49" s="682">
        <f>transport!D58</f>
        <v>0</v>
      </c>
      <c r="F49" s="682">
        <f>transport!E58</f>
        <v>0</v>
      </c>
      <c r="G49" s="682">
        <f>transport!F58</f>
        <v>0</v>
      </c>
      <c r="H49" s="682">
        <f>transport!G58</f>
        <v>185.84684281629373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187.78048066912405</v>
      </c>
    </row>
    <row r="50" spans="1:18">
      <c r="A50" s="819" t="s">
        <v>302</v>
      </c>
      <c r="B50" s="829"/>
      <c r="C50" s="688">
        <f ca="1">transport!B18</f>
        <v>15.961147295471024</v>
      </c>
      <c r="D50" s="688">
        <f>transport!C18</f>
        <v>0</v>
      </c>
      <c r="E50" s="688">
        <f>transport!D18</f>
        <v>30.688994326317093</v>
      </c>
      <c r="F50" s="688">
        <f>transport!E18</f>
        <v>18.871987169527518</v>
      </c>
      <c r="G50" s="688">
        <f>transport!F18</f>
        <v>0</v>
      </c>
      <c r="H50" s="688">
        <f>transport!G18</f>
        <v>10566.762481003994</v>
      </c>
      <c r="I50" s="688">
        <f>transport!H18</f>
        <v>2294.2097023609977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12926.494312156308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17.894785148301352</v>
      </c>
      <c r="D52" s="718">
        <f t="shared" ref="D52:Q52" ca="1" si="6">SUM(D48:D51)</f>
        <v>0</v>
      </c>
      <c r="E52" s="718">
        <f t="shared" si="6"/>
        <v>30.688994326317093</v>
      </c>
      <c r="F52" s="718">
        <f t="shared" si="6"/>
        <v>18.871987169527518</v>
      </c>
      <c r="G52" s="718">
        <f t="shared" si="6"/>
        <v>0</v>
      </c>
      <c r="H52" s="718">
        <f t="shared" si="6"/>
        <v>10752.609323820288</v>
      </c>
      <c r="I52" s="718">
        <f t="shared" si="6"/>
        <v>2294.2097023609977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13114.274792825432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336.34923237678419</v>
      </c>
      <c r="D54" s="688">
        <f ca="1">+landbouw!C12</f>
        <v>0</v>
      </c>
      <c r="E54" s="688">
        <f>+landbouw!D12</f>
        <v>2.1700545467823171</v>
      </c>
      <c r="F54" s="688">
        <f>+landbouw!E12</f>
        <v>14.359771056732598</v>
      </c>
      <c r="G54" s="688">
        <f>+landbouw!F12</f>
        <v>1469.3913826507749</v>
      </c>
      <c r="H54" s="688">
        <f>+landbouw!G12</f>
        <v>0</v>
      </c>
      <c r="I54" s="688">
        <f>+landbouw!H12</f>
        <v>0</v>
      </c>
      <c r="J54" s="688">
        <f>+landbouw!I12</f>
        <v>0</v>
      </c>
      <c r="K54" s="688">
        <f>+landbouw!J12</f>
        <v>157.62837213356005</v>
      </c>
      <c r="L54" s="688">
        <f>+landbouw!K12</f>
        <v>0</v>
      </c>
      <c r="M54" s="688">
        <f>+landbouw!L12</f>
        <v>0</v>
      </c>
      <c r="N54" s="688">
        <f>+landbouw!M12</f>
        <v>0</v>
      </c>
      <c r="O54" s="688">
        <f>+landbouw!N12</f>
        <v>0</v>
      </c>
      <c r="P54" s="688">
        <f>+landbouw!O12</f>
        <v>0</v>
      </c>
      <c r="Q54" s="689">
        <f>+landbouw!P12</f>
        <v>0</v>
      </c>
      <c r="R54" s="717">
        <f ca="1">SUM(C54:Q54)</f>
        <v>1979.8988127646342</v>
      </c>
    </row>
    <row r="55" spans="1:18" ht="15" thickBot="1">
      <c r="A55" s="819" t="s">
        <v>703</v>
      </c>
      <c r="B55" s="829"/>
      <c r="C55" s="688">
        <f ca="1">C25*'EF ele_warmte'!B12</f>
        <v>72.891382058856365</v>
      </c>
      <c r="D55" s="688"/>
      <c r="E55" s="688">
        <f>E25*EF_CO2_aardgas</f>
        <v>48.080246841848897</v>
      </c>
      <c r="F55" s="688"/>
      <c r="G55" s="688"/>
      <c r="H55" s="688"/>
      <c r="I55" s="688"/>
      <c r="J55" s="688"/>
      <c r="K55" s="688"/>
      <c r="L55" s="688"/>
      <c r="M55" s="688"/>
      <c r="N55" s="688"/>
      <c r="O55" s="688"/>
      <c r="P55" s="688"/>
      <c r="Q55" s="689"/>
      <c r="R55" s="717">
        <f ca="1">SUM(C55:Q55)</f>
        <v>120.97162890070527</v>
      </c>
    </row>
    <row r="56" spans="1:18" ht="15.75" thickBot="1">
      <c r="A56" s="817" t="s">
        <v>704</v>
      </c>
      <c r="B56" s="830"/>
      <c r="C56" s="718">
        <f ca="1">SUM(C54:C55)</f>
        <v>409.24061443564057</v>
      </c>
      <c r="D56" s="718">
        <f t="shared" ref="D56:Q56" ca="1" si="7">SUM(D54:D55)</f>
        <v>0</v>
      </c>
      <c r="E56" s="718">
        <f t="shared" si="7"/>
        <v>50.250301388631215</v>
      </c>
      <c r="F56" s="718">
        <f t="shared" si="7"/>
        <v>14.359771056732598</v>
      </c>
      <c r="G56" s="718">
        <f t="shared" si="7"/>
        <v>1469.3913826507749</v>
      </c>
      <c r="H56" s="718">
        <f t="shared" si="7"/>
        <v>0</v>
      </c>
      <c r="I56" s="718">
        <f t="shared" si="7"/>
        <v>0</v>
      </c>
      <c r="J56" s="718">
        <f t="shared" si="7"/>
        <v>0</v>
      </c>
      <c r="K56" s="718">
        <f t="shared" si="7"/>
        <v>157.62837213356005</v>
      </c>
      <c r="L56" s="718">
        <f t="shared" si="7"/>
        <v>0</v>
      </c>
      <c r="M56" s="718">
        <f t="shared" si="7"/>
        <v>0</v>
      </c>
      <c r="N56" s="718">
        <f t="shared" si="7"/>
        <v>0</v>
      </c>
      <c r="O56" s="718">
        <f t="shared" si="7"/>
        <v>0</v>
      </c>
      <c r="P56" s="718">
        <f t="shared" si="7"/>
        <v>0</v>
      </c>
      <c r="Q56" s="719">
        <f t="shared" si="7"/>
        <v>0</v>
      </c>
      <c r="R56" s="720">
        <f ca="1">SUM(R54:R55)</f>
        <v>2100.8704416653395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3979.7602654680231</v>
      </c>
      <c r="D61" s="726">
        <f t="shared" ref="D61:Q61" ca="1" si="8">D46+D52+D56</f>
        <v>0</v>
      </c>
      <c r="E61" s="726">
        <f t="shared" ca="1" si="8"/>
        <v>2601.8825620417429</v>
      </c>
      <c r="F61" s="726">
        <f t="shared" si="8"/>
        <v>301.42301119153075</v>
      </c>
      <c r="G61" s="726">
        <f t="shared" ca="1" si="8"/>
        <v>8823.5792540423608</v>
      </c>
      <c r="H61" s="726">
        <f t="shared" si="8"/>
        <v>10752.609323820288</v>
      </c>
      <c r="I61" s="726">
        <f t="shared" si="8"/>
        <v>2294.2097023609977</v>
      </c>
      <c r="J61" s="726">
        <f t="shared" si="8"/>
        <v>0</v>
      </c>
      <c r="K61" s="726">
        <f t="shared" si="8"/>
        <v>204.61678467034534</v>
      </c>
      <c r="L61" s="726">
        <f t="shared" si="8"/>
        <v>0</v>
      </c>
      <c r="M61" s="726">
        <f t="shared" ca="1" si="8"/>
        <v>0</v>
      </c>
      <c r="N61" s="726">
        <f t="shared" si="8"/>
        <v>0</v>
      </c>
      <c r="O61" s="726">
        <f t="shared" ca="1" si="8"/>
        <v>0</v>
      </c>
      <c r="P61" s="726">
        <f t="shared" si="8"/>
        <v>0</v>
      </c>
      <c r="Q61" s="726">
        <f t="shared" si="8"/>
        <v>0</v>
      </c>
      <c r="R61" s="726">
        <f ca="1">R46+R52+R56</f>
        <v>28958.080903595288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0.19828816234905117</v>
      </c>
      <c r="D63" s="772">
        <f t="shared" ca="1" si="9"/>
        <v>0</v>
      </c>
      <c r="E63" s="964">
        <f t="shared" ca="1" si="9"/>
        <v>0.20200000000000004</v>
      </c>
      <c r="F63" s="772">
        <f t="shared" si="9"/>
        <v>0.22700000000000004</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2062.6242772481055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2062.6242772481055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11547.809184650483</v>
      </c>
      <c r="C4" s="449">
        <f>huishoudens!C8</f>
        <v>0</v>
      </c>
      <c r="D4" s="449">
        <f>huishoudens!D8</f>
        <v>7624.8605113718149</v>
      </c>
      <c r="E4" s="449">
        <f>huishoudens!E8</f>
        <v>1167.3309106434767</v>
      </c>
      <c r="F4" s="449">
        <f>huishoudens!F8</f>
        <v>26514.614931557986</v>
      </c>
      <c r="G4" s="449">
        <f>huishoudens!G8</f>
        <v>0</v>
      </c>
      <c r="H4" s="449">
        <f>huishoudens!H8</f>
        <v>0</v>
      </c>
      <c r="I4" s="449">
        <f>huishoudens!I8</f>
        <v>0</v>
      </c>
      <c r="J4" s="449">
        <f>huishoudens!J8</f>
        <v>132.64814497342311</v>
      </c>
      <c r="K4" s="449">
        <f>huishoudens!K8</f>
        <v>0</v>
      </c>
      <c r="L4" s="449">
        <f>huishoudens!L8</f>
        <v>0</v>
      </c>
      <c r="M4" s="449">
        <f>huishoudens!M8</f>
        <v>0</v>
      </c>
      <c r="N4" s="449">
        <f>huishoudens!N8</f>
        <v>3762.3810735507418</v>
      </c>
      <c r="O4" s="449">
        <f>huishoudens!O8</f>
        <v>249.97873564276603</v>
      </c>
      <c r="P4" s="450">
        <f>huishoudens!P8</f>
        <v>410.82441299971589</v>
      </c>
      <c r="Q4" s="451">
        <f>SUM(B4:P4)</f>
        <v>51410.447905390414</v>
      </c>
    </row>
    <row r="5" spans="1:17">
      <c r="A5" s="448" t="s">
        <v>155</v>
      </c>
      <c r="B5" s="449">
        <f ca="1">tertiair!B16</f>
        <v>4928.1593298529588</v>
      </c>
      <c r="C5" s="449">
        <f ca="1">tertiair!C16</f>
        <v>0</v>
      </c>
      <c r="D5" s="449">
        <f ca="1">tertiair!D16</f>
        <v>4632.0432452446057</v>
      </c>
      <c r="E5" s="449">
        <f>tertiair!E16</f>
        <v>11.511021791493679</v>
      </c>
      <c r="F5" s="449">
        <f ca="1">tertiair!F16</f>
        <v>728.22507886626397</v>
      </c>
      <c r="G5" s="449">
        <f>tertiair!G16</f>
        <v>0</v>
      </c>
      <c r="H5" s="449">
        <f>tertiair!H16</f>
        <v>0</v>
      </c>
      <c r="I5" s="449">
        <f>tertiair!I16</f>
        <v>0</v>
      </c>
      <c r="J5" s="449">
        <f>tertiair!J16</f>
        <v>4.7875818224415037E-3</v>
      </c>
      <c r="K5" s="449">
        <f>tertiair!K16</f>
        <v>0</v>
      </c>
      <c r="L5" s="449">
        <f ca="1">tertiair!L16</f>
        <v>0</v>
      </c>
      <c r="M5" s="449">
        <f>tertiair!M16</f>
        <v>0</v>
      </c>
      <c r="N5" s="449">
        <f ca="1">tertiair!N16</f>
        <v>181.81359272889196</v>
      </c>
      <c r="O5" s="449">
        <f>tertiair!O16</f>
        <v>4.8972607658411542</v>
      </c>
      <c r="P5" s="450">
        <f>tertiair!P16</f>
        <v>52.539138306495019</v>
      </c>
      <c r="Q5" s="448">
        <f t="shared" ref="Q5:Q14" ca="1" si="0">SUM(B5:P5)</f>
        <v>10539.193455138371</v>
      </c>
    </row>
    <row r="6" spans="1:17">
      <c r="A6" s="448" t="s">
        <v>193</v>
      </c>
      <c r="B6" s="449">
        <f>'openbare verlichting'!B8</f>
        <v>415.47199999999998</v>
      </c>
      <c r="C6" s="449"/>
      <c r="D6" s="449"/>
      <c r="E6" s="449"/>
      <c r="F6" s="449"/>
      <c r="G6" s="449"/>
      <c r="H6" s="449"/>
      <c r="I6" s="449"/>
      <c r="J6" s="449"/>
      <c r="K6" s="449"/>
      <c r="L6" s="449"/>
      <c r="M6" s="449"/>
      <c r="N6" s="449"/>
      <c r="O6" s="449"/>
      <c r="P6" s="450"/>
      <c r="Q6" s="448">
        <f t="shared" si="0"/>
        <v>415.47199999999998</v>
      </c>
    </row>
    <row r="7" spans="1:17">
      <c r="A7" s="448" t="s">
        <v>111</v>
      </c>
      <c r="B7" s="449">
        <f>landbouw!B8</f>
        <v>1696.2648117374802</v>
      </c>
      <c r="C7" s="449">
        <f>landbouw!C8</f>
        <v>0</v>
      </c>
      <c r="D7" s="449">
        <f>landbouw!D8</f>
        <v>10.742844291001569</v>
      </c>
      <c r="E7" s="449">
        <f>landbouw!E8</f>
        <v>63.258903333623778</v>
      </c>
      <c r="F7" s="449">
        <f>landbouw!F8</f>
        <v>5503.3385118006545</v>
      </c>
      <c r="G7" s="449">
        <f>landbouw!G8</f>
        <v>0</v>
      </c>
      <c r="H7" s="449">
        <f>landbouw!H8</f>
        <v>0</v>
      </c>
      <c r="I7" s="449">
        <f>landbouw!I8</f>
        <v>0</v>
      </c>
      <c r="J7" s="449">
        <f>landbouw!J8</f>
        <v>445.27788738293805</v>
      </c>
      <c r="K7" s="449">
        <f>landbouw!K8</f>
        <v>0</v>
      </c>
      <c r="L7" s="449">
        <f>landbouw!L8</f>
        <v>0</v>
      </c>
      <c r="M7" s="449">
        <f>landbouw!M8</f>
        <v>0</v>
      </c>
      <c r="N7" s="449">
        <f>landbouw!N8</f>
        <v>0</v>
      </c>
      <c r="O7" s="449">
        <f>landbouw!O8</f>
        <v>0</v>
      </c>
      <c r="P7" s="450">
        <f>landbouw!P8</f>
        <v>0</v>
      </c>
      <c r="Q7" s="448">
        <f t="shared" si="0"/>
        <v>7718.8829585456979</v>
      </c>
    </row>
    <row r="8" spans="1:17">
      <c r="A8" s="448" t="s">
        <v>618</v>
      </c>
      <c r="B8" s="449">
        <f>industrie!B18</f>
        <v>1025.0342956786969</v>
      </c>
      <c r="C8" s="449">
        <f>industrie!C18</f>
        <v>0</v>
      </c>
      <c r="D8" s="449">
        <f>industrie!D18</f>
        <v>223.01340341721394</v>
      </c>
      <c r="E8" s="449">
        <f>industrie!E18</f>
        <v>2.6173317292173128</v>
      </c>
      <c r="F8" s="449">
        <f>industrie!F18</f>
        <v>300.93478879517119</v>
      </c>
      <c r="G8" s="449">
        <f>industrie!G18</f>
        <v>0</v>
      </c>
      <c r="H8" s="449">
        <f>industrie!H18</f>
        <v>0</v>
      </c>
      <c r="I8" s="449">
        <f>industrie!I18</f>
        <v>0</v>
      </c>
      <c r="J8" s="449">
        <f>industrie!J18</f>
        <v>8.269607974112976E-2</v>
      </c>
      <c r="K8" s="449">
        <f>industrie!K18</f>
        <v>0</v>
      </c>
      <c r="L8" s="449">
        <f>industrie!L18</f>
        <v>0</v>
      </c>
      <c r="M8" s="449">
        <f>industrie!M18</f>
        <v>0</v>
      </c>
      <c r="N8" s="449">
        <f>industrie!N18</f>
        <v>33.055831098361693</v>
      </c>
      <c r="O8" s="449">
        <f>industrie!O18</f>
        <v>0</v>
      </c>
      <c r="P8" s="450">
        <f>industrie!P18</f>
        <v>0</v>
      </c>
      <c r="Q8" s="448">
        <f t="shared" si="0"/>
        <v>1584.7383467984023</v>
      </c>
    </row>
    <row r="9" spans="1:17" s="454" customFormat="1">
      <c r="A9" s="452" t="s">
        <v>544</v>
      </c>
      <c r="B9" s="453">
        <f>transport!B14</f>
        <v>80.494705817961304</v>
      </c>
      <c r="C9" s="453">
        <f>transport!C14</f>
        <v>0</v>
      </c>
      <c r="D9" s="453">
        <f>transport!D14</f>
        <v>151.92571448671828</v>
      </c>
      <c r="E9" s="453">
        <f>transport!E14</f>
        <v>83.136507354746769</v>
      </c>
      <c r="F9" s="453">
        <f>transport!F14</f>
        <v>0</v>
      </c>
      <c r="G9" s="453">
        <f>transport!G14</f>
        <v>39575.889441962521</v>
      </c>
      <c r="H9" s="453">
        <f>transport!H14</f>
        <v>9213.6935837791079</v>
      </c>
      <c r="I9" s="453">
        <f>transport!I14</f>
        <v>0</v>
      </c>
      <c r="J9" s="453">
        <f>transport!J14</f>
        <v>0</v>
      </c>
      <c r="K9" s="453">
        <f>transport!K14</f>
        <v>0</v>
      </c>
      <c r="L9" s="453">
        <f>transport!L14</f>
        <v>0</v>
      </c>
      <c r="M9" s="453">
        <f>transport!M14</f>
        <v>2868.6797536611134</v>
      </c>
      <c r="N9" s="453">
        <f>transport!N14</f>
        <v>0</v>
      </c>
      <c r="O9" s="453">
        <f>transport!O14</f>
        <v>0</v>
      </c>
      <c r="P9" s="453">
        <f>transport!P14</f>
        <v>0</v>
      </c>
      <c r="Q9" s="452">
        <f>SUM(B9:P9)</f>
        <v>51973.819707062168</v>
      </c>
    </row>
    <row r="10" spans="1:17">
      <c r="A10" s="448" t="s">
        <v>534</v>
      </c>
      <c r="B10" s="449">
        <f>transport!B54</f>
        <v>9.7516555195387902</v>
      </c>
      <c r="C10" s="449">
        <f>transport!C54</f>
        <v>0</v>
      </c>
      <c r="D10" s="449">
        <f>transport!D54</f>
        <v>0</v>
      </c>
      <c r="E10" s="449">
        <f>transport!E54</f>
        <v>0</v>
      </c>
      <c r="F10" s="449">
        <f>transport!F54</f>
        <v>0</v>
      </c>
      <c r="G10" s="449">
        <f>transport!G54</f>
        <v>696.05559107226111</v>
      </c>
      <c r="H10" s="449">
        <f>transport!H54</f>
        <v>0</v>
      </c>
      <c r="I10" s="449">
        <f>transport!I54</f>
        <v>0</v>
      </c>
      <c r="J10" s="449">
        <f>transport!J54</f>
        <v>0</v>
      </c>
      <c r="K10" s="449">
        <f>transport!K54</f>
        <v>0</v>
      </c>
      <c r="L10" s="449">
        <f>transport!L54</f>
        <v>0</v>
      </c>
      <c r="M10" s="449">
        <f>transport!M54</f>
        <v>38.435210978719553</v>
      </c>
      <c r="N10" s="449">
        <f>transport!N54</f>
        <v>0</v>
      </c>
      <c r="O10" s="449">
        <f>transport!O54</f>
        <v>0</v>
      </c>
      <c r="P10" s="450">
        <f>transport!P54</f>
        <v>0</v>
      </c>
      <c r="Q10" s="448">
        <f t="shared" si="0"/>
        <v>744.24245757051938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367.60329610874101</v>
      </c>
      <c r="C14" s="456"/>
      <c r="D14" s="456">
        <f>'SEAP template'!E25</f>
        <v>238.02102396954899</v>
      </c>
      <c r="E14" s="456"/>
      <c r="F14" s="456"/>
      <c r="G14" s="456"/>
      <c r="H14" s="456"/>
      <c r="I14" s="456"/>
      <c r="J14" s="456"/>
      <c r="K14" s="456"/>
      <c r="L14" s="456"/>
      <c r="M14" s="456"/>
      <c r="N14" s="456"/>
      <c r="O14" s="456"/>
      <c r="P14" s="457"/>
      <c r="Q14" s="448">
        <f t="shared" si="0"/>
        <v>605.62432007829</v>
      </c>
    </row>
    <row r="15" spans="1:17" s="460" customFormat="1">
      <c r="A15" s="458" t="s">
        <v>538</v>
      </c>
      <c r="B15" s="459">
        <f ca="1">SUM(B4:B14)</f>
        <v>20070.58927936586</v>
      </c>
      <c r="C15" s="459">
        <f t="shared" ref="C15:Q15" ca="1" si="1">SUM(C4:C14)</f>
        <v>0</v>
      </c>
      <c r="D15" s="459">
        <f t="shared" ca="1" si="1"/>
        <v>12880.606742780905</v>
      </c>
      <c r="E15" s="459">
        <f t="shared" si="1"/>
        <v>1327.8546748525582</v>
      </c>
      <c r="F15" s="459">
        <f t="shared" ca="1" si="1"/>
        <v>33047.113311020075</v>
      </c>
      <c r="G15" s="459">
        <f t="shared" si="1"/>
        <v>40271.945033034783</v>
      </c>
      <c r="H15" s="459">
        <f t="shared" si="1"/>
        <v>9213.6935837791079</v>
      </c>
      <c r="I15" s="459">
        <f t="shared" si="1"/>
        <v>0</v>
      </c>
      <c r="J15" s="459">
        <f t="shared" si="1"/>
        <v>578.01351601792476</v>
      </c>
      <c r="K15" s="459">
        <f t="shared" si="1"/>
        <v>0</v>
      </c>
      <c r="L15" s="459">
        <f t="shared" ca="1" si="1"/>
        <v>0</v>
      </c>
      <c r="M15" s="459">
        <f t="shared" si="1"/>
        <v>2907.114964639833</v>
      </c>
      <c r="N15" s="459">
        <f t="shared" ca="1" si="1"/>
        <v>3977.2504973779951</v>
      </c>
      <c r="O15" s="459">
        <f t="shared" si="1"/>
        <v>254.87599640860719</v>
      </c>
      <c r="P15" s="459">
        <f t="shared" si="1"/>
        <v>463.36355130621092</v>
      </c>
      <c r="Q15" s="459">
        <f t="shared" ca="1" si="1"/>
        <v>124992.42115058386</v>
      </c>
    </row>
    <row r="17" spans="1:17">
      <c r="A17" s="461" t="s">
        <v>539</v>
      </c>
      <c r="B17" s="777">
        <f ca="1">huishoudens!B10</f>
        <v>0.19828816234905117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2289.7938623818391</v>
      </c>
      <c r="C22" s="449">
        <f t="shared" ref="C22:C32" ca="1" si="3">C4*$C$17</f>
        <v>0</v>
      </c>
      <c r="D22" s="449">
        <f t="shared" ref="D22:D32" si="4">D4*$D$17</f>
        <v>1540.2218232971068</v>
      </c>
      <c r="E22" s="449">
        <f t="shared" ref="E22:E32" si="5">E4*$E$17</f>
        <v>264.98411671606925</v>
      </c>
      <c r="F22" s="449">
        <f t="shared" ref="F22:F32" si="6">F4*$F$17</f>
        <v>7079.4021867259826</v>
      </c>
      <c r="G22" s="449">
        <f t="shared" ref="G22:G32" si="7">G4*$G$17</f>
        <v>0</v>
      </c>
      <c r="H22" s="449">
        <f t="shared" ref="H22:H32" si="8">H4*$H$17</f>
        <v>0</v>
      </c>
      <c r="I22" s="449">
        <f t="shared" ref="I22:I32" si="9">I4*$I$17</f>
        <v>0</v>
      </c>
      <c r="J22" s="449">
        <f t="shared" ref="J22:J32" si="10">J4*$J$17</f>
        <v>46.957443320591779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11221.35943244159</v>
      </c>
    </row>
    <row r="23" spans="1:17">
      <c r="A23" s="448" t="s">
        <v>155</v>
      </c>
      <c r="B23" s="449">
        <f t="shared" ca="1" si="2"/>
        <v>977.19565727987469</v>
      </c>
      <c r="C23" s="449">
        <f t="shared" ca="1" si="3"/>
        <v>0</v>
      </c>
      <c r="D23" s="449">
        <f t="shared" ca="1" si="4"/>
        <v>935.67273553941038</v>
      </c>
      <c r="E23" s="449">
        <f t="shared" si="5"/>
        <v>2.613001946669065</v>
      </c>
      <c r="F23" s="449">
        <f t="shared" ca="1" si="6"/>
        <v>194.4360960572925</v>
      </c>
      <c r="G23" s="449">
        <f t="shared" si="7"/>
        <v>0</v>
      </c>
      <c r="H23" s="449">
        <f t="shared" si="8"/>
        <v>0</v>
      </c>
      <c r="I23" s="449">
        <f t="shared" si="9"/>
        <v>0</v>
      </c>
      <c r="J23" s="449">
        <f t="shared" si="10"/>
        <v>1.6948039651442923E-3</v>
      </c>
      <c r="K23" s="449">
        <f t="shared" si="11"/>
        <v>0</v>
      </c>
      <c r="L23" s="449">
        <f t="shared" ca="1" si="12"/>
        <v>0</v>
      </c>
      <c r="M23" s="449">
        <f t="shared" si="13"/>
        <v>0</v>
      </c>
      <c r="N23" s="449">
        <f t="shared" ca="1" si="14"/>
        <v>0</v>
      </c>
      <c r="O23" s="449">
        <f t="shared" si="15"/>
        <v>0</v>
      </c>
      <c r="P23" s="450">
        <f t="shared" si="16"/>
        <v>0</v>
      </c>
      <c r="Q23" s="448">
        <f t="shared" ref="Q23:Q31" ca="1" si="17">SUM(B23:P23)</f>
        <v>2109.9191856272118</v>
      </c>
    </row>
    <row r="24" spans="1:17">
      <c r="A24" s="448" t="s">
        <v>193</v>
      </c>
      <c r="B24" s="449">
        <f t="shared" ca="1" si="2"/>
        <v>82.383179387484986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82.383179387484986</v>
      </c>
    </row>
    <row r="25" spans="1:17">
      <c r="A25" s="448" t="s">
        <v>111</v>
      </c>
      <c r="B25" s="449">
        <f t="shared" ca="1" si="2"/>
        <v>336.34923237678419</v>
      </c>
      <c r="C25" s="449">
        <f t="shared" ca="1" si="3"/>
        <v>0</v>
      </c>
      <c r="D25" s="449">
        <f t="shared" si="4"/>
        <v>2.1700545467823171</v>
      </c>
      <c r="E25" s="449">
        <f t="shared" si="5"/>
        <v>14.359771056732598</v>
      </c>
      <c r="F25" s="449">
        <f t="shared" si="6"/>
        <v>1469.3913826507749</v>
      </c>
      <c r="G25" s="449">
        <f t="shared" si="7"/>
        <v>0</v>
      </c>
      <c r="H25" s="449">
        <f t="shared" si="8"/>
        <v>0</v>
      </c>
      <c r="I25" s="449">
        <f t="shared" si="9"/>
        <v>0</v>
      </c>
      <c r="J25" s="449">
        <f t="shared" si="10"/>
        <v>157.62837213356005</v>
      </c>
      <c r="K25" s="449">
        <f t="shared" si="11"/>
        <v>0</v>
      </c>
      <c r="L25" s="449">
        <f t="shared" si="12"/>
        <v>0</v>
      </c>
      <c r="M25" s="449">
        <f t="shared" si="13"/>
        <v>0</v>
      </c>
      <c r="N25" s="449">
        <f t="shared" si="14"/>
        <v>0</v>
      </c>
      <c r="O25" s="449">
        <f t="shared" si="15"/>
        <v>0</v>
      </c>
      <c r="P25" s="450">
        <f t="shared" si="16"/>
        <v>0</v>
      </c>
      <c r="Q25" s="448">
        <f t="shared" ca="1" si="17"/>
        <v>1979.8988127646342</v>
      </c>
    </row>
    <row r="26" spans="1:17">
      <c r="A26" s="448" t="s">
        <v>618</v>
      </c>
      <c r="B26" s="449">
        <f t="shared" ca="1" si="2"/>
        <v>203.25216683488279</v>
      </c>
      <c r="C26" s="449">
        <f t="shared" ca="1" si="3"/>
        <v>0</v>
      </c>
      <c r="D26" s="449">
        <f t="shared" si="4"/>
        <v>45.048707490277216</v>
      </c>
      <c r="E26" s="449">
        <f t="shared" si="5"/>
        <v>0.59413430253233002</v>
      </c>
      <c r="F26" s="449">
        <f t="shared" si="6"/>
        <v>80.349588608310711</v>
      </c>
      <c r="G26" s="449">
        <f t="shared" si="7"/>
        <v>0</v>
      </c>
      <c r="H26" s="449">
        <f t="shared" si="8"/>
        <v>0</v>
      </c>
      <c r="I26" s="449">
        <f t="shared" si="9"/>
        <v>0</v>
      </c>
      <c r="J26" s="449">
        <f t="shared" si="10"/>
        <v>2.9274412228359935E-2</v>
      </c>
      <c r="K26" s="449">
        <f t="shared" si="11"/>
        <v>0</v>
      </c>
      <c r="L26" s="449">
        <f t="shared" si="12"/>
        <v>0</v>
      </c>
      <c r="M26" s="449">
        <f t="shared" si="13"/>
        <v>0</v>
      </c>
      <c r="N26" s="449">
        <f t="shared" si="14"/>
        <v>0</v>
      </c>
      <c r="O26" s="449">
        <f t="shared" si="15"/>
        <v>0</v>
      </c>
      <c r="P26" s="450">
        <f t="shared" si="16"/>
        <v>0</v>
      </c>
      <c r="Q26" s="448">
        <f t="shared" ca="1" si="17"/>
        <v>329.27387164823142</v>
      </c>
    </row>
    <row r="27" spans="1:17" s="454" customFormat="1">
      <c r="A27" s="452" t="s">
        <v>544</v>
      </c>
      <c r="B27" s="771">
        <f t="shared" ca="1" si="2"/>
        <v>15.961147295471024</v>
      </c>
      <c r="C27" s="453">
        <f t="shared" ca="1" si="3"/>
        <v>0</v>
      </c>
      <c r="D27" s="453">
        <f t="shared" si="4"/>
        <v>30.688994326317093</v>
      </c>
      <c r="E27" s="453">
        <f t="shared" si="5"/>
        <v>18.871987169527518</v>
      </c>
      <c r="F27" s="453">
        <f t="shared" si="6"/>
        <v>0</v>
      </c>
      <c r="G27" s="453">
        <f t="shared" si="7"/>
        <v>10566.762481003994</v>
      </c>
      <c r="H27" s="453">
        <f t="shared" si="8"/>
        <v>2294.2097023609977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12926.494312156308</v>
      </c>
    </row>
    <row r="28" spans="1:17" ht="16.5" customHeight="1">
      <c r="A28" s="448" t="s">
        <v>534</v>
      </c>
      <c r="B28" s="449">
        <f t="shared" ca="1" si="2"/>
        <v>1.9336378528303286</v>
      </c>
      <c r="C28" s="449">
        <f t="shared" ca="1" si="3"/>
        <v>0</v>
      </c>
      <c r="D28" s="449">
        <f t="shared" si="4"/>
        <v>0</v>
      </c>
      <c r="E28" s="449">
        <f t="shared" si="5"/>
        <v>0</v>
      </c>
      <c r="F28" s="449">
        <f t="shared" si="6"/>
        <v>0</v>
      </c>
      <c r="G28" s="449">
        <f t="shared" si="7"/>
        <v>185.84684281629373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187.78048066912405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72.891382058856365</v>
      </c>
      <c r="C32" s="449">
        <f t="shared" ca="1" si="3"/>
        <v>0</v>
      </c>
      <c r="D32" s="449">
        <f t="shared" si="4"/>
        <v>48.080246841848897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120.97162890070527</v>
      </c>
    </row>
    <row r="33" spans="1:17" s="460" customFormat="1">
      <c r="A33" s="458" t="s">
        <v>538</v>
      </c>
      <c r="B33" s="459">
        <f ca="1">SUM(B22:B32)</f>
        <v>3979.7602654680236</v>
      </c>
      <c r="C33" s="459">
        <f t="shared" ref="C33:Q33" ca="1" si="19">SUM(C22:C32)</f>
        <v>0</v>
      </c>
      <c r="D33" s="459">
        <f t="shared" ca="1" si="19"/>
        <v>2601.8825620417429</v>
      </c>
      <c r="E33" s="459">
        <f t="shared" si="19"/>
        <v>301.42301119153075</v>
      </c>
      <c r="F33" s="459">
        <f t="shared" ca="1" si="19"/>
        <v>8823.5792540423608</v>
      </c>
      <c r="G33" s="459">
        <f t="shared" si="19"/>
        <v>10752.609323820288</v>
      </c>
      <c r="H33" s="459">
        <f t="shared" si="19"/>
        <v>2294.2097023609977</v>
      </c>
      <c r="I33" s="459">
        <f t="shared" si="19"/>
        <v>0</v>
      </c>
      <c r="J33" s="459">
        <f t="shared" si="19"/>
        <v>204.61678467034531</v>
      </c>
      <c r="K33" s="459">
        <f t="shared" si="19"/>
        <v>0</v>
      </c>
      <c r="L33" s="459">
        <f t="shared" ca="1" si="19"/>
        <v>0</v>
      </c>
      <c r="M33" s="459">
        <f t="shared" si="19"/>
        <v>0</v>
      </c>
      <c r="N33" s="459">
        <f t="shared" ca="1" si="19"/>
        <v>0</v>
      </c>
      <c r="O33" s="459">
        <f t="shared" si="19"/>
        <v>0</v>
      </c>
      <c r="P33" s="459">
        <f t="shared" si="19"/>
        <v>0</v>
      </c>
      <c r="Q33" s="459">
        <f t="shared" ca="1" si="19"/>
        <v>28958.080903595288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2062.6242772481055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2062.6242772481055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0.19828816234905117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0.19828816234905117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0.19828816234905117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0.19828816234905117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2445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3339.69</v>
      </c>
      <c r="C14" s="326"/>
      <c r="D14" s="326"/>
      <c r="E14" s="326"/>
      <c r="F14" s="326"/>
    </row>
    <row r="15" spans="1:6">
      <c r="A15" s="1307" t="s">
        <v>183</v>
      </c>
      <c r="B15" s="1308">
        <v>40</v>
      </c>
      <c r="C15" s="326"/>
      <c r="D15" s="326"/>
      <c r="E15" s="326"/>
      <c r="F15" s="326"/>
    </row>
    <row r="16" spans="1:6">
      <c r="A16" s="1307" t="s">
        <v>6</v>
      </c>
      <c r="B16" s="1308">
        <v>1226</v>
      </c>
      <c r="C16" s="326"/>
      <c r="D16" s="326"/>
      <c r="E16" s="326"/>
      <c r="F16" s="326"/>
    </row>
    <row r="17" spans="1:6">
      <c r="A17" s="1307" t="s">
        <v>7</v>
      </c>
      <c r="B17" s="1308">
        <v>1233</v>
      </c>
      <c r="C17" s="326"/>
      <c r="D17" s="326"/>
      <c r="E17" s="326"/>
      <c r="F17" s="326"/>
    </row>
    <row r="18" spans="1:6">
      <c r="A18" s="1307" t="s">
        <v>8</v>
      </c>
      <c r="B18" s="1308">
        <v>1681</v>
      </c>
      <c r="C18" s="326"/>
      <c r="D18" s="326"/>
      <c r="E18" s="326"/>
      <c r="F18" s="326"/>
    </row>
    <row r="19" spans="1:6">
      <c r="A19" s="1307" t="s">
        <v>9</v>
      </c>
      <c r="B19" s="1308">
        <v>1635</v>
      </c>
      <c r="C19" s="326"/>
      <c r="D19" s="326"/>
      <c r="E19" s="326"/>
      <c r="F19" s="326"/>
    </row>
    <row r="20" spans="1:6">
      <c r="A20" s="1307" t="s">
        <v>10</v>
      </c>
      <c r="B20" s="1308">
        <v>1047</v>
      </c>
      <c r="C20" s="326"/>
      <c r="D20" s="326"/>
      <c r="E20" s="326"/>
      <c r="F20" s="326"/>
    </row>
    <row r="21" spans="1:6">
      <c r="A21" s="1307" t="s">
        <v>11</v>
      </c>
      <c r="B21" s="1308">
        <v>1139</v>
      </c>
      <c r="C21" s="326"/>
      <c r="D21" s="326"/>
      <c r="E21" s="326"/>
      <c r="F21" s="326"/>
    </row>
    <row r="22" spans="1:6">
      <c r="A22" s="1307" t="s">
        <v>12</v>
      </c>
      <c r="B22" s="1308">
        <v>5420</v>
      </c>
      <c r="C22" s="326"/>
      <c r="D22" s="326"/>
      <c r="E22" s="326"/>
      <c r="F22" s="326"/>
    </row>
    <row r="23" spans="1:6">
      <c r="A23" s="1307" t="s">
        <v>13</v>
      </c>
      <c r="B23" s="1308">
        <v>50</v>
      </c>
      <c r="C23" s="326"/>
      <c r="D23" s="326"/>
      <c r="E23" s="326"/>
      <c r="F23" s="326"/>
    </row>
    <row r="24" spans="1:6">
      <c r="A24" s="1307" t="s">
        <v>14</v>
      </c>
      <c r="B24" s="1308">
        <v>6</v>
      </c>
      <c r="C24" s="326"/>
      <c r="D24" s="326"/>
      <c r="E24" s="326"/>
      <c r="F24" s="326"/>
    </row>
    <row r="25" spans="1:6">
      <c r="A25" s="1307" t="s">
        <v>15</v>
      </c>
      <c r="B25" s="1308">
        <v>456</v>
      </c>
      <c r="C25" s="326"/>
      <c r="D25" s="326"/>
      <c r="E25" s="326"/>
      <c r="F25" s="326"/>
    </row>
    <row r="26" spans="1:6">
      <c r="A26" s="1307" t="s">
        <v>16</v>
      </c>
      <c r="B26" s="1308">
        <v>106</v>
      </c>
      <c r="C26" s="326"/>
      <c r="D26" s="326"/>
      <c r="E26" s="326"/>
      <c r="F26" s="326"/>
    </row>
    <row r="27" spans="1:6">
      <c r="A27" s="1307" t="s">
        <v>17</v>
      </c>
      <c r="B27" s="1308">
        <v>730</v>
      </c>
      <c r="C27" s="326"/>
      <c r="D27" s="326"/>
      <c r="E27" s="326"/>
      <c r="F27" s="326"/>
    </row>
    <row r="28" spans="1:6" s="43" customFormat="1">
      <c r="A28" s="1309" t="s">
        <v>18</v>
      </c>
      <c r="B28" s="1310">
        <v>51275</v>
      </c>
      <c r="C28" s="332"/>
      <c r="D28" s="332"/>
      <c r="E28" s="332"/>
      <c r="F28" s="332"/>
    </row>
    <row r="29" spans="1:6">
      <c r="A29" s="1309" t="s">
        <v>688</v>
      </c>
      <c r="B29" s="1310">
        <v>175</v>
      </c>
      <c r="C29" s="332"/>
      <c r="D29" s="332"/>
      <c r="E29" s="332"/>
      <c r="F29" s="332"/>
    </row>
    <row r="30" spans="1:6">
      <c r="A30" s="1302" t="s">
        <v>689</v>
      </c>
      <c r="B30" s="1311">
        <v>81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554</v>
      </c>
      <c r="D39" s="1308">
        <v>8443920.8320839591</v>
      </c>
      <c r="E39" s="1308">
        <v>2212</v>
      </c>
      <c r="F39" s="1308">
        <v>9589943.9134865906</v>
      </c>
    </row>
    <row r="40" spans="1:6">
      <c r="A40" s="1307" t="s">
        <v>29</v>
      </c>
      <c r="B40" s="1307" t="s">
        <v>28</v>
      </c>
      <c r="C40" s="1308">
        <v>0</v>
      </c>
      <c r="D40" s="1308">
        <v>0</v>
      </c>
      <c r="E40" s="1308">
        <v>0</v>
      </c>
      <c r="F40" s="1308">
        <v>0</v>
      </c>
    </row>
    <row r="41" spans="1:6">
      <c r="A41" s="1307" t="s">
        <v>31</v>
      </c>
      <c r="B41" s="1307" t="s">
        <v>32</v>
      </c>
      <c r="C41" s="1308">
        <v>8</v>
      </c>
      <c r="D41" s="1308">
        <v>153145.00730277601</v>
      </c>
      <c r="E41" s="1308">
        <v>70</v>
      </c>
      <c r="F41" s="1308">
        <v>472246.633267025</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7</v>
      </c>
      <c r="F44" s="1308">
        <v>76427.161849290307</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5</v>
      </c>
      <c r="F47" s="1308">
        <v>97103.586842163902</v>
      </c>
    </row>
    <row r="48" spans="1:6">
      <c r="A48" s="1307" t="s">
        <v>31</v>
      </c>
      <c r="B48" s="1307" t="s">
        <v>28</v>
      </c>
      <c r="C48" s="1308">
        <v>4</v>
      </c>
      <c r="D48" s="1308">
        <v>93824.431697460896</v>
      </c>
      <c r="E48" s="1308">
        <v>2</v>
      </c>
      <c r="F48" s="1308">
        <v>6005.8083684836001</v>
      </c>
    </row>
    <row r="49" spans="1:6">
      <c r="A49" s="1307" t="s">
        <v>31</v>
      </c>
      <c r="B49" s="1307" t="s">
        <v>39</v>
      </c>
      <c r="C49" s="1308">
        <v>0</v>
      </c>
      <c r="D49" s="1308">
        <v>0</v>
      </c>
      <c r="E49" s="1308">
        <v>3</v>
      </c>
      <c r="F49" s="1308">
        <v>20286.038662231</v>
      </c>
    </row>
    <row r="50" spans="1:6">
      <c r="A50" s="1307" t="s">
        <v>31</v>
      </c>
      <c r="B50" s="1307" t="s">
        <v>40</v>
      </c>
      <c r="C50" s="1308">
        <v>0</v>
      </c>
      <c r="D50" s="1308">
        <v>0</v>
      </c>
      <c r="E50" s="1308">
        <v>7</v>
      </c>
      <c r="F50" s="1308">
        <v>352965.06668950297</v>
      </c>
    </row>
    <row r="51" spans="1:6">
      <c r="A51" s="1307" t="s">
        <v>41</v>
      </c>
      <c r="B51" s="1307" t="s">
        <v>42</v>
      </c>
      <c r="C51" s="1308">
        <v>0</v>
      </c>
      <c r="D51" s="1308">
        <v>0</v>
      </c>
      <c r="E51" s="1308">
        <v>113</v>
      </c>
      <c r="F51" s="1308">
        <v>1696264.8117374801</v>
      </c>
    </row>
    <row r="52" spans="1:6">
      <c r="A52" s="1307" t="s">
        <v>41</v>
      </c>
      <c r="B52" s="1307" t="s">
        <v>28</v>
      </c>
      <c r="C52" s="1308">
        <v>1</v>
      </c>
      <c r="D52" s="1308">
        <v>11896.8375315632</v>
      </c>
      <c r="E52" s="1308">
        <v>0</v>
      </c>
      <c r="F52" s="1308">
        <v>0</v>
      </c>
    </row>
    <row r="53" spans="1:6">
      <c r="A53" s="1307" t="s">
        <v>43</v>
      </c>
      <c r="B53" s="1307" t="s">
        <v>44</v>
      </c>
      <c r="C53" s="1308">
        <v>21</v>
      </c>
      <c r="D53" s="1308">
        <v>238021.02396954899</v>
      </c>
      <c r="E53" s="1308">
        <v>99</v>
      </c>
      <c r="F53" s="1308">
        <v>367603.29610874102</v>
      </c>
    </row>
    <row r="54" spans="1:6">
      <c r="A54" s="1307" t="s">
        <v>45</v>
      </c>
      <c r="B54" s="1307" t="s">
        <v>46</v>
      </c>
      <c r="C54" s="1308">
        <v>0</v>
      </c>
      <c r="D54" s="1308">
        <v>0</v>
      </c>
      <c r="E54" s="1308">
        <v>1</v>
      </c>
      <c r="F54" s="1308">
        <v>415472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7</v>
      </c>
      <c r="D57" s="1308">
        <v>195917.573138796</v>
      </c>
      <c r="E57" s="1308">
        <v>34</v>
      </c>
      <c r="F57" s="1308">
        <v>484778.15214506298</v>
      </c>
    </row>
    <row r="58" spans="1:6">
      <c r="A58" s="1307" t="s">
        <v>48</v>
      </c>
      <c r="B58" s="1307" t="s">
        <v>50</v>
      </c>
      <c r="C58" s="1308">
        <v>6</v>
      </c>
      <c r="D58" s="1308">
        <v>2539254.6699888101</v>
      </c>
      <c r="E58" s="1308">
        <v>24</v>
      </c>
      <c r="F58" s="1308">
        <v>954143.02588554996</v>
      </c>
    </row>
    <row r="59" spans="1:6">
      <c r="A59" s="1307" t="s">
        <v>48</v>
      </c>
      <c r="B59" s="1307" t="s">
        <v>51</v>
      </c>
      <c r="C59" s="1308">
        <v>13</v>
      </c>
      <c r="D59" s="1308">
        <v>324768.66137021699</v>
      </c>
      <c r="E59" s="1308">
        <v>69</v>
      </c>
      <c r="F59" s="1308">
        <v>1186693.32885621</v>
      </c>
    </row>
    <row r="60" spans="1:6">
      <c r="A60" s="1307" t="s">
        <v>48</v>
      </c>
      <c r="B60" s="1307" t="s">
        <v>52</v>
      </c>
      <c r="C60" s="1308">
        <v>11</v>
      </c>
      <c r="D60" s="1308">
        <v>462568.84716594999</v>
      </c>
      <c r="E60" s="1308">
        <v>29</v>
      </c>
      <c r="F60" s="1308">
        <v>529568.20862068504</v>
      </c>
    </row>
    <row r="61" spans="1:6">
      <c r="A61" s="1307" t="s">
        <v>48</v>
      </c>
      <c r="B61" s="1307" t="s">
        <v>53</v>
      </c>
      <c r="C61" s="1308">
        <v>37</v>
      </c>
      <c r="D61" s="1308">
        <v>1345210.3269451</v>
      </c>
      <c r="E61" s="1308">
        <v>144</v>
      </c>
      <c r="F61" s="1308">
        <v>1658554.14568053</v>
      </c>
    </row>
    <row r="62" spans="1:6">
      <c r="A62" s="1307" t="s">
        <v>48</v>
      </c>
      <c r="B62" s="1307" t="s">
        <v>54</v>
      </c>
      <c r="C62" s="1308">
        <v>5</v>
      </c>
      <c r="D62" s="1308">
        <v>261895.91833974901</v>
      </c>
      <c r="E62" s="1308">
        <v>10</v>
      </c>
      <c r="F62" s="1308">
        <v>114422.46866492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15832.484234755</v>
      </c>
      <c r="E65" s="1308">
        <v>1</v>
      </c>
      <c r="F65" s="1308">
        <v>6605.4189086947999</v>
      </c>
    </row>
    <row r="66" spans="1:6">
      <c r="A66" s="1307" t="s">
        <v>55</v>
      </c>
      <c r="B66" s="1307" t="s">
        <v>57</v>
      </c>
      <c r="C66" s="1308">
        <v>0</v>
      </c>
      <c r="D66" s="1308">
        <v>0</v>
      </c>
      <c r="E66" s="1308">
        <v>6</v>
      </c>
      <c r="F66" s="1308">
        <v>109243.66278867501</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39286563</v>
      </c>
      <c r="E73" s="447"/>
      <c r="F73" s="326"/>
    </row>
    <row r="74" spans="1:6">
      <c r="A74" s="1307" t="s">
        <v>63</v>
      </c>
      <c r="B74" s="1307" t="s">
        <v>639</v>
      </c>
      <c r="C74" s="1321" t="s">
        <v>641</v>
      </c>
      <c r="D74" s="1322">
        <v>4672502.9871021193</v>
      </c>
      <c r="E74" s="447"/>
      <c r="F74" s="326"/>
    </row>
    <row r="75" spans="1:6">
      <c r="A75" s="1307" t="s">
        <v>64</v>
      </c>
      <c r="B75" s="1307" t="s">
        <v>638</v>
      </c>
      <c r="C75" s="1321" t="s">
        <v>642</v>
      </c>
      <c r="D75" s="1322">
        <v>13978072</v>
      </c>
      <c r="E75" s="447"/>
      <c r="F75" s="326"/>
    </row>
    <row r="76" spans="1:6">
      <c r="A76" s="1307" t="s">
        <v>64</v>
      </c>
      <c r="B76" s="1307" t="s">
        <v>639</v>
      </c>
      <c r="C76" s="1321" t="s">
        <v>643</v>
      </c>
      <c r="D76" s="1322">
        <v>842862.98710211902</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206120.02579576199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1957.8652711638924</v>
      </c>
      <c r="C91" s="326"/>
      <c r="D91" s="326"/>
      <c r="E91" s="326"/>
      <c r="F91" s="326"/>
    </row>
    <row r="92" spans="1:6">
      <c r="A92" s="1302" t="s">
        <v>68</v>
      </c>
      <c r="B92" s="1303">
        <v>104.75900608421317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15</v>
      </c>
      <c r="C97" s="326"/>
      <c r="D97" s="326"/>
      <c r="E97" s="326"/>
      <c r="F97" s="326"/>
    </row>
    <row r="98" spans="1:6">
      <c r="A98" s="1307" t="s">
        <v>71</v>
      </c>
      <c r="B98" s="1308">
        <v>2</v>
      </c>
      <c r="C98" s="326"/>
      <c r="D98" s="326"/>
      <c r="E98" s="326"/>
      <c r="F98" s="326"/>
    </row>
    <row r="99" spans="1:6">
      <c r="A99" s="1307" t="s">
        <v>72</v>
      </c>
      <c r="B99" s="1308">
        <v>91</v>
      </c>
      <c r="C99" s="326"/>
      <c r="D99" s="326"/>
      <c r="E99" s="326"/>
      <c r="F99" s="326"/>
    </row>
    <row r="100" spans="1:6">
      <c r="A100" s="1307" t="s">
        <v>73</v>
      </c>
      <c r="B100" s="1308">
        <v>178</v>
      </c>
      <c r="C100" s="326"/>
      <c r="D100" s="326"/>
      <c r="E100" s="326"/>
      <c r="F100" s="326"/>
    </row>
    <row r="101" spans="1:6">
      <c r="A101" s="1307" t="s">
        <v>74</v>
      </c>
      <c r="B101" s="1308">
        <v>97</v>
      </c>
      <c r="C101" s="326"/>
      <c r="D101" s="326"/>
      <c r="E101" s="326"/>
      <c r="F101" s="326"/>
    </row>
    <row r="102" spans="1:6">
      <c r="A102" s="1307" t="s">
        <v>75</v>
      </c>
      <c r="B102" s="1308">
        <v>38</v>
      </c>
      <c r="C102" s="326"/>
      <c r="D102" s="326"/>
      <c r="E102" s="326"/>
      <c r="F102" s="326"/>
    </row>
    <row r="103" spans="1:6">
      <c r="A103" s="1307" t="s">
        <v>76</v>
      </c>
      <c r="B103" s="1308">
        <v>153</v>
      </c>
      <c r="C103" s="326"/>
      <c r="D103" s="326"/>
      <c r="E103" s="326"/>
      <c r="F103" s="326"/>
    </row>
    <row r="104" spans="1:6">
      <c r="A104" s="1307" t="s">
        <v>77</v>
      </c>
      <c r="B104" s="1308">
        <v>1654</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22</v>
      </c>
      <c r="C123" s="1308">
        <v>16</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109</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16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20070.589279365857</v>
      </c>
      <c r="C3" s="43" t="s">
        <v>169</v>
      </c>
      <c r="D3" s="43"/>
      <c r="E3" s="154"/>
      <c r="F3" s="43"/>
      <c r="G3" s="43"/>
      <c r="H3" s="43"/>
      <c r="I3" s="43"/>
      <c r="J3" s="43"/>
      <c r="K3" s="96"/>
    </row>
    <row r="4" spans="1:11">
      <c r="A4" s="354" t="s">
        <v>170</v>
      </c>
      <c r="B4" s="49">
        <f>IF(ISERROR('SEAP template'!B78+'SEAP template'!C78),0,'SEAP template'!B78+'SEAP template'!C78)</f>
        <v>2062.6242772481055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0.19828816234905117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415.47199999999998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415.47199999999998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0.19828816234905117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82.383179387484986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9589.9439134865897</v>
      </c>
      <c r="C5" s="17">
        <f>IF(ISERROR('Eigen informatie GS &amp; warmtenet'!B59),0,'Eigen informatie GS &amp; warmtenet'!B59)</f>
        <v>0</v>
      </c>
      <c r="D5" s="30">
        <f>(SUM(HH_hh_gas_kWh,HH_rest_gas_kWh)/1000)*0.903</f>
        <v>7624.8605113718149</v>
      </c>
      <c r="E5" s="17">
        <f>B32*B41</f>
        <v>1167.3309106434767</v>
      </c>
      <c r="F5" s="17">
        <f>B36*B45</f>
        <v>26514.614931557986</v>
      </c>
      <c r="G5" s="18"/>
      <c r="H5" s="17"/>
      <c r="I5" s="17"/>
      <c r="J5" s="17">
        <f>B35*B44+C35*C44</f>
        <v>132.64814497342311</v>
      </c>
      <c r="K5" s="17"/>
      <c r="L5" s="17"/>
      <c r="M5" s="17"/>
      <c r="N5" s="17">
        <f>B34*B43+C34*C43</f>
        <v>3762.3810735507418</v>
      </c>
      <c r="O5" s="17">
        <f>B52*B53*B54</f>
        <v>249.97873564276603</v>
      </c>
      <c r="P5" s="17">
        <f>B60*B61*B62/1000-B60*B61*B62/1000/B63</f>
        <v>410.82441299971589</v>
      </c>
    </row>
    <row r="6" spans="1:16">
      <c r="A6" s="16" t="s">
        <v>604</v>
      </c>
      <c r="B6" s="779">
        <f>kWh_PV_kleiner_dan_10kW</f>
        <v>1957.8652711638924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11547.809184650483</v>
      </c>
      <c r="C8" s="21">
        <f>C5</f>
        <v>0</v>
      </c>
      <c r="D8" s="21">
        <f>D5</f>
        <v>7624.8605113718149</v>
      </c>
      <c r="E8" s="21">
        <f>E5</f>
        <v>1167.3309106434767</v>
      </c>
      <c r="F8" s="21">
        <f>F5</f>
        <v>26514.614931557986</v>
      </c>
      <c r="G8" s="21"/>
      <c r="H8" s="21"/>
      <c r="I8" s="21"/>
      <c r="J8" s="21">
        <f>J5</f>
        <v>132.64814497342311</v>
      </c>
      <c r="K8" s="21"/>
      <c r="L8" s="21">
        <f>L5</f>
        <v>0</v>
      </c>
      <c r="M8" s="21">
        <f>M5</f>
        <v>0</v>
      </c>
      <c r="N8" s="21">
        <f>N5</f>
        <v>3762.3810735507418</v>
      </c>
      <c r="O8" s="21">
        <f>O5</f>
        <v>249.97873564276603</v>
      </c>
      <c r="P8" s="21">
        <f>P5</f>
        <v>410.82441299971589</v>
      </c>
    </row>
    <row r="9" spans="1:16">
      <c r="B9" s="19"/>
      <c r="C9" s="19"/>
      <c r="D9" s="254"/>
      <c r="E9" s="19"/>
      <c r="F9" s="19"/>
      <c r="G9" s="19"/>
      <c r="H9" s="19"/>
      <c r="I9" s="19"/>
      <c r="J9" s="19"/>
      <c r="K9" s="19"/>
      <c r="L9" s="19"/>
      <c r="M9" s="19"/>
      <c r="N9" s="19"/>
      <c r="O9" s="19"/>
      <c r="P9" s="19"/>
    </row>
    <row r="10" spans="1:16">
      <c r="A10" s="24" t="s">
        <v>213</v>
      </c>
      <c r="B10" s="25">
        <f ca="1">'EF ele_warmte'!B12</f>
        <v>0.19828816234905117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2289.7938623818391</v>
      </c>
      <c r="C12" s="23">
        <f ca="1">C10*C8</f>
        <v>0</v>
      </c>
      <c r="D12" s="23">
        <f>D8*D10</f>
        <v>1540.2218232971068</v>
      </c>
      <c r="E12" s="23">
        <f>E10*E8</f>
        <v>264.98411671606925</v>
      </c>
      <c r="F12" s="23">
        <f>F10*F8</f>
        <v>7079.4021867259826</v>
      </c>
      <c r="G12" s="23"/>
      <c r="H12" s="23"/>
      <c r="I12" s="23"/>
      <c r="J12" s="23">
        <f>J10*J8</f>
        <v>46.957443320591779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2445</v>
      </c>
      <c r="C26" s="36"/>
      <c r="D26" s="225"/>
    </row>
    <row r="27" spans="1:5" s="15" customFormat="1">
      <c r="A27" s="227" t="s">
        <v>817</v>
      </c>
      <c r="B27" s="37">
        <f>SUM(HH_hh_gas_aantal,HH_rest_gas_aantal)</f>
        <v>554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526.29999999999995</v>
      </c>
      <c r="C31" s="34" t="s">
        <v>110</v>
      </c>
      <c r="D31" s="171"/>
    </row>
    <row r="32" spans="1:5">
      <c r="A32" s="168" t="s">
        <v>72</v>
      </c>
      <c r="B32" s="33">
        <f>IF((B21*($B$26-($B$27-0.05*$B$27)-$B$60))&lt;0,0,B21*($B$26-($B$27-0.05*$B$27)-$B$60))</f>
        <v>28.931137543242457</v>
      </c>
      <c r="C32" s="34" t="s">
        <v>110</v>
      </c>
      <c r="D32" s="171"/>
    </row>
    <row r="33" spans="1:6">
      <c r="A33" s="168" t="s">
        <v>73</v>
      </c>
      <c r="B33" s="33">
        <f>IF((B22*($B$26-($B$27-0.05*$B$27)-$B$60))&lt;0,0,B22*($B$26-($B$27-0.05*$B$27)-$B$60))</f>
        <v>469.78437495544847</v>
      </c>
      <c r="C33" s="34" t="s">
        <v>110</v>
      </c>
      <c r="D33" s="171"/>
    </row>
    <row r="34" spans="1:6">
      <c r="A34" s="168" t="s">
        <v>74</v>
      </c>
      <c r="B34" s="33">
        <f>IF((B24*($B$26-($B$27-0.05*$B$27)-$B$60))&lt;0,0,B24*($B$26-($B$27-0.05*$B$27)-$B$60))</f>
        <v>89.986335753642592</v>
      </c>
      <c r="C34" s="33">
        <f>B26*C24</f>
        <v>500.67218582206141</v>
      </c>
      <c r="D34" s="230"/>
    </row>
    <row r="35" spans="1:6">
      <c r="A35" s="168" t="s">
        <v>76</v>
      </c>
      <c r="B35" s="33">
        <f>IF((B19*($B$26-($B$27-0.05*$B$27)-$B$60))&lt;0,0,B19*($B$26-($B$27-0.05*$B$27)-$B$60))</f>
        <v>12.576296516327687</v>
      </c>
      <c r="C35" s="33">
        <f>B35/2</f>
        <v>6.2881482581638437</v>
      </c>
      <c r="D35" s="230"/>
    </row>
    <row r="36" spans="1:6">
      <c r="A36" s="168" t="s">
        <v>77</v>
      </c>
      <c r="B36" s="33">
        <f>IF((B18*($B$26-($B$27-0.05*$B$27)-$B$60))&lt;0,0,B18*($B$26-($B$27-0.05*$B$27)-$B$60))</f>
        <v>1278.4218552313382</v>
      </c>
      <c r="C36" s="34" t="s">
        <v>110</v>
      </c>
      <c r="D36" s="171"/>
    </row>
    <row r="37" spans="1:6">
      <c r="A37" s="168" t="s">
        <v>78</v>
      </c>
      <c r="B37" s="33">
        <f>B60</f>
        <v>39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4928.1593298529588</v>
      </c>
      <c r="C5" s="17">
        <f>IF(ISERROR('Eigen informatie GS &amp; warmtenet'!B60),0,'Eigen informatie GS &amp; warmtenet'!B60)</f>
        <v>0</v>
      </c>
      <c r="D5" s="30">
        <f>SUM(D6:D12)</f>
        <v>4632.0432452446057</v>
      </c>
      <c r="E5" s="17">
        <f>SUM(E6:E12)</f>
        <v>11.511021791493679</v>
      </c>
      <c r="F5" s="17">
        <f>SUM(F6:F12)</f>
        <v>728.22507886626397</v>
      </c>
      <c r="G5" s="18"/>
      <c r="H5" s="17"/>
      <c r="I5" s="17"/>
      <c r="J5" s="17">
        <f>SUM(J6:J12)</f>
        <v>4.7875818224415037E-3</v>
      </c>
      <c r="K5" s="17"/>
      <c r="L5" s="17"/>
      <c r="M5" s="17"/>
      <c r="N5" s="17">
        <f>SUM(N6:N12)</f>
        <v>181.81359272889196</v>
      </c>
      <c r="O5" s="17">
        <f>B38*B39*B40</f>
        <v>4.8972607658411542</v>
      </c>
      <c r="P5" s="17">
        <f>B46*B47*B48/1000-B46*B47*B48/1000/B49</f>
        <v>52.539138306495019</v>
      </c>
      <c r="R5" s="32"/>
    </row>
    <row r="6" spans="1:18">
      <c r="A6" s="32" t="s">
        <v>53</v>
      </c>
      <c r="B6" s="37">
        <f>B26</f>
        <v>1658.5541456805299</v>
      </c>
      <c r="C6" s="33"/>
      <c r="D6" s="37">
        <f>IF(ISERROR(TER_kantoor_gas_kWh/1000),0,TER_kantoor_gas_kWh/1000)*0.903</f>
        <v>1214.7249252314252</v>
      </c>
      <c r="E6" s="33">
        <f>$C$26*'E Balans VL '!I12/100/3.6*1000000</f>
        <v>0.39735015010486097</v>
      </c>
      <c r="F6" s="33">
        <f>$C$26*('E Balans VL '!L12+'E Balans VL '!N12)/100/3.6*1000000</f>
        <v>157.27874161100058</v>
      </c>
      <c r="G6" s="34"/>
      <c r="H6" s="33"/>
      <c r="I6" s="33"/>
      <c r="J6" s="33">
        <f>$C$26*('E Balans VL '!D12+'E Balans VL '!E12)/100/3.6*1000000</f>
        <v>0</v>
      </c>
      <c r="K6" s="33"/>
      <c r="L6" s="33"/>
      <c r="M6" s="33"/>
      <c r="N6" s="33">
        <f>$C$26*'E Balans VL '!Y12/100/3.6*1000000</f>
        <v>0.84245971945556819</v>
      </c>
      <c r="O6" s="33"/>
      <c r="P6" s="33"/>
      <c r="R6" s="32"/>
    </row>
    <row r="7" spans="1:18">
      <c r="A7" s="32" t="s">
        <v>52</v>
      </c>
      <c r="B7" s="37">
        <f t="shared" ref="B7:B12" si="0">B27</f>
        <v>529.56820862068503</v>
      </c>
      <c r="C7" s="33"/>
      <c r="D7" s="37">
        <f>IF(ISERROR(TER_horeca_gas_kWh/1000),0,TER_horeca_gas_kWh/1000)*0.903</f>
        <v>417.69966899085284</v>
      </c>
      <c r="E7" s="33">
        <f>$C$27*'E Balans VL '!I9/100/3.6*1000000</f>
        <v>0</v>
      </c>
      <c r="F7" s="33">
        <f>$C$27*('E Balans VL '!L9+'E Balans VL '!N9)/100/3.6*1000000</f>
        <v>43.423348256575416</v>
      </c>
      <c r="G7" s="34"/>
      <c r="H7" s="33"/>
      <c r="I7" s="33"/>
      <c r="J7" s="33">
        <f>$C$27*('E Balans VL '!D9+'E Balans VL '!E9)/100/3.6*1000000</f>
        <v>0</v>
      </c>
      <c r="K7" s="33"/>
      <c r="L7" s="33"/>
      <c r="M7" s="33"/>
      <c r="N7" s="33">
        <f>$C$27*'E Balans VL '!Y9/100/3.6*1000000</f>
        <v>0.16233393243257901</v>
      </c>
      <c r="O7" s="33"/>
      <c r="P7" s="33"/>
      <c r="R7" s="32"/>
    </row>
    <row r="8" spans="1:18">
      <c r="A8" s="6" t="s">
        <v>51</v>
      </c>
      <c r="B8" s="37">
        <f t="shared" si="0"/>
        <v>1186.69332885621</v>
      </c>
      <c r="C8" s="33"/>
      <c r="D8" s="37">
        <f>IF(ISERROR(TER_handel_gas_kWh/1000),0,TER_handel_gas_kWh/1000)*0.903</f>
        <v>293.26610121730596</v>
      </c>
      <c r="E8" s="33">
        <f>$C$28*'E Balans VL '!I13/100/3.6*1000000</f>
        <v>4.1705784600091622</v>
      </c>
      <c r="F8" s="33">
        <f>$C$28*('E Balans VL '!L13+'E Balans VL '!N13)/100/3.6*1000000</f>
        <v>108.58030848801265</v>
      </c>
      <c r="G8" s="34"/>
      <c r="H8" s="33"/>
      <c r="I8" s="33"/>
      <c r="J8" s="33">
        <f>$C$28*('E Balans VL '!D13+'E Balans VL '!E13)/100/3.6*1000000</f>
        <v>0</v>
      </c>
      <c r="K8" s="33"/>
      <c r="L8" s="33"/>
      <c r="M8" s="33"/>
      <c r="N8" s="33">
        <f>$C$28*'E Balans VL '!Y13/100/3.6*1000000</f>
        <v>0.42976923465192257</v>
      </c>
      <c r="O8" s="33"/>
      <c r="P8" s="33"/>
      <c r="R8" s="32"/>
    </row>
    <row r="9" spans="1:18">
      <c r="A9" s="32" t="s">
        <v>50</v>
      </c>
      <c r="B9" s="37">
        <f t="shared" si="0"/>
        <v>954.14302588554995</v>
      </c>
      <c r="C9" s="33"/>
      <c r="D9" s="37">
        <f>IF(ISERROR(TER_gezond_gas_kWh/1000),0,TER_gezond_gas_kWh/1000)*0.903</f>
        <v>2292.9469669998957</v>
      </c>
      <c r="E9" s="33">
        <f>$C$29*'E Balans VL '!I10/100/3.6*1000000</f>
        <v>0</v>
      </c>
      <c r="F9" s="33">
        <f>$C$29*('E Balans VL '!L10+'E Balans VL '!N10)/100/3.6*1000000</f>
        <v>116.96041409453262</v>
      </c>
      <c r="G9" s="34"/>
      <c r="H9" s="33"/>
      <c r="I9" s="33"/>
      <c r="J9" s="33">
        <f>$C$29*('E Balans VL '!D10+'E Balans VL '!E10)/100/3.6*1000000</f>
        <v>0</v>
      </c>
      <c r="K9" s="33"/>
      <c r="L9" s="33"/>
      <c r="M9" s="33"/>
      <c r="N9" s="33">
        <f>$C$29*'E Balans VL '!Y10/100/3.6*1000000</f>
        <v>7.0361399167247498</v>
      </c>
      <c r="O9" s="33"/>
      <c r="P9" s="33"/>
      <c r="R9" s="32"/>
    </row>
    <row r="10" spans="1:18">
      <c r="A10" s="32" t="s">
        <v>49</v>
      </c>
      <c r="B10" s="37">
        <f t="shared" si="0"/>
        <v>484.77815214506296</v>
      </c>
      <c r="C10" s="33"/>
      <c r="D10" s="37">
        <f>IF(ISERROR(TER_ander_gas_kWh/1000),0,TER_ander_gas_kWh/1000)*0.903</f>
        <v>176.9135685443328</v>
      </c>
      <c r="E10" s="33">
        <f>$C$30*'E Balans VL '!I14/100/3.6*1000000</f>
        <v>6.9430931813796546</v>
      </c>
      <c r="F10" s="33">
        <f>$C$30*('E Balans VL '!L14+'E Balans VL '!N14)/100/3.6*1000000</f>
        <v>288.60491723922433</v>
      </c>
      <c r="G10" s="34"/>
      <c r="H10" s="33"/>
      <c r="I10" s="33"/>
      <c r="J10" s="33">
        <f>$C$30*('E Balans VL '!D14+'E Balans VL '!E14)/100/3.6*1000000</f>
        <v>4.7875818224415037E-3</v>
      </c>
      <c r="K10" s="33"/>
      <c r="L10" s="33"/>
      <c r="M10" s="33"/>
      <c r="N10" s="33">
        <f>$C$30*'E Balans VL '!Y14/100/3.6*1000000</f>
        <v>173.02068939313807</v>
      </c>
      <c r="O10" s="33"/>
      <c r="P10" s="33"/>
      <c r="R10" s="32"/>
    </row>
    <row r="11" spans="1:18">
      <c r="A11" s="32" t="s">
        <v>54</v>
      </c>
      <c r="B11" s="37">
        <f t="shared" si="0"/>
        <v>114.42246866492</v>
      </c>
      <c r="C11" s="33"/>
      <c r="D11" s="37">
        <f>IF(ISERROR(TER_onderwijs_gas_kWh/1000),0,TER_onderwijs_gas_kWh/1000)*0.903</f>
        <v>236.49201426079335</v>
      </c>
      <c r="E11" s="33">
        <f>$C$31*'E Balans VL '!I11/100/3.6*1000000</f>
        <v>0</v>
      </c>
      <c r="F11" s="33">
        <f>$C$31*('E Balans VL '!L11+'E Balans VL '!N11)/100/3.6*1000000</f>
        <v>13.377349176918273</v>
      </c>
      <c r="G11" s="34"/>
      <c r="H11" s="33"/>
      <c r="I11" s="33"/>
      <c r="J11" s="33">
        <f>$C$31*('E Balans VL '!D11+'E Balans VL '!E11)/100/3.6*1000000</f>
        <v>0</v>
      </c>
      <c r="K11" s="33"/>
      <c r="L11" s="33"/>
      <c r="M11" s="33"/>
      <c r="N11" s="33">
        <f>$C$31*'E Balans VL '!Y11/100/3.6*1000000</f>
        <v>0.32220053248905267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4928.1593298529588</v>
      </c>
      <c r="C16" s="21">
        <f t="shared" ca="1" si="1"/>
        <v>0</v>
      </c>
      <c r="D16" s="21">
        <f t="shared" ca="1" si="1"/>
        <v>4632.0432452446057</v>
      </c>
      <c r="E16" s="21">
        <f t="shared" si="1"/>
        <v>11.511021791493679</v>
      </c>
      <c r="F16" s="21">
        <f t="shared" ca="1" si="1"/>
        <v>728.22507886626397</v>
      </c>
      <c r="G16" s="21">
        <f t="shared" si="1"/>
        <v>0</v>
      </c>
      <c r="H16" s="21">
        <f t="shared" si="1"/>
        <v>0</v>
      </c>
      <c r="I16" s="21">
        <f t="shared" si="1"/>
        <v>0</v>
      </c>
      <c r="J16" s="21">
        <f t="shared" si="1"/>
        <v>4.7875818224415037E-3</v>
      </c>
      <c r="K16" s="21">
        <f t="shared" si="1"/>
        <v>0</v>
      </c>
      <c r="L16" s="21">
        <f t="shared" ca="1" si="1"/>
        <v>0</v>
      </c>
      <c r="M16" s="21">
        <f t="shared" si="1"/>
        <v>0</v>
      </c>
      <c r="N16" s="21">
        <f t="shared" ca="1" si="1"/>
        <v>181.81359272889196</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0.19828816234905117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977.19565727987469</v>
      </c>
      <c r="C20" s="23">
        <f t="shared" ref="C20:P20" ca="1" si="2">C16*C18</f>
        <v>0</v>
      </c>
      <c r="D20" s="23">
        <f t="shared" ca="1" si="2"/>
        <v>935.67273553941038</v>
      </c>
      <c r="E20" s="23">
        <f t="shared" si="2"/>
        <v>2.613001946669065</v>
      </c>
      <c r="F20" s="23">
        <f t="shared" ca="1" si="2"/>
        <v>194.4360960572925</v>
      </c>
      <c r="G20" s="23">
        <f t="shared" si="2"/>
        <v>0</v>
      </c>
      <c r="H20" s="23">
        <f t="shared" si="2"/>
        <v>0</v>
      </c>
      <c r="I20" s="23">
        <f t="shared" si="2"/>
        <v>0</v>
      </c>
      <c r="J20" s="23">
        <f t="shared" si="2"/>
        <v>1.6948039651442923E-3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1658.5541456805299</v>
      </c>
      <c r="C26" s="39">
        <f>IF(ISERROR(B26*3.6/1000000/'E Balans VL '!Z12*100),0,B26*3.6/1000000/'E Balans VL '!Z12*100)</f>
        <v>4.6775618981940187E-2</v>
      </c>
      <c r="D26" s="233" t="s">
        <v>691</v>
      </c>
      <c r="F26" s="6"/>
    </row>
    <row r="27" spans="1:18">
      <c r="A27" s="228" t="s">
        <v>52</v>
      </c>
      <c r="B27" s="33">
        <f>IF(ISERROR(TER_horeca_ele_kWh/1000),0,TER_horeca_ele_kWh/1000)</f>
        <v>529.56820862068503</v>
      </c>
      <c r="C27" s="39">
        <f>IF(ISERROR(B27*3.6/1000000/'E Balans VL '!Z9*100),0,B27*3.6/1000000/'E Balans VL '!Z9*100)</f>
        <v>3.9260977094709458E-2</v>
      </c>
      <c r="D27" s="233" t="s">
        <v>691</v>
      </c>
      <c r="F27" s="6"/>
    </row>
    <row r="28" spans="1:18">
      <c r="A28" s="168" t="s">
        <v>51</v>
      </c>
      <c r="B28" s="33">
        <f>IF(ISERROR(TER_handel_ele_kWh/1000),0,TER_handel_ele_kWh/1000)</f>
        <v>1186.69332885621</v>
      </c>
      <c r="C28" s="39">
        <f>IF(ISERROR(B28*3.6/1000000/'E Balans VL '!Z13*100),0,B28*3.6/1000000/'E Balans VL '!Z13*100)</f>
        <v>3.5550510663800911E-2</v>
      </c>
      <c r="D28" s="233" t="s">
        <v>691</v>
      </c>
      <c r="F28" s="6"/>
    </row>
    <row r="29" spans="1:18">
      <c r="A29" s="228" t="s">
        <v>50</v>
      </c>
      <c r="B29" s="33">
        <f>IF(ISERROR(TER_gezond_ele_kWh/1000),0,TER_gezond_ele_kWh/1000)</f>
        <v>954.14302588554995</v>
      </c>
      <c r="C29" s="39">
        <f>IF(ISERROR(B29*3.6/1000000/'E Balans VL '!Z10*100),0,B29*3.6/1000000/'E Balans VL '!Z10*100)</f>
        <v>9.4346036374120673E-2</v>
      </c>
      <c r="D29" s="233" t="s">
        <v>691</v>
      </c>
      <c r="F29" s="6"/>
    </row>
    <row r="30" spans="1:18">
      <c r="A30" s="228" t="s">
        <v>49</v>
      </c>
      <c r="B30" s="33">
        <f>IF(ISERROR(TER_ander_ele_kWh/1000),0,TER_ander_ele_kWh/1000)</f>
        <v>484.77815214506296</v>
      </c>
      <c r="C30" s="39">
        <f>IF(ISERROR(B30*3.6/1000000/'E Balans VL '!Z14*100),0,B30*3.6/1000000/'E Balans VL '!Z14*100)</f>
        <v>1.9607843641398649E-2</v>
      </c>
      <c r="D30" s="233" t="s">
        <v>691</v>
      </c>
      <c r="F30" s="6"/>
    </row>
    <row r="31" spans="1:18">
      <c r="A31" s="228" t="s">
        <v>54</v>
      </c>
      <c r="B31" s="33">
        <f>IF(ISERROR(TER_onderwijs_ele_kWh/1000),0,TER_onderwijs_ele_kWh/1000)</f>
        <v>114.42246866492</v>
      </c>
      <c r="C31" s="39">
        <f>IF(ISERROR(B31*3.6/1000000/'E Balans VL '!Z11*100),0,B31*3.6/1000000/'E Balans VL '!Z11*100)</f>
        <v>3.1436856367275209E-2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1025.0342956786969</v>
      </c>
      <c r="C5" s="17">
        <f>IF(ISERROR('Eigen informatie GS &amp; warmtenet'!B61),0,'Eigen informatie GS &amp; warmtenet'!B61)</f>
        <v>0</v>
      </c>
      <c r="D5" s="30">
        <f>SUM(D6:D15)</f>
        <v>223.01340341721394</v>
      </c>
      <c r="E5" s="17">
        <f>SUM(E6:E15)</f>
        <v>2.6173317292173128</v>
      </c>
      <c r="F5" s="17">
        <f>SUM(F6:F15)</f>
        <v>300.93478879517119</v>
      </c>
      <c r="G5" s="18"/>
      <c r="H5" s="17"/>
      <c r="I5" s="17"/>
      <c r="J5" s="17">
        <f>SUM(J6:J15)</f>
        <v>8.269607974112976E-2</v>
      </c>
      <c r="K5" s="17"/>
      <c r="L5" s="17"/>
      <c r="M5" s="17"/>
      <c r="N5" s="17">
        <f>SUM(N6:N15)</f>
        <v>33.055831098361693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76.4271618492903</v>
      </c>
      <c r="C8" s="33"/>
      <c r="D8" s="37">
        <f>IF( ISERROR(IND_metaal_Gas_kWH/1000),0,IND_metaal_Gas_kWH/1000)*0.903</f>
        <v>0</v>
      </c>
      <c r="E8" s="33">
        <f>C30*'E Balans VL '!I18/100/3.6*1000000</f>
        <v>0.38535908500379457</v>
      </c>
      <c r="F8" s="33">
        <f>C30*'E Balans VL '!L18/100/3.6*1000000+C30*'E Balans VL '!N18/100/3.6*1000000</f>
        <v>5.221659872705902</v>
      </c>
      <c r="G8" s="34"/>
      <c r="H8" s="33"/>
      <c r="I8" s="33"/>
      <c r="J8" s="40">
        <f>C30*'E Balans VL '!D18/100/3.6*1000000+C30*'E Balans VL '!E18/100/3.6*1000000</f>
        <v>6.7759198300286608E-2</v>
      </c>
      <c r="K8" s="33"/>
      <c r="L8" s="33"/>
      <c r="M8" s="33"/>
      <c r="N8" s="33">
        <f>C30*'E Balans VL '!Y18/100/3.6*1000000</f>
        <v>1.0157174345361457</v>
      </c>
      <c r="O8" s="33"/>
      <c r="P8" s="33"/>
      <c r="R8" s="32"/>
    </row>
    <row r="9" spans="1:18">
      <c r="A9" s="6" t="s">
        <v>32</v>
      </c>
      <c r="B9" s="37">
        <f t="shared" si="0"/>
        <v>472.246633267025</v>
      </c>
      <c r="C9" s="33"/>
      <c r="D9" s="37">
        <f>IF( ISERROR(IND_andere_gas_kWh/1000),0,IND_andere_gas_kWh/1000)*0.903</f>
        <v>138.28994159440674</v>
      </c>
      <c r="E9" s="33">
        <f>C31*'E Balans VL '!I19/100/3.6*1000000</f>
        <v>1.4886330003879906</v>
      </c>
      <c r="F9" s="33">
        <f>C31*'E Balans VL '!L19/100/3.6*1000000+C31*'E Balans VL '!N19/100/3.6*1000000</f>
        <v>289.08952680121189</v>
      </c>
      <c r="G9" s="34"/>
      <c r="H9" s="33"/>
      <c r="I9" s="33"/>
      <c r="J9" s="40">
        <f>C31*'E Balans VL '!D19/100/3.6*1000000+C31*'E Balans VL '!E19/100/3.6*1000000</f>
        <v>0</v>
      </c>
      <c r="K9" s="33"/>
      <c r="L9" s="33"/>
      <c r="M9" s="33"/>
      <c r="N9" s="33">
        <f>C31*'E Balans VL '!Y19/100/3.6*1000000</f>
        <v>19.801942559217739</v>
      </c>
      <c r="O9" s="33"/>
      <c r="P9" s="33"/>
      <c r="R9" s="32"/>
    </row>
    <row r="10" spans="1:18">
      <c r="A10" s="6" t="s">
        <v>40</v>
      </c>
      <c r="B10" s="37">
        <f t="shared" si="0"/>
        <v>352.96506668950298</v>
      </c>
      <c r="C10" s="33"/>
      <c r="D10" s="37">
        <f>IF( ISERROR(IND_voed_gas_kWh/1000),0,IND_voed_gas_kWh/1000)*0.903</f>
        <v>0</v>
      </c>
      <c r="E10" s="33">
        <f>C32*'E Balans VL '!I20/100/3.6*1000000</f>
        <v>0.56252718846223027</v>
      </c>
      <c r="F10" s="33">
        <f>C32*'E Balans VL '!L20/100/3.6*1000000+C32*'E Balans VL '!N20/100/3.6*1000000</f>
        <v>5.7348248843620189</v>
      </c>
      <c r="G10" s="34"/>
      <c r="H10" s="33"/>
      <c r="I10" s="33"/>
      <c r="J10" s="40">
        <f>C32*'E Balans VL '!D20/100/3.6*1000000+C32*'E Balans VL '!E20/100/3.6*1000000</f>
        <v>0</v>
      </c>
      <c r="K10" s="33"/>
      <c r="L10" s="33"/>
      <c r="M10" s="33"/>
      <c r="N10" s="33">
        <f>C32*'E Balans VL '!Y20/100/3.6*1000000</f>
        <v>11.148399644872802</v>
      </c>
      <c r="O10" s="33"/>
      <c r="P10" s="33"/>
      <c r="R10" s="32"/>
    </row>
    <row r="11" spans="1:18">
      <c r="A11" s="6" t="s">
        <v>39</v>
      </c>
      <c r="B11" s="37">
        <f t="shared" si="0"/>
        <v>20.286038662231</v>
      </c>
      <c r="C11" s="33"/>
      <c r="D11" s="37">
        <f>IF( ISERROR(IND_textiel_gas_kWh/1000),0,IND_textiel_gas_kWh/1000)*0.903</f>
        <v>0</v>
      </c>
      <c r="E11" s="33">
        <f>C33*'E Balans VL '!I21/100/3.6*1000000</f>
        <v>2.9431335258575594E-2</v>
      </c>
      <c r="F11" s="33">
        <f>C33*'E Balans VL '!L21/100/3.6*1000000+C33*'E Balans VL '!N21/100/3.6*1000000</f>
        <v>0.39701081074784367</v>
      </c>
      <c r="G11" s="34"/>
      <c r="H11" s="33"/>
      <c r="I11" s="33"/>
      <c r="J11" s="40">
        <f>C33*'E Balans VL '!D21/100/3.6*1000000+C33*'E Balans VL '!E21/100/3.6*1000000</f>
        <v>0</v>
      </c>
      <c r="K11" s="33"/>
      <c r="L11" s="33"/>
      <c r="M11" s="33"/>
      <c r="N11" s="33">
        <f>C33*'E Balans VL '!Y21/100/3.6*1000000</f>
        <v>0.98828976358579401</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97.103586842163907</v>
      </c>
      <c r="C13" s="33"/>
      <c r="D13" s="37">
        <f>IF( ISERROR(IND_papier_gas_kWh/1000),0,IND_papier_gas_kWh/1000)*0.903</f>
        <v>0</v>
      </c>
      <c r="E13" s="33">
        <f>C35*'E Balans VL '!I23/100/3.6*1000000</f>
        <v>0</v>
      </c>
      <c r="F13" s="33">
        <f>C35*'E Balans VL '!L23/100/3.6*1000000+C35*'E Balans VL '!N23/100/3.6*1000000</f>
        <v>4.2069789020153592E-3</v>
      </c>
      <c r="G13" s="34"/>
      <c r="H13" s="33"/>
      <c r="I13" s="33"/>
      <c r="J13" s="40">
        <f>C35*'E Balans VL '!D23/100/3.6*1000000+C35*'E Balans VL '!E23/100/3.6*1000000</f>
        <v>2.6756669299528761E-3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6.0058083684836001</v>
      </c>
      <c r="C15" s="33"/>
      <c r="D15" s="37">
        <f>IF( ISERROR(IND_rest_gas_kWh/1000),0,IND_rest_gas_kWh/1000)*0.903</f>
        <v>84.723461822807195</v>
      </c>
      <c r="E15" s="33">
        <f>C37*'E Balans VL '!I15/100/3.6*1000000</f>
        <v>0.15138112010472132</v>
      </c>
      <c r="F15" s="33">
        <f>C37*'E Balans VL '!L15/100/3.6*1000000+C37*'E Balans VL '!N15/100/3.6*1000000</f>
        <v>0.48755944724156347</v>
      </c>
      <c r="G15" s="34"/>
      <c r="H15" s="33"/>
      <c r="I15" s="33"/>
      <c r="J15" s="40">
        <f>C37*'E Balans VL '!D15/100/3.6*1000000+C37*'E Balans VL '!E15/100/3.6*1000000</f>
        <v>1.2261214510890277E-2</v>
      </c>
      <c r="K15" s="33"/>
      <c r="L15" s="33"/>
      <c r="M15" s="33"/>
      <c r="N15" s="33">
        <f>C37*'E Balans VL '!Y15/100/3.6*1000000</f>
        <v>0.10148169614920964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1025.0342956786969</v>
      </c>
      <c r="C18" s="21">
        <f>C5+C16</f>
        <v>0</v>
      </c>
      <c r="D18" s="21">
        <f>MAX((D5+D16),0)</f>
        <v>223.01340341721394</v>
      </c>
      <c r="E18" s="21">
        <f>MAX((E5+E16),0)</f>
        <v>2.6173317292173128</v>
      </c>
      <c r="F18" s="21">
        <f>MAX((F5+F16),0)</f>
        <v>300.93478879517119</v>
      </c>
      <c r="G18" s="21"/>
      <c r="H18" s="21"/>
      <c r="I18" s="21"/>
      <c r="J18" s="21">
        <f>MAX((J5+J16),0)</f>
        <v>8.269607974112976E-2</v>
      </c>
      <c r="K18" s="21"/>
      <c r="L18" s="21">
        <f>MAX((L5+L16),0)</f>
        <v>0</v>
      </c>
      <c r="M18" s="21"/>
      <c r="N18" s="21">
        <f>MAX((N5+N16),0)</f>
        <v>33.055831098361693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0.19828816234905117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203.25216683488279</v>
      </c>
      <c r="C22" s="23">
        <f ca="1">C18*C20</f>
        <v>0</v>
      </c>
      <c r="D22" s="23">
        <f>D18*D20</f>
        <v>45.048707490277216</v>
      </c>
      <c r="E22" s="23">
        <f>E18*E20</f>
        <v>0.59413430253233002</v>
      </c>
      <c r="F22" s="23">
        <f>F18*F20</f>
        <v>80.349588608310711</v>
      </c>
      <c r="G22" s="23"/>
      <c r="H22" s="23"/>
      <c r="I22" s="23"/>
      <c r="J22" s="23">
        <f>J18*J20</f>
        <v>2.9274412228359935E-2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76.4271618492903</v>
      </c>
      <c r="C30" s="39">
        <f>IF(ISERROR(B30*3.6/1000000/'E Balans VL '!Z18*100),0,B30*3.6/1000000/'E Balans VL '!Z18*100)</f>
        <v>3.793672066579021E-3</v>
      </c>
      <c r="D30" s="233" t="s">
        <v>691</v>
      </c>
    </row>
    <row r="31" spans="1:18">
      <c r="A31" s="6" t="s">
        <v>32</v>
      </c>
      <c r="B31" s="37">
        <f>IF( ISERROR(IND_ander_ele_kWh/1000),0,IND_ander_ele_kWh/1000)</f>
        <v>472.246633267025</v>
      </c>
      <c r="C31" s="39">
        <f>IF(ISERROR(B31*3.6/1000000/'E Balans VL '!Z19*100),0,B31*3.6/1000000/'E Balans VL '!Z19*100)</f>
        <v>1.5935903931279305E-2</v>
      </c>
      <c r="D31" s="233" t="s">
        <v>691</v>
      </c>
    </row>
    <row r="32" spans="1:18">
      <c r="A32" s="168" t="s">
        <v>40</v>
      </c>
      <c r="B32" s="37">
        <f>IF( ISERROR(IND_voed_ele_kWh/1000),0,IND_voed_ele_kWh/1000)</f>
        <v>352.96506668950298</v>
      </c>
      <c r="C32" s="39">
        <f>IF(ISERROR(B32*3.6/1000000/'E Balans VL '!Z20*100),0,B32*3.6/1000000/'E Balans VL '!Z20*100)</f>
        <v>8.2891421325403773E-3</v>
      </c>
      <c r="D32" s="233" t="s">
        <v>691</v>
      </c>
    </row>
    <row r="33" spans="1:5">
      <c r="A33" s="168" t="s">
        <v>39</v>
      </c>
      <c r="B33" s="37">
        <f>IF( ISERROR(IND_textiel_ele_kWh/1000),0,IND_textiel_ele_kWh/1000)</f>
        <v>20.286038662231</v>
      </c>
      <c r="C33" s="39">
        <f>IF(ISERROR(B33*3.6/1000000/'E Balans VL '!Z21*100),0,B33*3.6/1000000/'E Balans VL '!Z21*100)</f>
        <v>2.2263670294362711E-3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97.103586842163907</v>
      </c>
      <c r="C35" s="39">
        <f>IF(ISERROR(B35*3.6/1000000/'E Balans VL '!Z22*100),0,B35*3.6/1000000/'E Balans VL '!Z22*100)</f>
        <v>1.3776159523123345E-2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6.0058083684836001</v>
      </c>
      <c r="C37" s="39">
        <f>IF(ISERROR(B37*3.6/1000000/'E Balans VL '!Z15*100),0,B37*3.6/1000000/'E Balans VL '!Z15*100)</f>
        <v>2.2506942246647844E-5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1696.2648117374802</v>
      </c>
      <c r="C5" s="17">
        <f>'Eigen informatie GS &amp; warmtenet'!B62</f>
        <v>0</v>
      </c>
      <c r="D5" s="30">
        <f>IF(ISERROR(SUM(LB_lb_gas_kWh,LB_rest_gas_kWh)/1000),0,SUM(LB_lb_gas_kWh,LB_rest_gas_kWh)/1000)*0.903</f>
        <v>10.742844291001569</v>
      </c>
      <c r="E5" s="17">
        <f>B17*'E Balans VL '!I25/3.6*1000000/100</f>
        <v>63.258903333623778</v>
      </c>
      <c r="F5" s="17">
        <f>B17*('E Balans VL '!L25/3.6*1000000+'E Balans VL '!N25/3.6*1000000)/100</f>
        <v>5503.3385118006545</v>
      </c>
      <c r="G5" s="18"/>
      <c r="H5" s="17"/>
      <c r="I5" s="17"/>
      <c r="J5" s="17">
        <f>('E Balans VL '!D25+'E Balans VL '!E25)/3.6*1000000*landbouw!B17/100</f>
        <v>445.27788738293805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1696.2648117374802</v>
      </c>
      <c r="C8" s="21">
        <f>C5+C6</f>
        <v>0</v>
      </c>
      <c r="D8" s="21">
        <f>MAX((D5+D6),0)</f>
        <v>10.742844291001569</v>
      </c>
      <c r="E8" s="21">
        <f>MAX((E5+E6),0)</f>
        <v>63.258903333623778</v>
      </c>
      <c r="F8" s="21">
        <f>MAX((F5+F6),0)</f>
        <v>5503.3385118006545</v>
      </c>
      <c r="G8" s="21"/>
      <c r="H8" s="21"/>
      <c r="I8" s="21"/>
      <c r="J8" s="21">
        <f>MAX((J5+J6),0)</f>
        <v>445.27788738293805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0.19828816234905117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336.34923237678419</v>
      </c>
      <c r="C12" s="23">
        <f ca="1">C8*C10</f>
        <v>0</v>
      </c>
      <c r="D12" s="23">
        <f>D8*D10</f>
        <v>2.1700545467823171</v>
      </c>
      <c r="E12" s="23">
        <f>E8*E10</f>
        <v>14.359771056732598</v>
      </c>
      <c r="F12" s="23">
        <f>F8*F10</f>
        <v>1469.3913826507749</v>
      </c>
      <c r="G12" s="23"/>
      <c r="H12" s="23"/>
      <c r="I12" s="23"/>
      <c r="J12" s="23">
        <f>J8*J10</f>
        <v>157.62837213356005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0.2329775454579833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441.33765342028289</v>
      </c>
      <c r="C26" s="243">
        <f>B26*'GWP N2O_CH4'!B5</f>
        <v>9268.0907218259399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92.144440788234149</v>
      </c>
      <c r="C27" s="243">
        <f>B27*'GWP N2O_CH4'!B5</f>
        <v>1935.0332565529172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6.5000390243180908</v>
      </c>
      <c r="C28" s="243">
        <f>B28*'GWP N2O_CH4'!B4</f>
        <v>2015.012097538608</v>
      </c>
      <c r="D28" s="50"/>
    </row>
    <row r="29" spans="1:4">
      <c r="A29" s="41" t="s">
        <v>272</v>
      </c>
      <c r="B29" s="243">
        <f>B34*'ha_N2O bodem landbouw'!B4</f>
        <v>21.680231681642219</v>
      </c>
      <c r="C29" s="243">
        <f>B29*'GWP N2O_CH4'!B4</f>
        <v>6720.8718213090879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4.9409867149093761E-3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2.8978094094466068E-4</v>
      </c>
      <c r="C5" s="434" t="s">
        <v>210</v>
      </c>
      <c r="D5" s="419">
        <f>SUM(D6:D11)</f>
        <v>5.4693257215218585E-4</v>
      </c>
      <c r="E5" s="419">
        <f>SUM(E6:E11)</f>
        <v>2.9929142647708838E-4</v>
      </c>
      <c r="F5" s="432" t="s">
        <v>210</v>
      </c>
      <c r="G5" s="419">
        <f>SUM(G6:G11)</f>
        <v>0.14247320199106508</v>
      </c>
      <c r="H5" s="419">
        <f>SUM(H6:H11)</f>
        <v>3.3169296901604785E-2</v>
      </c>
      <c r="I5" s="434" t="s">
        <v>210</v>
      </c>
      <c r="J5" s="434" t="s">
        <v>210</v>
      </c>
      <c r="K5" s="434" t="s">
        <v>210</v>
      </c>
      <c r="L5" s="434" t="s">
        <v>210</v>
      </c>
      <c r="M5" s="419">
        <f>SUM(M6:M11)</f>
        <v>1.0327247113180008E-2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1.9608895468529368E-4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3.4074094924027001E-4</v>
      </c>
      <c r="E6" s="885">
        <f>vkm_GW_PW*SUMIFS(TableVerdeelsleutelVkm[LPG],TableVerdeelsleutelVkm[Voertuigtype],"Lichte voertuigen")*SUMIFS(TableECFTransport[EnergieConsumptieFactor (PJ per km)],TableECFTransport[Index],CONCATENATE($A6,"_LPG_LPG"))</f>
        <v>1.8947419535992737E-4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5.6938797215515743E-2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2.0760075812883458E-2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4.6489156239518468E-3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1.0816002814569321E-6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4.4764729273164369E-2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4.5539905398156774E-7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2.5203232720034177E-3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9.2415278377851683E-5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2.0619162291191586E-4</v>
      </c>
      <c r="E8" s="422">
        <f>vkm_NGW_PW*SUMIFS(TableVerdeelsleutelVkm[LPG],TableVerdeelsleutelVkm[Voertuigtype],"Lichte voertuigen")*SUMIFS(TableECFTransport[EnergieConsumptieFactor (PJ per km)],TableECFTransport[Index],CONCATENATE($A8,"_LPG_LPG"))</f>
        <v>1.0981723111716098E-4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3.037093688593439E-2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1.2408666534359873E-2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2.5725436624537985E-3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1.9510760005841775E-7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1.0398738616450572E-2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9.9155307475108118E-8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5.8546455477094441E-4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80.494705817961304</v>
      </c>
      <c r="C14" s="21"/>
      <c r="D14" s="21">
        <f t="shared" ref="D14:M14" si="0">((D5)*10^9/3600)+D12</f>
        <v>151.92571448671828</v>
      </c>
      <c r="E14" s="21">
        <f t="shared" si="0"/>
        <v>83.136507354746769</v>
      </c>
      <c r="F14" s="21"/>
      <c r="G14" s="21">
        <f t="shared" si="0"/>
        <v>39575.889441962521</v>
      </c>
      <c r="H14" s="21">
        <f t="shared" si="0"/>
        <v>9213.6935837791079</v>
      </c>
      <c r="I14" s="21"/>
      <c r="J14" s="21"/>
      <c r="K14" s="21"/>
      <c r="L14" s="21"/>
      <c r="M14" s="21">
        <f t="shared" si="0"/>
        <v>2868.6797536611134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0.19828816234905117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15.961147295471024</v>
      </c>
      <c r="C18" s="23"/>
      <c r="D18" s="23">
        <f t="shared" ref="D18:M18" si="1">D14*D16</f>
        <v>30.688994326317093</v>
      </c>
      <c r="E18" s="23">
        <f t="shared" si="1"/>
        <v>18.871987169527518</v>
      </c>
      <c r="F18" s="23"/>
      <c r="G18" s="23">
        <f t="shared" si="1"/>
        <v>10566.762481003994</v>
      </c>
      <c r="H18" s="23">
        <f t="shared" si="1"/>
        <v>2294.2097023609977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3.5105959870339648E-5</v>
      </c>
      <c r="C50" s="315">
        <f t="shared" ref="C50:P50" si="2">SUM(C51:C52)</f>
        <v>0</v>
      </c>
      <c r="D50" s="315">
        <f t="shared" si="2"/>
        <v>0</v>
      </c>
      <c r="E50" s="315">
        <f t="shared" si="2"/>
        <v>0</v>
      </c>
      <c r="F50" s="315">
        <f t="shared" si="2"/>
        <v>0</v>
      </c>
      <c r="G50" s="315">
        <f t="shared" si="2"/>
        <v>2.5058001278601399E-3</v>
      </c>
      <c r="H50" s="315">
        <f t="shared" si="2"/>
        <v>0</v>
      </c>
      <c r="I50" s="315">
        <f t="shared" si="2"/>
        <v>0</v>
      </c>
      <c r="J50" s="315">
        <f t="shared" si="2"/>
        <v>0</v>
      </c>
      <c r="K50" s="315">
        <f t="shared" si="2"/>
        <v>0</v>
      </c>
      <c r="L50" s="315">
        <f t="shared" si="2"/>
        <v>0</v>
      </c>
      <c r="M50" s="315">
        <f t="shared" si="2"/>
        <v>1.3836675952339037E-4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3.5105959870339648E-5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2.5058001278601399E-3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1.3836675952339037E-4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9.7516555195387902</v>
      </c>
      <c r="C54" s="21">
        <f t="shared" ref="C54:P54" si="3">(C50)*10^9/3600</f>
        <v>0</v>
      </c>
      <c r="D54" s="21">
        <f t="shared" si="3"/>
        <v>0</v>
      </c>
      <c r="E54" s="21">
        <f t="shared" si="3"/>
        <v>0</v>
      </c>
      <c r="F54" s="21">
        <f t="shared" si="3"/>
        <v>0</v>
      </c>
      <c r="G54" s="21">
        <f t="shared" si="3"/>
        <v>696.05559107226111</v>
      </c>
      <c r="H54" s="21">
        <f t="shared" si="3"/>
        <v>0</v>
      </c>
      <c r="I54" s="21">
        <f t="shared" si="3"/>
        <v>0</v>
      </c>
      <c r="J54" s="21">
        <f t="shared" si="3"/>
        <v>0</v>
      </c>
      <c r="K54" s="21">
        <f t="shared" si="3"/>
        <v>0</v>
      </c>
      <c r="L54" s="21">
        <f t="shared" si="3"/>
        <v>0</v>
      </c>
      <c r="M54" s="21">
        <f t="shared" si="3"/>
        <v>38.435210978719553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0.19828816234905117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1.9336378528303286</v>
      </c>
      <c r="C58" s="23">
        <f t="shared" ref="C58:P58" ca="1" si="4">C54*C56</f>
        <v>0</v>
      </c>
      <c r="D58" s="23">
        <f t="shared" si="4"/>
        <v>0</v>
      </c>
      <c r="E58" s="23">
        <f t="shared" si="4"/>
        <v>0</v>
      </c>
      <c r="F58" s="23">
        <f t="shared" si="4"/>
        <v>0</v>
      </c>
      <c r="G58" s="23">
        <f t="shared" si="4"/>
        <v>185.84684281629373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2062.6242772481055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2062.6242772481055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2021-06-29T14:35:57Z</dcterms:modified>
</cp:coreProperties>
</file>