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N35" i="18"/>
  <c r="M35" i="18"/>
  <c r="W34" i="18"/>
  <c r="V34" i="18"/>
  <c r="U34" i="18"/>
  <c r="T34" i="18"/>
  <c r="S34" i="18"/>
  <c r="R34" i="18"/>
  <c r="Q34" i="18"/>
  <c r="P34" i="18"/>
  <c r="O34" i="18"/>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5" i="13"/>
  <c r="B34" i="13"/>
  <c r="B33" i="13"/>
  <c r="B32" i="13"/>
  <c r="C34" i="13"/>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17" i="19"/>
  <c r="C19" i="19" s="1"/>
  <c r="D39"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<sst xmlns="http://schemas.openxmlformats.org/spreadsheetml/2006/main" count="2484" uniqueCount="897">
  <si>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</si>
  <si>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</si>
  <si>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</si>
  <si>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</si>
  <si>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</si>
  <si>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</si>
  <si>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</si>
  <si>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</si>
  <si>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</si>
  <si>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</si>
  <si>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</si>
  <si>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</si>
  <si>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</si>
  <si>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</si>
  <si>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</si>
  <si>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</si>
  <si>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</si>
  <si>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</si>
  <si>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</si>
  <si>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</si>
  <si>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</si>
  <si>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</si>
  <si>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</si>
  <si>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</si>
  <si>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</si>
  <si>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</si>
  <si>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</si>
  <si>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</si>
  <si>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</si>
  <si>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</si>
  <si>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</si>
  <si>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</si>
  <si>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</si>
  <si>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</si>
  <si>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</si>
  <si>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</si>
  <si>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</si>
  <si>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</si>
  <si>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</si>
  <si>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</si>
  <si>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</si>
  <si>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</si>
  <si>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</si>
  <si>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</si>
  <si>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</si>
  <si>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</si>
  <si>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</si>
  <si>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</si>
  <si>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</si>
  <si>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</si>
  <si>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</si>
  <si>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</si>
  <si>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</si>
  <si>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</si>
  <si>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</si>
  <si>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</si>
  <si>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</si>
  <si>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</si>
  <si>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</si>
  <si>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</si>
  <si>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</si>
  <si>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</si>
  <si>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</si>
  <si>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</si>
  <si>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</si>
  <si>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</si>
  <si>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</si>
  <si>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</si>
  <si>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</si>
  <si>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</si>
  <si>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</si>
  <si>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</si>
  <si>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</si>
  <si>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</si>
  <si>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</si>
  <si>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</si>
  <si>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</si>
  <si>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</si>
  <si>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</si>
  <si>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</si>
  <si>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</si>
  <si>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</si>
  <si>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</si>
  <si>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</si>
  <si>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</si>
  <si>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</si>
  <si>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</si>
  <si>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</si>
  <si>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</si>
  <si>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</si>
  <si>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</si>
  <si>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</si>
  <si>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</si>
  <si>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</si>
  <si>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</si>
  <si>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</si>
  <si>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</si>
  <si>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</si>
  <si>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</si>
  <si>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</si>
  <si>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</si>
  <si>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</si>
  <si>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</si>
  <si>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</si>
  <si>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</si>
  <si>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</si>
  <si>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</si>
  <si>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</si>
  <si>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</si>
  <si>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</si>
  <si>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</si>
  <si>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</si>
  <si>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</si>
  <si>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</si>
  <si>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</si>
  <si>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</si>
  <si>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</si>
  <si>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</si>
  <si>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</si>
  <si>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</si>
  <si>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</si>
  <si>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</si>
  <si>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</si>
  <si>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</si>
  <si>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</si>
  <si>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</si>
  <si>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</si>
  <si>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</si>
  <si>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</si>
  <si>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</si>
  <si>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</si>
  <si>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</si>
  <si>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</si>
  <si>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</si>
  <si>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</si>
  <si>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</si>
  <si>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</si>
  <si>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</si>
  <si>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</si>
  <si>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</si>
  <si>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</si>
  <si>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</si>
  <si>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</si>
  <si>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</si>
  <si>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</si>
  <si>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</si>
  <si>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</si>
  <si>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</si>
  <si>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</si>
  <si>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</si>
  <si>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</si>
  <si>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</si>
  <si>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</si>
  <si>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</si>
  <si>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</si>
  <si>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</si>
  <si>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</si>
  <si>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</si>
  <si>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</si>
  <si>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</si>
  <si>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</si>
  <si>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</si>
  <si>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</si>
  <si>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</si>
  <si>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</si>
  <si>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</si>
  <si>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</si>
  <si>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</si>
  <si>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</si>
  <si>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</si>
  <si>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</si>
  <si>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</si>
  <si>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</si>
  <si>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</si>
  <si>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</si>
  <si>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</si>
  <si>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</si>
  <si>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</si>
  <si>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</si>
  <si>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</si>
  <si>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</si>
  <si>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</si>
  <si>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</si>
  <si>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</si>
  <si>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</si>
  <si>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</si>
  <si>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</si>
  <si>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</si>
  <si>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</si>
  <si>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</si>
  <si>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</si>
  <si>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</si>
  <si>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</si>
  <si>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</si>
  <si>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</si>
  <si>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</si>
  <si>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</si>
  <si>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</si>
  <si>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</si>
  <si>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</si>
  <si>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</si>
  <si>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</si>
  <si>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</si>
  <si>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</si>
  <si>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</si>
  <si>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</si>
  <si>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</si>
  <si>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</si>
  <si>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</si>
  <si>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</si>
  <si>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</si>
  <si>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</si>
  <si>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</si>
  <si>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</si>
  <si>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</si>
  <si>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</si>
  <si>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</si>
  <si>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</si>
  <si>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</si>
  <si>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</si>
  <si>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</si>
  <si>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</si>
  <si>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</si>
  <si>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</si>
  <si>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</si>
  <si>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</si>
  <si>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</si>
  <si>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</si>
  <si>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</si>
  <si>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</si>
  <si>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</si>
  <si>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</si>
  <si>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</si>
  <si>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</si>
  <si>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</si>
  <si>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</si>
  <si>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</si>
  <si>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</si>
  <si>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</si>
  <si>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</si>
  <si>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</si>
  <si>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</si>
  <si>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</si>
  <si>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</si>
  <si>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</si>
  <si>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</si>
  <si>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</si>
  <si>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</si>
  <si>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</si>
  <si>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</si>
  <si>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</si>
  <si>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</si>
  <si>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</si>
  <si>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</si>
  <si>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</si>
  <si>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</si>
  <si>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</si>
  <si>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</si>
  <si>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</si>
  <si>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</si>
  <si>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</si>
  <si>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</si>
  <si>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</si>
  <si>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</si>
  <si>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</si>
  <si>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</si>
  <si>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</si>
  <si>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</si>
  <si>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</si>
  <si>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</si>
  <si>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</si>
  <si>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</si>
  <si>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</si>
  <si>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</si>
  <si>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</si>
  <si>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</si>
  <si>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</si>
  <si>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</si>
  <si>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</si>
  <si>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</si>
  <si>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</si>
  <si>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</si>
  <si>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</si>
  <si>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</si>
  <si>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</si>
  <si>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</si>
  <si>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</si>
  <si>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</si>
  <si>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</si>
  <si>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</si>
  <si>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</si>
  <si>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</si>
  <si>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</si>
  <si>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</si>
  <si>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</si>
  <si>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</si>
  <si>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</si>
  <si>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</si>
  <si>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</si>
  <si>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</si>
  <si>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</si>
  <si>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</si>
  <si>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</si>
  <si>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</si>
  <si>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</si>
  <si>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</si>
  <si>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</si>
  <si>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</si>
  <si>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</si>
  <si>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</si>
  <si>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</si>
  <si>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</si>
  <si>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</si>
  <si>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</si>
  <si>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</si>
  <si>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</si>
  <si>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</si>
  <si>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</si>
  <si>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</si>
  <si>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</si>
  <si>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</si>
  <si>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</si>
  <si>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</si>
  <si>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</si>
  <si>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</si>
  <si>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</si>
  <si>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</si>
  <si>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</si>
  <si>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</si>
  <si>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</si>
  <si>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</si>
  <si>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</si>
  <si>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</si>
  <si>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</si>
  <si>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</si>
  <si>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</si>
  <si>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</si>
  <si>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</si>
  <si>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</si>
  <si>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</si>
  <si>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</si>
  <si>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</si>
  <si>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</si>
  <si>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</si>
  <si>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</si>
  <si>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</si>
  <si>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</si>
  <si>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</si>
  <si>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</si>
  <si>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</si>
  <si>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</si>
  <si>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</si>
  <si>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</si>
  <si>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</si>
  <si>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</si>
  <si>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</si>
  <si>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</si>
  <si>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</si>
  <si>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</si>
  <si>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</si>
  <si>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</si>
  <si>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</si>
  <si>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</si>
  <si>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</si>
  <si>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</si>
  <si>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</si>
  <si>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</si>
  <si>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</si>
  <si>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</si>
  <si>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</si>
  <si>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</si>
  <si>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</si>
  <si>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</si>
  <si>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</si>
  <si>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</si>
  <si>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</si>
  <si>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</si>
  <si>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</si>
  <si>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</si>
  <si>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</si>
  <si>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</si>
  <si>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</si>
  <si>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</si>
  <si>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</si>
  <si>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</si>
  <si>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</si>
  <si>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</si>
  <si>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</si>
  <si>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</si>
  <si>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</si>
  <si>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</si>
  <si>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</si>
  <si>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</si>
  <si>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</si>
  <si>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</si>
  <si>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</si>
  <si>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</si>
  <si>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</si>
  <si>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</si>
  <si>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</si>
  <si>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</si>
  <si>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</si>
  <si>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</si>
  <si>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</si>
  <si>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</si>
  <si>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</si>
  <si>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</si>
  <si>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</si>
  <si>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</si>
  <si>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</si>
  <si>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</si>
  <si>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</si>
  <si>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</si>
  <si>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</si>
  <si>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</si>
  <si>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</si>
  <si>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</si>
  <si>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</si>
  <si>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</si>
  <si>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</si>
  <si>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</si>
  <si>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</si>
  <si>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</si>
  <si>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</si>
  <si>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</si>
  <si>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</si>
  <si>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</si>
  <si>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</si>
  <si>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</si>
  <si>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</si>
  <si>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</si>
  <si>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</si>
  <si>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</si>
  <si>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</si>
  <si>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</si>
  <si>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</si>
  <si>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</si>
  <si>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</si>
  <si>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</si>
  <si>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</si>
  <si>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</si>
  <si>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</si>
  <si>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</si>
  <si>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</si>
  <si>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</si>
  <si>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</si>
  <si>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</si>
  <si>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</si>
  <si>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</si>
  <si>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</si>
  <si>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</si>
  <si>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</si>
  <si>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</si>
  <si>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</si>
  <si>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</si>
  <si>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</si>
  <si>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</si>
  <si>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</si>
  <si>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</si>
  <si>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</si>
  <si>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</si>
  <si>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</si>
  <si>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</si>
  <si>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</si>
  <si>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</si>
  <si>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</si>
  <si>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</si>
  <si>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</si>
  <si>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</si>
  <si>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</si>
  <si>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</si>
  <si>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</si>
  <si>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</si>
  <si>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</si>
  <si>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</si>
  <si>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</si>
  <si>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</si>
  <si>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</si>
  <si>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</si>
  <si>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</si>
  <si>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</si>
  <si>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</si>
  <si>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</si>
  <si>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</si>
  <si>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</si>
  <si>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</si>
  <si>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</si>
  <si>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</si>
  <si>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</si>
  <si>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</si>
  <si>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</si>
  <si>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</si>
  <si>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</si>
  <si>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</si>
  <si>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</si>
  <si>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</si>
  <si>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</si>
  <si>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</si>
  <si>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</si>
  <si>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</si>
  <si>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</si>
  <si>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</si>
  <si>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</si>
  <si>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</si>
  <si>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</si>
  <si>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</si>
  <si>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</si>
  <si>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</si>
  <si>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</si>
  <si>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</si>
  <si>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</si>
  <si>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</si>
  <si>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</si>
  <si>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</si>
  <si>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</si>
  <si>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</si>
  <si>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</si>
  <si>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</si>
  <si>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</si>
  <si>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</si>
  <si>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</si>
  <si>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</si>
  <si>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</si>
  <si>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</si>
  <si>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</si>
  <si>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</si>
  <si>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</si>
  <si>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</si>
  <si>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</si>
  <si>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</si>
  <si>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</si>
  <si>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</si>
  <si>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</si>
  <si>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</si>
  <si>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</si>
  <si>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</si>
  <si>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</si>
  <si>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</si>
  <si>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</si>
  <si>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</si>
  <si>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</si>
  <si>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</si>
  <si>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</si>
  <si>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</si>
  <si>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</si>
  <si>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</si>
  <si>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</si>
  <si>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</si>
  <si>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</si>
  <si>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</si>
  <si>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</si>
  <si>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</si>
  <si>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</si>
  <si>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</si>
  <si>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</si>
  <si>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</si>
  <si>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</si>
  <si>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</si>
  <si>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</si>
  <si>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</si>
  <si>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</si>
  <si>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</si>
  <si>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</si>
  <si>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</si>
  <si>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</si>
  <si>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</si>
  <si>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</si>
  <si>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</si>
  <si>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</si>
  <si>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</si>
  <si>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</si>
  <si>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</si>
  <si>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</si>
  <si>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</si>
  <si>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</si>
  <si>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</si>
  <si>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</si>
  <si>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</si>
  <si>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</si>
  <si>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</si>
  <si>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</si>
  <si>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</si>
  <si>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</si>
  <si>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</si>
  <si>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</si>
  <si>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</si>
  <si>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</si>
  <si>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</si>
  <si>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</si>
  <si>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</si>
  <si>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</si>
  <si>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</si>
  <si>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</si>
  <si>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</si>
  <si>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</si>
  <si>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</si>
  <si>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</si>
  <si>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</si>
  <si>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</si>
  <si>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</si>
  <si>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</si>
  <si>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</si>
  <si>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</si>
  <si>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</si>
  <si>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</si>
  <si>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</si>
  <si>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</si>
  <si>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</si>
  <si>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</si>
  <si>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</si>
  <si>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</si>
  <si>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</si>
  <si>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</si>
  <si>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</si>
  <si>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</si>
  <si>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</si>
  <si>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</si>
  <si>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</si>
  <si>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</si>
  <si>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</si>
  <si>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</si>
  <si>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</si>
  <si>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</si>
  <si>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</si>
  <si>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</si>
  <si>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</si>
  <si>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</si>
  <si>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</si>
  <si>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</si>
  <si>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</si>
  <si>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</si>
  <si>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</si>
  <si>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</si>
  <si>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</si>
  <si>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</si>
  <si>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</si>
  <si>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</si>
  <si>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</si>
  <si>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</si>
  <si>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</si>
  <si>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</si>
  <si>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</si>
  <si>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</si>
  <si>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</si>
  <si>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</si>
  <si>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</si>
  <si>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</si>
  <si>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</si>
  <si>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</si>
  <si>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</si>
  <si>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</si>
  <si>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</si>
  <si>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</si>
  <si>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</si>
  <si>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</si>
  <si>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</si>
  <si>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</si>
  <si>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</si>
  <si>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</si>
  <si>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</si>
  <si>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</si>
  <si>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</si>
  <si>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</si>
  <si>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</si>
  <si>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</si>
  <si>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</si>
  <si>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</si>
  <si>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</si>
  <si>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</si>
  <si>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</si>
  <si>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</si>
  <si>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</si>
  <si>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</si>
  <si>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</si>
  <si>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</si>
  <si>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</si>
  <si>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</si>
  <si>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</si>
  <si>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</si>
  <si>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</si>
  <si>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</si>
  <si>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</si>
  <si>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</si>
  <si>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</si>
  <si>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</si>
  <si>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</si>
  <si>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</si>
  <si>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</si>
  <si>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</si>
  <si>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</si>
  <si>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</si>
  <si>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</si>
  <si>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</si>
  <si>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</si>
  <si>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</si>
  <si>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</si>
  <si>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</si>
  <si>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</si>
  <si>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</si>
  <si>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</si>
  <si>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</si>
  <si>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</si>
  <si>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</si>
  <si>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</si>
  <si>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</si>
  <si>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</si>
  <si>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</si>
  <si>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</si>
  <si>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</si>
  <si>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</si>
  <si>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</si>
  <si>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</si>
  <si>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</si>
  <si>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</si>
  <si>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</si>
  <si>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</si>
  <si>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</si>
  <si>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</si>
  <si>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</si>
  <si>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</si>
  <si>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</si>
  <si>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</si>
  <si>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</si>
  <si>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</si>
  <si>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</si>
  <si>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</si>
  <si>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</si>
  <si>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</si>
  <si>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</si>
  <si>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</si>
  <si>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</si>
  <si>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</si>
  <si>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</si>
  <si>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</si>
  <si>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</si>
  <si>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</si>
  <si>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</si>
  <si>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</si>
  <si>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</si>
  <si>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</si>
  <si>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</si>
  <si>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</si>
  <si>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</si>
  <si>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</si>
  <si>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</si>
  <si>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</si>
  <si>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</si>
  <si>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</si>
  <si>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</si>
  <si>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</si>
  <si>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</si>
  <si>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</si>
  <si>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</si>
  <si>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</si>
  <si>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</si>
  <si>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</si>
  <si>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</si>
  <si>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</si>
  <si>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</si>
  <si>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</si>
  <si>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</si>
  <si>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</si>
  <si>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</si>
  <si>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</si>
  <si>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</si>
  <si>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</si>
  <si>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</si>
  <si>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</si>
  <si>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</si>
  <si>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</si>
  <si>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</si>
  <si>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</si>
  <si>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</si>
  <si>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</si>
  <si>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</si>
  <si>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</si>
  <si>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</si>
  <si>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</si>
  <si>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</si>
  <si>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</si>
  <si>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</si>
  <si>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</si>
  <si>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</si>
  <si>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</si>
  <si>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</si>
  <si>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</si>
  <si>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</si>
  <si>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</si>
  <si>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</si>
  <si>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</si>
  <si>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</si>
  <si>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</si>
  <si>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</si>
  <si>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</si>
  <si>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</si>
  <si>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</si>
  <si>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</si>
  <si>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</si>
  <si>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</si>
  <si>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</si>
  <si>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</si>
  <si>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</si>
  <si>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</si>
  <si>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</si>
  <si>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</si>
  <si>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</si>
  <si>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</si>
  <si>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</si>
  <si>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</si>
  <si>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</si>
  <si>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</si>
  <si>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</si>
  <si>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</si>
  <si>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</si>
  <si>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</si>
  <si>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</si>
  <si>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</si>
  <si>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</si>
  <si>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</si>
  <si>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</si>
  <si>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</si>
  <si>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</si>
  <si>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</si>
  <si>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</si>
  <si>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</si>
  <si>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</si>
  <si>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</si>
  <si>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</si>
  <si>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</si>
  <si>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</si>
  <si>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</si>
  <si>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</si>
  <si>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</si>
  <si>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</si>
  <si>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</si>
  <si>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</si>
  <si>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</si>
  <si>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</si>
  <si>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</si>
  <si>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</si>
  <si>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</si>
  <si>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</si>
  <si>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</si>
  <si>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</si>
  <si>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</si>
  <si>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</si>
  <si>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</si>
  <si>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</si>
  <si>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</si>
  <si>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</si>
  <si>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</si>
  <si>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</si>
  <si>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</si>
  <si>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</si>
  <si>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</si>
  <si>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</si>
  <si>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</si>
  <si>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</si>
  <si>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</si>
  <si>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</si>
  <si>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</si>
  <si>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</si>
  <si>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</si>
  <si>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</si>
  <si>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</si>
  <si>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</si>
  <si>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</si>
  <si>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</si>
  <si>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</si>
  <si>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</si>
  <si>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</si>
  <si>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</si>
  <si>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</si>
  <si>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</si>
  <si>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</si>
  <si>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</si>
  <si>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</si>
  <si>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</si>
  <si>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</si>
  <si>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44080</t>
  </si>
  <si>
    <t>ZOMERGEM</t>
  </si>
  <si>
    <t>referentietaak LNE (2017); Jaarverslag De Lijn</t>
  </si>
  <si>
    <t>waterkracht</t>
  </si>
  <si>
    <t>Agro-energiek bvba</t>
  </si>
  <si>
    <t>Rijvers 66 b, 9930 Zomergem</t>
  </si>
  <si>
    <t>WKK-0085 Vandaele</t>
  </si>
  <si>
    <t>interne verbrandingsmotor</t>
  </si>
  <si>
    <t>WKK interne verbrandinsgmotor (gas)</t>
  </si>
  <si>
    <t>IMEWO (via EANDIS)</t>
  </si>
  <si>
    <t>Calagro Energie bvba</t>
  </si>
  <si>
    <t>Meirlare 21 , 9930 Zomergem</t>
  </si>
  <si>
    <t xml:space="preserve">WKK-0238 Calagro Energie </t>
  </si>
  <si>
    <t>IMEWO</t>
  </si>
  <si>
    <t>Pascal Mattheeuws</t>
  </si>
  <si>
    <t>Diepenbeek 2 , 9931 Oostwinkel</t>
  </si>
  <si>
    <t>WKK-0458 Pascal Mattheeuws</t>
  </si>
  <si>
    <t>WKK-0508 Agro-Energiek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</si>
</sst>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70939.506523160002</c:v>
                </c:pt>
                <c:pt idx="1">
                  <c:v>15633.262216116384</c:v>
                </c:pt>
                <c:pt idx="2">
                  <c:v>654.20500000000004</c:v>
                </c:pt>
                <c:pt idx="3">
                  <c:v>46205.030433594264</c:v>
                </c:pt>
                <c:pt idx="4">
                  <c:v>3796.5095693054013</c:v>
                </c:pt>
                <c:pt idx="5">
                  <c:v>37183.08267031017</c:v>
                </c:pt>
                <c:pt idx="6">
                  <c:v>595.7131559022954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70939.506523160002</c:v>
                </c:pt>
                <c:pt idx="1">
                  <c:v>15633.262216116384</c:v>
                </c:pt>
                <c:pt idx="2">
                  <c:v>654.20500000000004</c:v>
                </c:pt>
                <c:pt idx="3">
                  <c:v>46205.030433594264</c:v>
                </c:pt>
                <c:pt idx="4">
                  <c:v>3796.5095693054013</c:v>
                </c:pt>
                <c:pt idx="5">
                  <c:v>37183.08267031017</c:v>
                </c:pt>
                <c:pt idx="6">
                  <c:v>595.7131559022954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11755.746784902014</c:v>
                </c:pt>
                <c:pt idx="1">
                  <c:v>1872.2899762641246</c:v>
                </c:pt>
                <c:pt idx="2">
                  <c:v>0</c:v>
                </c:pt>
                <c:pt idx="3">
                  <c:v>2226.778600345322</c:v>
                </c:pt>
                <c:pt idx="4">
                  <c:v>464.7497793546122</c:v>
                </c:pt>
                <c:pt idx="5">
                  <c:v>9191.6978214264636</c:v>
                </c:pt>
                <c:pt idx="6">
                  <c:v>148.75718003239811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11755.746784902014</c:v>
                </c:pt>
                <c:pt idx="1">
                  <c:v>1872.2899762641246</c:v>
                </c:pt>
                <c:pt idx="2">
                  <c:v>0</c:v>
                </c:pt>
                <c:pt idx="3">
                  <c:v>2226.778600345322</c:v>
                </c:pt>
                <c:pt idx="4">
                  <c:v>464.7497793546122</c:v>
                </c:pt>
                <c:pt idx="5">
                  <c:v>9191.6978214264636</c:v>
                </c:pt>
                <c:pt idx="6">
                  <c:v>148.75718003239811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44080</v>
      </c>
      <c r="B6" s="386"/>
      <c r="C6" s="387"/>
    </row>
    <row r="7" spans="1:7" s="384" customFormat="1" ht="15.75" customHeight="1">
      <c r="A7" s="388" t="str">
        <f>txtMunicipality</f>
        <v>ZOMERGEM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6940.8076367772637</v>
      </c>
      <c r="D10" s="682">
        <f ca="1">tertiair!C16</f>
        <v>0</v>
      </c>
      <c r="E10" s="682">
        <f ca="1">tertiair!D16</f>
        <v>7757.788088331773</v>
      </c>
      <c r="F10" s="682">
        <f>tertiair!E16</f>
        <v>22.036875480080983</v>
      </c>
      <c r="G10" s="682">
        <f ca="1">tertiair!F16</f>
        <v>1124.3851234867864</v>
      </c>
      <c r="H10" s="682">
        <f>tertiair!G16</f>
        <v>0</v>
      </c>
      <c r="I10" s="682">
        <f>tertiair!H16</f>
        <v>0</v>
      </c>
      <c r="J10" s="682">
        <f>tertiair!I16</f>
        <v>0</v>
      </c>
      <c r="K10" s="682">
        <f>tertiair!J16</f>
        <v>1.0123491965719022E-2</v>
      </c>
      <c r="L10" s="682">
        <f>tertiair!K16</f>
        <v>0</v>
      </c>
      <c r="M10" s="682">
        <f ca="1">tertiair!L16</f>
        <v>0</v>
      </c>
      <c r="N10" s="682">
        <f>tertiair!M16</f>
        <v>0</v>
      </c>
      <c r="O10" s="682">
        <f ca="1">tertiair!N16</f>
        <v>375.20844794449658</v>
      </c>
      <c r="P10" s="682">
        <f>tertiair!O16</f>
        <v>14.691782297523464</v>
      </c>
      <c r="Q10" s="683">
        <f>tertiair!P16</f>
        <v>52.539138306495019</v>
      </c>
      <c r="R10" s="685">
        <f ca="1">SUM(C10:Q10)</f>
        <v>16287.467216116383</v>
      </c>
      <c r="S10" s="67"/>
    </row>
    <row r="11" spans="1:19" s="445" customFormat="1">
      <c r="A11" s="803" t="s">
        <v>220</v>
      </c>
      <c r="B11" s="808"/>
      <c r="C11" s="682">
        <f>huishoudens!B8</f>
        <v>15412.182411682666</v>
      </c>
      <c r="D11" s="682">
        <f>huishoudens!C8</f>
        <v>0</v>
      </c>
      <c r="E11" s="682">
        <f>huishoudens!D8</f>
        <v>22750.574278232241</v>
      </c>
      <c r="F11" s="682">
        <f>huishoudens!E8</f>
        <v>1130.8149466354773</v>
      </c>
      <c r="G11" s="682">
        <f>huishoudens!F8</f>
        <v>25685.195684882663</v>
      </c>
      <c r="H11" s="682">
        <f>huishoudens!G8</f>
        <v>0</v>
      </c>
      <c r="I11" s="682">
        <f>huishoudens!H8</f>
        <v>0</v>
      </c>
      <c r="J11" s="682">
        <f>huishoudens!I8</f>
        <v>0</v>
      </c>
      <c r="K11" s="682">
        <f>huishoudens!J8</f>
        <v>128.49870042140032</v>
      </c>
      <c r="L11" s="682">
        <f>huishoudens!K8</f>
        <v>0</v>
      </c>
      <c r="M11" s="682">
        <f>huishoudens!L8</f>
        <v>0</v>
      </c>
      <c r="N11" s="682">
        <f>huishoudens!M8</f>
        <v>0</v>
      </c>
      <c r="O11" s="682">
        <f>huishoudens!N8</f>
        <v>5003.8394329873372</v>
      </c>
      <c r="P11" s="682">
        <f>huishoudens!O8</f>
        <v>333.30498085702135</v>
      </c>
      <c r="Q11" s="683">
        <f>huishoudens!P8</f>
        <v>495.09608746119602</v>
      </c>
      <c r="R11" s="685">
        <f>SUM(C11:Q11)</f>
        <v>70939.506523160002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1659.2270655992431</v>
      </c>
      <c r="D13" s="682">
        <f>industrie!C18</f>
        <v>0</v>
      </c>
      <c r="E13" s="682">
        <f>industrie!D18</f>
        <v>1385.6941739817173</v>
      </c>
      <c r="F13" s="682">
        <f>industrie!E18</f>
        <v>6.2291317382131108</v>
      </c>
      <c r="G13" s="682">
        <f>industrie!F18</f>
        <v>686.68498075301159</v>
      </c>
      <c r="H13" s="682">
        <f>industrie!G18</f>
        <v>0</v>
      </c>
      <c r="I13" s="682">
        <f>industrie!H18</f>
        <v>0</v>
      </c>
      <c r="J13" s="682">
        <f>industrie!I18</f>
        <v>0</v>
      </c>
      <c r="K13" s="682">
        <f>industrie!J18</f>
        <v>0.22783458948262469</v>
      </c>
      <c r="L13" s="682">
        <f>industrie!K18</f>
        <v>0</v>
      </c>
      <c r="M13" s="682">
        <f>industrie!L18</f>
        <v>0</v>
      </c>
      <c r="N13" s="682">
        <f>industrie!M18</f>
        <v>0</v>
      </c>
      <c r="O13" s="682">
        <f>industrie!N18</f>
        <v>58.446382643733585</v>
      </c>
      <c r="P13" s="682">
        <f>industrie!O18</f>
        <v>0</v>
      </c>
      <c r="Q13" s="683">
        <f>industrie!P18</f>
        <v>0</v>
      </c>
      <c r="R13" s="685">
        <f>SUM(C13:Q13)</f>
        <v>3796.5095693054013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24012.217114059174</v>
      </c>
      <c r="D16" s="718">
        <f t="shared" ref="D16:R16" ca="1" si="0">SUM(D9:D15)</f>
        <v>0</v>
      </c>
      <c r="E16" s="718">
        <f t="shared" ca="1" si="0"/>
        <v>31894.056540545731</v>
      </c>
      <c r="F16" s="718">
        <f t="shared" si="0"/>
        <v>1159.0809538537712</v>
      </c>
      <c r="G16" s="718">
        <f t="shared" ca="1" si="0"/>
        <v>27496.265789122463</v>
      </c>
      <c r="H16" s="718">
        <f t="shared" si="0"/>
        <v>0</v>
      </c>
      <c r="I16" s="718">
        <f t="shared" si="0"/>
        <v>0</v>
      </c>
      <c r="J16" s="718">
        <f t="shared" si="0"/>
        <v>0</v>
      </c>
      <c r="K16" s="718">
        <f t="shared" si="0"/>
        <v>128.73665850284866</v>
      </c>
      <c r="L16" s="718">
        <f t="shared" si="0"/>
        <v>0</v>
      </c>
      <c r="M16" s="718">
        <f t="shared" ca="1" si="0"/>
        <v>0</v>
      </c>
      <c r="N16" s="718">
        <f t="shared" si="0"/>
        <v>0</v>
      </c>
      <c r="O16" s="718">
        <f t="shared" ca="1" si="0"/>
        <v>5437.4942635755669</v>
      </c>
      <c r="P16" s="718">
        <f t="shared" si="0"/>
        <v>347.99676315454479</v>
      </c>
      <c r="Q16" s="718">
        <f t="shared" si="0"/>
        <v>547.63522576769105</v>
      </c>
      <c r="R16" s="718">
        <f t="shared" ca="1" si="0"/>
        <v>91023.483308581781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7.8055066943907212</v>
      </c>
      <c r="D19" s="682">
        <f>transport!C54</f>
        <v>0</v>
      </c>
      <c r="E19" s="682">
        <f>transport!D54</f>
        <v>0</v>
      </c>
      <c r="F19" s="682">
        <f>transport!E54</f>
        <v>0</v>
      </c>
      <c r="G19" s="682">
        <f>transport!F54</f>
        <v>0</v>
      </c>
      <c r="H19" s="682">
        <f>transport!G54</f>
        <v>557.14299637602289</v>
      </c>
      <c r="I19" s="682">
        <f>transport!H54</f>
        <v>0</v>
      </c>
      <c r="J19" s="682">
        <f>transport!I54</f>
        <v>0</v>
      </c>
      <c r="K19" s="682">
        <f>transport!J54</f>
        <v>0</v>
      </c>
      <c r="L19" s="682">
        <f>transport!K54</f>
        <v>0</v>
      </c>
      <c r="M19" s="682">
        <f>transport!L54</f>
        <v>0</v>
      </c>
      <c r="N19" s="682">
        <f>transport!M54</f>
        <v>30.764652831881836</v>
      </c>
      <c r="O19" s="682">
        <f>transport!N54</f>
        <v>0</v>
      </c>
      <c r="P19" s="682">
        <f>transport!O54</f>
        <v>0</v>
      </c>
      <c r="Q19" s="683">
        <f>transport!P54</f>
        <v>0</v>
      </c>
      <c r="R19" s="685">
        <f>SUM(C19:Q19)</f>
        <v>595.7131559022954</v>
      </c>
      <c r="S19" s="67"/>
    </row>
    <row r="20" spans="1:19" s="445" customFormat="1">
      <c r="A20" s="803" t="s">
        <v>302</v>
      </c>
      <c r="B20" s="808"/>
      <c r="C20" s="682">
        <f>transport!B14</f>
        <v>67.097198248207761</v>
      </c>
      <c r="D20" s="682">
        <f>transport!C14</f>
        <v>0</v>
      </c>
      <c r="E20" s="682">
        <f>transport!D14</f>
        <v>140.53048179555853</v>
      </c>
      <c r="F20" s="682">
        <f>transport!E14</f>
        <v>75.584379127450276</v>
      </c>
      <c r="G20" s="682">
        <f>transport!F14</f>
        <v>0</v>
      </c>
      <c r="H20" s="682">
        <f>transport!G14</f>
        <v>26346.309755626513</v>
      </c>
      <c r="I20" s="682">
        <f>transport!H14</f>
        <v>8480.6759248576291</v>
      </c>
      <c r="J20" s="682">
        <f>transport!I14</f>
        <v>0</v>
      </c>
      <c r="K20" s="682">
        <f>transport!J14</f>
        <v>0</v>
      </c>
      <c r="L20" s="682">
        <f>transport!K14</f>
        <v>0</v>
      </c>
      <c r="M20" s="682">
        <f>transport!L14</f>
        <v>0</v>
      </c>
      <c r="N20" s="682">
        <f>transport!M14</f>
        <v>2072.8849306548127</v>
      </c>
      <c r="O20" s="682">
        <f>transport!N14</f>
        <v>0</v>
      </c>
      <c r="P20" s="682">
        <f>transport!O14</f>
        <v>0</v>
      </c>
      <c r="Q20" s="683">
        <f>transport!P14</f>
        <v>0</v>
      </c>
      <c r="R20" s="685">
        <f>SUM(C20:Q20)</f>
        <v>37183.08267031017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74.902704942598476</v>
      </c>
      <c r="D22" s="806">
        <f t="shared" ref="D22:R22" si="1">SUM(D18:D21)</f>
        <v>0</v>
      </c>
      <c r="E22" s="806">
        <f t="shared" si="1"/>
        <v>140.53048179555853</v>
      </c>
      <c r="F22" s="806">
        <f t="shared" si="1"/>
        <v>75.584379127450276</v>
      </c>
      <c r="G22" s="806">
        <f t="shared" si="1"/>
        <v>0</v>
      </c>
      <c r="H22" s="806">
        <f t="shared" si="1"/>
        <v>26903.452752002537</v>
      </c>
      <c r="I22" s="806">
        <f t="shared" si="1"/>
        <v>8480.6759248576291</v>
      </c>
      <c r="J22" s="806">
        <f t="shared" si="1"/>
        <v>0</v>
      </c>
      <c r="K22" s="806">
        <f t="shared" si="1"/>
        <v>0</v>
      </c>
      <c r="L22" s="806">
        <f t="shared" si="1"/>
        <v>0</v>
      </c>
      <c r="M22" s="806">
        <f t="shared" si="1"/>
        <v>0</v>
      </c>
      <c r="N22" s="806">
        <f t="shared" si="1"/>
        <v>2103.6495834866946</v>
      </c>
      <c r="O22" s="806">
        <f t="shared" si="1"/>
        <v>0</v>
      </c>
      <c r="P22" s="806">
        <f t="shared" si="1"/>
        <v>0</v>
      </c>
      <c r="Q22" s="806">
        <f t="shared" si="1"/>
        <v>0</v>
      </c>
      <c r="R22" s="806">
        <f t="shared" si="1"/>
        <v>37778.795826212467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2273.4137223023799</v>
      </c>
      <c r="D24" s="682">
        <f>+landbouw!C8</f>
        <v>35740.928571428572</v>
      </c>
      <c r="E24" s="682">
        <f>+landbouw!D8</f>
        <v>133.29066575439109</v>
      </c>
      <c r="F24" s="682">
        <f>+landbouw!E8</f>
        <v>84.782551581172044</v>
      </c>
      <c r="G24" s="682">
        <f>+landbouw!F8</f>
        <v>7375.832596790945</v>
      </c>
      <c r="H24" s="682">
        <f>+landbouw!G8</f>
        <v>0</v>
      </c>
      <c r="I24" s="682">
        <f>+landbouw!H8</f>
        <v>0</v>
      </c>
      <c r="J24" s="682">
        <f>+landbouw!I8</f>
        <v>0</v>
      </c>
      <c r="K24" s="682">
        <f>+landbouw!J8</f>
        <v>596.78232573679782</v>
      </c>
      <c r="L24" s="682">
        <f>+landbouw!K8</f>
        <v>0</v>
      </c>
      <c r="M24" s="682">
        <f>+landbouw!L8</f>
        <v>0</v>
      </c>
      <c r="N24" s="682">
        <f>+landbouw!M8</f>
        <v>0</v>
      </c>
      <c r="O24" s="682">
        <f>+landbouw!N8</f>
        <v>0</v>
      </c>
      <c r="P24" s="682">
        <f>+landbouw!O8</f>
        <v>0</v>
      </c>
      <c r="Q24" s="683">
        <f>+landbouw!P8</f>
        <v>0</v>
      </c>
      <c r="R24" s="685">
        <f>SUM(C24:Q24)</f>
        <v>46205.030433594264</v>
      </c>
      <c r="S24" s="67"/>
    </row>
    <row r="25" spans="1:19" s="445" customFormat="1" ht="15" thickBot="1">
      <c r="A25" s="825" t="s">
        <v>703</v>
      </c>
      <c r="B25" s="938"/>
      <c r="C25" s="939">
        <f>IF(Onbekend_ele_kWh="---",0,Onbekend_ele_kWh)/1000+IF(REST_rest_ele_kWh="---",0,REST_rest_ele_kWh)/1000</f>
        <v>326.81891516520699</v>
      </c>
      <c r="D25" s="939"/>
      <c r="E25" s="939">
        <f>IF(onbekend_gas_kWh="---",0,onbekend_gas_kWh)/1000+IF(REST_rest_gas_kWh="---",0,REST_rest_gas_kWh)/1000</f>
        <v>535.36318905333201</v>
      </c>
      <c r="F25" s="939"/>
      <c r="G25" s="939"/>
      <c r="H25" s="939"/>
      <c r="I25" s="939"/>
      <c r="J25" s="939"/>
      <c r="K25" s="939"/>
      <c r="L25" s="939"/>
      <c r="M25" s="939"/>
      <c r="N25" s="939"/>
      <c r="O25" s="939"/>
      <c r="P25" s="939"/>
      <c r="Q25" s="940"/>
      <c r="R25" s="685">
        <f>SUM(C25:Q25)</f>
        <v>862.18210421853905</v>
      </c>
      <c r="S25" s="67"/>
    </row>
    <row r="26" spans="1:19" s="445" customFormat="1" ht="15.75" thickBot="1">
      <c r="A26" s="690" t="s">
        <v>704</v>
      </c>
      <c r="B26" s="811"/>
      <c r="C26" s="806">
        <f>SUM(C24:C25)</f>
        <v>2600.2326374675868</v>
      </c>
      <c r="D26" s="806">
        <f t="shared" ref="D26:R26" si="2">SUM(D24:D25)</f>
        <v>35740.928571428572</v>
      </c>
      <c r="E26" s="806">
        <f t="shared" si="2"/>
        <v>668.65385480772306</v>
      </c>
      <c r="F26" s="806">
        <f t="shared" si="2"/>
        <v>84.782551581172044</v>
      </c>
      <c r="G26" s="806">
        <f t="shared" si="2"/>
        <v>7375.832596790945</v>
      </c>
      <c r="H26" s="806">
        <f t="shared" si="2"/>
        <v>0</v>
      </c>
      <c r="I26" s="806">
        <f t="shared" si="2"/>
        <v>0</v>
      </c>
      <c r="J26" s="806">
        <f t="shared" si="2"/>
        <v>0</v>
      </c>
      <c r="K26" s="806">
        <f t="shared" si="2"/>
        <v>596.78232573679782</v>
      </c>
      <c r="L26" s="806">
        <f t="shared" si="2"/>
        <v>0</v>
      </c>
      <c r="M26" s="806">
        <f t="shared" si="2"/>
        <v>0</v>
      </c>
      <c r="N26" s="806">
        <f t="shared" si="2"/>
        <v>0</v>
      </c>
      <c r="O26" s="806">
        <f t="shared" si="2"/>
        <v>0</v>
      </c>
      <c r="P26" s="806">
        <f t="shared" si="2"/>
        <v>0</v>
      </c>
      <c r="Q26" s="806">
        <f t="shared" si="2"/>
        <v>0</v>
      </c>
      <c r="R26" s="806">
        <f t="shared" si="2"/>
        <v>47067.212537812804</v>
      </c>
      <c r="S26" s="67"/>
    </row>
    <row r="27" spans="1:19" s="445" customFormat="1" ht="17.25" thickTop="1" thickBot="1">
      <c r="A27" s="691" t="s">
        <v>115</v>
      </c>
      <c r="B27" s="798"/>
      <c r="C27" s="692">
        <f ca="1">C22+C16+C26</f>
        <v>26687.352456469358</v>
      </c>
      <c r="D27" s="692">
        <f t="shared" ref="D27:R27" ca="1" si="3">D22+D16+D26</f>
        <v>35740.928571428572</v>
      </c>
      <c r="E27" s="692">
        <f t="shared" ca="1" si="3"/>
        <v>32703.240877149012</v>
      </c>
      <c r="F27" s="692">
        <f t="shared" si="3"/>
        <v>1319.4478845623937</v>
      </c>
      <c r="G27" s="692">
        <f t="shared" ca="1" si="3"/>
        <v>34872.098385913407</v>
      </c>
      <c r="H27" s="692">
        <f t="shared" si="3"/>
        <v>26903.452752002537</v>
      </c>
      <c r="I27" s="692">
        <f t="shared" si="3"/>
        <v>8480.6759248576291</v>
      </c>
      <c r="J27" s="692">
        <f t="shared" si="3"/>
        <v>0</v>
      </c>
      <c r="K27" s="692">
        <f t="shared" si="3"/>
        <v>725.51898423964644</v>
      </c>
      <c r="L27" s="692">
        <f t="shared" si="3"/>
        <v>0</v>
      </c>
      <c r="M27" s="692">
        <f t="shared" ca="1" si="3"/>
        <v>0</v>
      </c>
      <c r="N27" s="692">
        <f t="shared" si="3"/>
        <v>2103.6495834866946</v>
      </c>
      <c r="O27" s="692">
        <f t="shared" ca="1" si="3"/>
        <v>5437.4942635755669</v>
      </c>
      <c r="P27" s="692">
        <f t="shared" si="3"/>
        <v>347.99676315454479</v>
      </c>
      <c r="Q27" s="692">
        <f t="shared" si="3"/>
        <v>547.63522576769105</v>
      </c>
      <c r="R27" s="692">
        <f t="shared" ca="1" si="3"/>
        <v>175869.49167260705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0</v>
      </c>
      <c r="D40" s="682">
        <f ca="1">tertiair!C20</f>
        <v>0</v>
      </c>
      <c r="E40" s="682">
        <f ca="1">tertiair!D20</f>
        <v>1567.0731938430183</v>
      </c>
      <c r="F40" s="682">
        <f>tertiair!E20</f>
        <v>5.0023707339783829</v>
      </c>
      <c r="G40" s="682">
        <f ca="1">tertiair!F20</f>
        <v>300.21082797097199</v>
      </c>
      <c r="H40" s="682">
        <f>tertiair!G20</f>
        <v>0</v>
      </c>
      <c r="I40" s="682">
        <f>tertiair!H20</f>
        <v>0</v>
      </c>
      <c r="J40" s="682">
        <f>tertiair!I20</f>
        <v>0</v>
      </c>
      <c r="K40" s="682">
        <f>tertiair!J20</f>
        <v>3.5837161558645338E-3</v>
      </c>
      <c r="L40" s="682">
        <f>tertiair!K20</f>
        <v>0</v>
      </c>
      <c r="M40" s="682">
        <f ca="1">tertiair!L20</f>
        <v>0</v>
      </c>
      <c r="N40" s="682">
        <f>tertiair!M20</f>
        <v>0</v>
      </c>
      <c r="O40" s="682">
        <f ca="1">tertiair!N20</f>
        <v>0</v>
      </c>
      <c r="P40" s="682">
        <f>tertiair!O20</f>
        <v>0</v>
      </c>
      <c r="Q40" s="765">
        <f>tertiair!P20</f>
        <v>0</v>
      </c>
      <c r="R40" s="844">
        <f t="shared" ca="1" si="4"/>
        <v>1872.2899762641246</v>
      </c>
    </row>
    <row r="41" spans="1:18">
      <c r="A41" s="816" t="s">
        <v>220</v>
      </c>
      <c r="B41" s="823"/>
      <c r="C41" s="682">
        <f ca="1">huishoudens!B12</f>
        <v>0</v>
      </c>
      <c r="D41" s="682">
        <f ca="1">huishoudens!C12</f>
        <v>0</v>
      </c>
      <c r="E41" s="682">
        <f>huishoudens!D12</f>
        <v>4595.6160042029132</v>
      </c>
      <c r="F41" s="682">
        <f>huishoudens!E12</f>
        <v>256.69499288625337</v>
      </c>
      <c r="G41" s="682">
        <f>huishoudens!F12</f>
        <v>6857.9472478636717</v>
      </c>
      <c r="H41" s="682">
        <f>huishoudens!G12</f>
        <v>0</v>
      </c>
      <c r="I41" s="682">
        <f>huishoudens!H12</f>
        <v>0</v>
      </c>
      <c r="J41" s="682">
        <f>huishoudens!I12</f>
        <v>0</v>
      </c>
      <c r="K41" s="682">
        <f>huishoudens!J12</f>
        <v>45.48853994917571</v>
      </c>
      <c r="L41" s="682">
        <f>huishoudens!K12</f>
        <v>0</v>
      </c>
      <c r="M41" s="682">
        <f>huishoudens!L12</f>
        <v>0</v>
      </c>
      <c r="N41" s="682">
        <f>huishoudens!M12</f>
        <v>0</v>
      </c>
      <c r="O41" s="682">
        <f>huishoudens!N12</f>
        <v>0</v>
      </c>
      <c r="P41" s="682">
        <f>huishoudens!O12</f>
        <v>0</v>
      </c>
      <c r="Q41" s="765">
        <f>huishoudens!P12</f>
        <v>0</v>
      </c>
      <c r="R41" s="844">
        <f t="shared" ca="1" si="4"/>
        <v>11755.746784902014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0</v>
      </c>
      <c r="D43" s="682">
        <f ca="1">industrie!C22</f>
        <v>0</v>
      </c>
      <c r="E43" s="682">
        <f>industrie!D22</f>
        <v>279.91022314430694</v>
      </c>
      <c r="F43" s="682">
        <f>industrie!E22</f>
        <v>1.4140129045743761</v>
      </c>
      <c r="G43" s="682">
        <f>industrie!F22</f>
        <v>183.3448898610541</v>
      </c>
      <c r="H43" s="682">
        <f>industrie!G22</f>
        <v>0</v>
      </c>
      <c r="I43" s="682">
        <f>industrie!H22</f>
        <v>0</v>
      </c>
      <c r="J43" s="682">
        <f>industrie!I22</f>
        <v>0</v>
      </c>
      <c r="K43" s="682">
        <f>industrie!J22</f>
        <v>8.0653444676849137E-2</v>
      </c>
      <c r="L43" s="682">
        <f>industrie!K22</f>
        <v>0</v>
      </c>
      <c r="M43" s="682">
        <f>industrie!L22</f>
        <v>0</v>
      </c>
      <c r="N43" s="682">
        <f>industrie!M22</f>
        <v>0</v>
      </c>
      <c r="O43" s="682">
        <f>industrie!N22</f>
        <v>0</v>
      </c>
      <c r="P43" s="682">
        <f>industrie!O22</f>
        <v>0</v>
      </c>
      <c r="Q43" s="765">
        <f>industrie!P22</f>
        <v>0</v>
      </c>
      <c r="R43" s="843">
        <f t="shared" ca="1" si="4"/>
        <v>464.7497793546122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0</v>
      </c>
      <c r="D46" s="718">
        <f t="shared" ref="D46:Q46" ca="1" si="5">SUM(D39:D45)</f>
        <v>0</v>
      </c>
      <c r="E46" s="718">
        <f t="shared" ca="1" si="5"/>
        <v>6442.599421190238</v>
      </c>
      <c r="F46" s="718">
        <f t="shared" si="5"/>
        <v>263.11137652480613</v>
      </c>
      <c r="G46" s="718">
        <f t="shared" ca="1" si="5"/>
        <v>7341.5029656956976</v>
      </c>
      <c r="H46" s="718">
        <f t="shared" si="5"/>
        <v>0</v>
      </c>
      <c r="I46" s="718">
        <f t="shared" si="5"/>
        <v>0</v>
      </c>
      <c r="J46" s="718">
        <f t="shared" si="5"/>
        <v>0</v>
      </c>
      <c r="K46" s="718">
        <f t="shared" si="5"/>
        <v>45.572777110008424</v>
      </c>
      <c r="L46" s="718">
        <f t="shared" si="5"/>
        <v>0</v>
      </c>
      <c r="M46" s="718">
        <f t="shared" ca="1" si="5"/>
        <v>0</v>
      </c>
      <c r="N46" s="718">
        <f t="shared" si="5"/>
        <v>0</v>
      </c>
      <c r="O46" s="718">
        <f t="shared" ca="1" si="5"/>
        <v>0</v>
      </c>
      <c r="P46" s="718">
        <f t="shared" si="5"/>
        <v>0</v>
      </c>
      <c r="Q46" s="718">
        <f t="shared" si="5"/>
        <v>0</v>
      </c>
      <c r="R46" s="718">
        <f ca="1">SUM(R39:R45)</f>
        <v>14092.78654052075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v>
      </c>
      <c r="D49" s="682">
        <f ca="1">transport!C58</f>
        <v>0</v>
      </c>
      <c r="E49" s="682">
        <f>transport!D58</f>
        <v>0</v>
      </c>
      <c r="F49" s="682">
        <f>transport!E58</f>
        <v>0</v>
      </c>
      <c r="G49" s="682">
        <f>transport!F58</f>
        <v>0</v>
      </c>
      <c r="H49" s="682">
        <f>transport!G58</f>
        <v>148.75718003239811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148.75718003239811</v>
      </c>
    </row>
    <row r="50" spans="1:18">
      <c r="A50" s="819" t="s">
        <v>302</v>
      </c>
      <c r="B50" s="829"/>
      <c r="C50" s="688">
        <f ca="1">transport!B18</f>
        <v>0</v>
      </c>
      <c r="D50" s="688">
        <f>transport!C18</f>
        <v>0</v>
      </c>
      <c r="E50" s="688">
        <f>transport!D18</f>
        <v>28.387157322702826</v>
      </c>
      <c r="F50" s="688">
        <f>transport!E18</f>
        <v>17.157654061931215</v>
      </c>
      <c r="G50" s="688">
        <f>transport!F18</f>
        <v>0</v>
      </c>
      <c r="H50" s="688">
        <f>transport!G18</f>
        <v>7034.4647047522794</v>
      </c>
      <c r="I50" s="688">
        <f>transport!H18</f>
        <v>2111.6883052895496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9191.6978214264636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0</v>
      </c>
      <c r="D52" s="718">
        <f t="shared" ref="D52:Q52" ca="1" si="6">SUM(D48:D51)</f>
        <v>0</v>
      </c>
      <c r="E52" s="718">
        <f t="shared" si="6"/>
        <v>28.387157322702826</v>
      </c>
      <c r="F52" s="718">
        <f t="shared" si="6"/>
        <v>17.157654061931215</v>
      </c>
      <c r="G52" s="718">
        <f t="shared" si="6"/>
        <v>0</v>
      </c>
      <c r="H52" s="718">
        <f t="shared" si="6"/>
        <v>7183.221884784678</v>
      </c>
      <c r="I52" s="718">
        <f t="shared" si="6"/>
        <v>2111.6883052895496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9340.4550014588622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0</v>
      </c>
      <c r="D54" s="688">
        <f ca="1">+landbouw!C12</f>
        <v>0</v>
      </c>
      <c r="E54" s="688">
        <f>+landbouw!D12</f>
        <v>26.924714482386999</v>
      </c>
      <c r="F54" s="688">
        <f>+landbouw!E12</f>
        <v>19.245639208926054</v>
      </c>
      <c r="G54" s="688">
        <f>+landbouw!F12</f>
        <v>1969.3473033431824</v>
      </c>
      <c r="H54" s="688">
        <f>+landbouw!G12</f>
        <v>0</v>
      </c>
      <c r="I54" s="688">
        <f>+landbouw!H12</f>
        <v>0</v>
      </c>
      <c r="J54" s="688">
        <f>+landbouw!I12</f>
        <v>0</v>
      </c>
      <c r="K54" s="688">
        <f>+landbouw!J12</f>
        <v>211.26094331082641</v>
      </c>
      <c r="L54" s="688">
        <f>+landbouw!K12</f>
        <v>0</v>
      </c>
      <c r="M54" s="688">
        <f>+landbouw!L12</f>
        <v>0</v>
      </c>
      <c r="N54" s="688">
        <f>+landbouw!M12</f>
        <v>0</v>
      </c>
      <c r="O54" s="688">
        <f>+landbouw!N12</f>
        <v>0</v>
      </c>
      <c r="P54" s="688">
        <f>+landbouw!O12</f>
        <v>0</v>
      </c>
      <c r="Q54" s="689">
        <f>+landbouw!P12</f>
        <v>0</v>
      </c>
      <c r="R54" s="717">
        <f ca="1">SUM(C54:Q54)</f>
        <v>2226.778600345322</v>
      </c>
    </row>
    <row r="55" spans="1:18" ht="15" thickBot="1">
      <c r="A55" s="819" t="s">
        <v>703</v>
      </c>
      <c r="B55" s="829"/>
      <c r="C55" s="688">
        <f ca="1">C25*'EF ele_warmte'!B12</f>
        <v>0</v>
      </c>
      <c r="D55" s="688"/>
      <c r="E55" s="688">
        <f>E25*EF_CO2_aardgas</f>
        <v>108.14336418877308</v>
      </c>
      <c r="F55" s="688"/>
      <c r="G55" s="688"/>
      <c r="H55" s="688"/>
      <c r="I55" s="688"/>
      <c r="J55" s="688"/>
      <c r="K55" s="688"/>
      <c r="L55" s="688"/>
      <c r="M55" s="688"/>
      <c r="N55" s="688"/>
      <c r="O55" s="688"/>
      <c r="P55" s="688"/>
      <c r="Q55" s="689"/>
      <c r="R55" s="717">
        <f ca="1">SUM(C55:Q55)</f>
        <v>108.14336418877308</v>
      </c>
    </row>
    <row r="56" spans="1:18" ht="15.75" thickBot="1">
      <c r="A56" s="817" t="s">
        <v>704</v>
      </c>
      <c r="B56" s="830"/>
      <c r="C56" s="718">
        <f ca="1">SUM(C54:C55)</f>
        <v>0</v>
      </c>
      <c r="D56" s="718">
        <f t="shared" ref="D56:Q56" ca="1" si="7">SUM(D54:D55)</f>
        <v>0</v>
      </c>
      <c r="E56" s="718">
        <f t="shared" si="7"/>
        <v>135.06807867116007</v>
      </c>
      <c r="F56" s="718">
        <f t="shared" si="7"/>
        <v>19.245639208926054</v>
      </c>
      <c r="G56" s="718">
        <f t="shared" si="7"/>
        <v>1969.3473033431824</v>
      </c>
      <c r="H56" s="718">
        <f t="shared" si="7"/>
        <v>0</v>
      </c>
      <c r="I56" s="718">
        <f t="shared" si="7"/>
        <v>0</v>
      </c>
      <c r="J56" s="718">
        <f t="shared" si="7"/>
        <v>0</v>
      </c>
      <c r="K56" s="718">
        <f t="shared" si="7"/>
        <v>211.26094331082641</v>
      </c>
      <c r="L56" s="718">
        <f t="shared" si="7"/>
        <v>0</v>
      </c>
      <c r="M56" s="718">
        <f t="shared" si="7"/>
        <v>0</v>
      </c>
      <c r="N56" s="718">
        <f t="shared" si="7"/>
        <v>0</v>
      </c>
      <c r="O56" s="718">
        <f t="shared" si="7"/>
        <v>0</v>
      </c>
      <c r="P56" s="718">
        <f t="shared" si="7"/>
        <v>0</v>
      </c>
      <c r="Q56" s="719">
        <f t="shared" si="7"/>
        <v>0</v>
      </c>
      <c r="R56" s="720">
        <f ca="1">SUM(R54:R55)</f>
        <v>2334.921964534095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0</v>
      </c>
      <c r="D61" s="726">
        <f t="shared" ref="D61:Q61" ca="1" si="8">D46+D52+D56</f>
        <v>0</v>
      </c>
      <c r="E61" s="726">
        <f t="shared" ca="1" si="8"/>
        <v>6606.0546571841005</v>
      </c>
      <c r="F61" s="726">
        <f t="shared" si="8"/>
        <v>299.51466979566339</v>
      </c>
      <c r="G61" s="726">
        <f t="shared" ca="1" si="8"/>
        <v>9310.8502690388796</v>
      </c>
      <c r="H61" s="726">
        <f t="shared" si="8"/>
        <v>7183.221884784678</v>
      </c>
      <c r="I61" s="726">
        <f t="shared" si="8"/>
        <v>2111.6883052895496</v>
      </c>
      <c r="J61" s="726">
        <f t="shared" si="8"/>
        <v>0</v>
      </c>
      <c r="K61" s="726">
        <f t="shared" si="8"/>
        <v>256.83372042083482</v>
      </c>
      <c r="L61" s="726">
        <f t="shared" si="8"/>
        <v>0</v>
      </c>
      <c r="M61" s="726">
        <f t="shared" ca="1" si="8"/>
        <v>0</v>
      </c>
      <c r="N61" s="726">
        <f t="shared" si="8"/>
        <v>0</v>
      </c>
      <c r="O61" s="726">
        <f t="shared" ca="1" si="8"/>
        <v>0</v>
      </c>
      <c r="P61" s="726">
        <f t="shared" si="8"/>
        <v>0</v>
      </c>
      <c r="Q61" s="726">
        <f t="shared" si="8"/>
        <v>0</v>
      </c>
      <c r="R61" s="726">
        <f ca="1">R46+R52+R56</f>
        <v>25768.163506513709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2994.4910167878943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25018.65</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29433.705882352941</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28013.141016787897</v>
      </c>
      <c r="C78" s="744">
        <f>SUM(C72:C77)</f>
        <v>0</v>
      </c>
      <c r="D78" s="745">
        <f t="shared" ref="D78:H78" si="10">SUM(D76:D77)</f>
        <v>0</v>
      </c>
      <c r="E78" s="745">
        <f t="shared" si="10"/>
        <v>0</v>
      </c>
      <c r="F78" s="745">
        <f t="shared" si="10"/>
        <v>0</v>
      </c>
      <c r="G78" s="745">
        <f t="shared" si="10"/>
        <v>0</v>
      </c>
      <c r="H78" s="745">
        <f t="shared" si="10"/>
        <v>0</v>
      </c>
      <c r="I78" s="745">
        <f>SUM(I76:I77)</f>
        <v>0</v>
      </c>
      <c r="J78" s="745">
        <f>SUM(J76:J77)</f>
        <v>29433.705882352941</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35740.928571428572</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42048.151260504201</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35740.928571428572</v>
      </c>
      <c r="C90" s="744">
        <f>SUM(C87:C89)</f>
        <v>0</v>
      </c>
      <c r="D90" s="744">
        <f t="shared" ref="D90:H90" si="12">SUM(D87:D89)</f>
        <v>0</v>
      </c>
      <c r="E90" s="744">
        <f t="shared" si="12"/>
        <v>0</v>
      </c>
      <c r="F90" s="744">
        <f t="shared" si="12"/>
        <v>0</v>
      </c>
      <c r="G90" s="744">
        <f t="shared" si="12"/>
        <v>0</v>
      </c>
      <c r="H90" s="744">
        <f t="shared" si="12"/>
        <v>0</v>
      </c>
      <c r="I90" s="744">
        <f>SUM(I87:I89)</f>
        <v>0</v>
      </c>
      <c r="J90" s="744">
        <f>SUM(J87:J89)</f>
        <v>42048.151260504201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15412.182411682666</v>
      </c>
      <c r="C4" s="449">
        <f>huishoudens!C8</f>
        <v>0</v>
      </c>
      <c r="D4" s="449">
        <f>huishoudens!D8</f>
        <v>22750.574278232241</v>
      </c>
      <c r="E4" s="449">
        <f>huishoudens!E8</f>
        <v>1130.8149466354773</v>
      </c>
      <c r="F4" s="449">
        <f>huishoudens!F8</f>
        <v>25685.195684882663</v>
      </c>
      <c r="G4" s="449">
        <f>huishoudens!G8</f>
        <v>0</v>
      </c>
      <c r="H4" s="449">
        <f>huishoudens!H8</f>
        <v>0</v>
      </c>
      <c r="I4" s="449">
        <f>huishoudens!I8</f>
        <v>0</v>
      </c>
      <c r="J4" s="449">
        <f>huishoudens!J8</f>
        <v>128.49870042140032</v>
      </c>
      <c r="K4" s="449">
        <f>huishoudens!K8</f>
        <v>0</v>
      </c>
      <c r="L4" s="449">
        <f>huishoudens!L8</f>
        <v>0</v>
      </c>
      <c r="M4" s="449">
        <f>huishoudens!M8</f>
        <v>0</v>
      </c>
      <c r="N4" s="449">
        <f>huishoudens!N8</f>
        <v>5003.8394329873372</v>
      </c>
      <c r="O4" s="449">
        <f>huishoudens!O8</f>
        <v>333.30498085702135</v>
      </c>
      <c r="P4" s="450">
        <f>huishoudens!P8</f>
        <v>495.09608746119602</v>
      </c>
      <c r="Q4" s="451">
        <f>SUM(B4:P4)</f>
        <v>70939.506523160002</v>
      </c>
    </row>
    <row r="5" spans="1:17">
      <c r="A5" s="448" t="s">
        <v>155</v>
      </c>
      <c r="B5" s="449">
        <f ca="1">tertiair!B16</f>
        <v>6286.6026367772638</v>
      </c>
      <c r="C5" s="449">
        <f ca="1">tertiair!C16</f>
        <v>0</v>
      </c>
      <c r="D5" s="449">
        <f ca="1">tertiair!D16</f>
        <v>7757.788088331773</v>
      </c>
      <c r="E5" s="449">
        <f>tertiair!E16</f>
        <v>22.036875480080983</v>
      </c>
      <c r="F5" s="449">
        <f ca="1">tertiair!F16</f>
        <v>1124.3851234867864</v>
      </c>
      <c r="G5" s="449">
        <f>tertiair!G16</f>
        <v>0</v>
      </c>
      <c r="H5" s="449">
        <f>tertiair!H16</f>
        <v>0</v>
      </c>
      <c r="I5" s="449">
        <f>tertiair!I16</f>
        <v>0</v>
      </c>
      <c r="J5" s="449">
        <f>tertiair!J16</f>
        <v>1.0123491965719022E-2</v>
      </c>
      <c r="K5" s="449">
        <f>tertiair!K16</f>
        <v>0</v>
      </c>
      <c r="L5" s="449">
        <f ca="1">tertiair!L16</f>
        <v>0</v>
      </c>
      <c r="M5" s="449">
        <f>tertiair!M16</f>
        <v>0</v>
      </c>
      <c r="N5" s="449">
        <f ca="1">tertiair!N16</f>
        <v>375.20844794449658</v>
      </c>
      <c r="O5" s="449">
        <f>tertiair!O16</f>
        <v>14.691782297523464</v>
      </c>
      <c r="P5" s="450">
        <f>tertiair!P16</f>
        <v>52.539138306495019</v>
      </c>
      <c r="Q5" s="448">
        <f t="shared" ref="Q5:Q14" ca="1" si="0">SUM(B5:P5)</f>
        <v>15633.262216116384</v>
      </c>
    </row>
    <row r="6" spans="1:17">
      <c r="A6" s="448" t="s">
        <v>193</v>
      </c>
      <c r="B6" s="449">
        <f>'openbare verlichting'!B8</f>
        <v>654.20500000000004</v>
      </c>
      <c r="C6" s="449"/>
      <c r="D6" s="449"/>
      <c r="E6" s="449"/>
      <c r="F6" s="449"/>
      <c r="G6" s="449"/>
      <c r="H6" s="449"/>
      <c r="I6" s="449"/>
      <c r="J6" s="449"/>
      <c r="K6" s="449"/>
      <c r="L6" s="449"/>
      <c r="M6" s="449"/>
      <c r="N6" s="449"/>
      <c r="O6" s="449"/>
      <c r="P6" s="450"/>
      <c r="Q6" s="448">
        <f t="shared" si="0"/>
        <v>654.20500000000004</v>
      </c>
    </row>
    <row r="7" spans="1:17">
      <c r="A7" s="448" t="s">
        <v>111</v>
      </c>
      <c r="B7" s="449">
        <f>landbouw!B8</f>
        <v>2273.4137223023799</v>
      </c>
      <c r="C7" s="449">
        <f>landbouw!C8</f>
        <v>35740.928571428572</v>
      </c>
      <c r="D7" s="449">
        <f>landbouw!D8</f>
        <v>133.29066575439109</v>
      </c>
      <c r="E7" s="449">
        <f>landbouw!E8</f>
        <v>84.782551581172044</v>
      </c>
      <c r="F7" s="449">
        <f>landbouw!F8</f>
        <v>7375.832596790945</v>
      </c>
      <c r="G7" s="449">
        <f>landbouw!G8</f>
        <v>0</v>
      </c>
      <c r="H7" s="449">
        <f>landbouw!H8</f>
        <v>0</v>
      </c>
      <c r="I7" s="449">
        <f>landbouw!I8</f>
        <v>0</v>
      </c>
      <c r="J7" s="449">
        <f>landbouw!J8</f>
        <v>596.78232573679782</v>
      </c>
      <c r="K7" s="449">
        <f>landbouw!K8</f>
        <v>0</v>
      </c>
      <c r="L7" s="449">
        <f>landbouw!L8</f>
        <v>0</v>
      </c>
      <c r="M7" s="449">
        <f>landbouw!M8</f>
        <v>0</v>
      </c>
      <c r="N7" s="449">
        <f>landbouw!N8</f>
        <v>0</v>
      </c>
      <c r="O7" s="449">
        <f>landbouw!O8</f>
        <v>0</v>
      </c>
      <c r="P7" s="450">
        <f>landbouw!P8</f>
        <v>0</v>
      </c>
      <c r="Q7" s="448">
        <f t="shared" si="0"/>
        <v>46205.030433594264</v>
      </c>
    </row>
    <row r="8" spans="1:17">
      <c r="A8" s="448" t="s">
        <v>618</v>
      </c>
      <c r="B8" s="449">
        <f>industrie!B18</f>
        <v>1659.2270655992431</v>
      </c>
      <c r="C8" s="449">
        <f>industrie!C18</f>
        <v>0</v>
      </c>
      <c r="D8" s="449">
        <f>industrie!D18</f>
        <v>1385.6941739817173</v>
      </c>
      <c r="E8" s="449">
        <f>industrie!E18</f>
        <v>6.2291317382131108</v>
      </c>
      <c r="F8" s="449">
        <f>industrie!F18</f>
        <v>686.68498075301159</v>
      </c>
      <c r="G8" s="449">
        <f>industrie!G18</f>
        <v>0</v>
      </c>
      <c r="H8" s="449">
        <f>industrie!H18</f>
        <v>0</v>
      </c>
      <c r="I8" s="449">
        <f>industrie!I18</f>
        <v>0</v>
      </c>
      <c r="J8" s="449">
        <f>industrie!J18</f>
        <v>0.22783458948262469</v>
      </c>
      <c r="K8" s="449">
        <f>industrie!K18</f>
        <v>0</v>
      </c>
      <c r="L8" s="449">
        <f>industrie!L18</f>
        <v>0</v>
      </c>
      <c r="M8" s="449">
        <f>industrie!M18</f>
        <v>0</v>
      </c>
      <c r="N8" s="449">
        <f>industrie!N18</f>
        <v>58.446382643733585</v>
      </c>
      <c r="O8" s="449">
        <f>industrie!O18</f>
        <v>0</v>
      </c>
      <c r="P8" s="450">
        <f>industrie!P18</f>
        <v>0</v>
      </c>
      <c r="Q8" s="448">
        <f t="shared" si="0"/>
        <v>3796.5095693054013</v>
      </c>
    </row>
    <row r="9" spans="1:17" s="454" customFormat="1">
      <c r="A9" s="452" t="s">
        <v>544</v>
      </c>
      <c r="B9" s="453">
        <f>transport!B14</f>
        <v>67.097198248207761</v>
      </c>
      <c r="C9" s="453">
        <f>transport!C14</f>
        <v>0</v>
      </c>
      <c r="D9" s="453">
        <f>transport!D14</f>
        <v>140.53048179555853</v>
      </c>
      <c r="E9" s="453">
        <f>transport!E14</f>
        <v>75.584379127450276</v>
      </c>
      <c r="F9" s="453">
        <f>transport!F14</f>
        <v>0</v>
      </c>
      <c r="G9" s="453">
        <f>transport!G14</f>
        <v>26346.309755626513</v>
      </c>
      <c r="H9" s="453">
        <f>transport!H14</f>
        <v>8480.6759248576291</v>
      </c>
      <c r="I9" s="453">
        <f>transport!I14</f>
        <v>0</v>
      </c>
      <c r="J9" s="453">
        <f>transport!J14</f>
        <v>0</v>
      </c>
      <c r="K9" s="453">
        <f>transport!K14</f>
        <v>0</v>
      </c>
      <c r="L9" s="453">
        <f>transport!L14</f>
        <v>0</v>
      </c>
      <c r="M9" s="453">
        <f>transport!M14</f>
        <v>2072.8849306548127</v>
      </c>
      <c r="N9" s="453">
        <f>transport!N14</f>
        <v>0</v>
      </c>
      <c r="O9" s="453">
        <f>transport!O14</f>
        <v>0</v>
      </c>
      <c r="P9" s="453">
        <f>transport!P14</f>
        <v>0</v>
      </c>
      <c r="Q9" s="452">
        <f>SUM(B9:P9)</f>
        <v>37183.08267031017</v>
      </c>
    </row>
    <row r="10" spans="1:17">
      <c r="A10" s="448" t="s">
        <v>534</v>
      </c>
      <c r="B10" s="449">
        <f>transport!B54</f>
        <v>7.8055066943907212</v>
      </c>
      <c r="C10" s="449">
        <f>transport!C54</f>
        <v>0</v>
      </c>
      <c r="D10" s="449">
        <f>transport!D54</f>
        <v>0</v>
      </c>
      <c r="E10" s="449">
        <f>transport!E54</f>
        <v>0</v>
      </c>
      <c r="F10" s="449">
        <f>transport!F54</f>
        <v>0</v>
      </c>
      <c r="G10" s="449">
        <f>transport!G54</f>
        <v>557.14299637602289</v>
      </c>
      <c r="H10" s="449">
        <f>transport!H54</f>
        <v>0</v>
      </c>
      <c r="I10" s="449">
        <f>transport!I54</f>
        <v>0</v>
      </c>
      <c r="J10" s="449">
        <f>transport!J54</f>
        <v>0</v>
      </c>
      <c r="K10" s="449">
        <f>transport!K54</f>
        <v>0</v>
      </c>
      <c r="L10" s="449">
        <f>transport!L54</f>
        <v>0</v>
      </c>
      <c r="M10" s="449">
        <f>transport!M54</f>
        <v>30.764652831881836</v>
      </c>
      <c r="N10" s="449">
        <f>transport!N54</f>
        <v>0</v>
      </c>
      <c r="O10" s="449">
        <f>transport!O54</f>
        <v>0</v>
      </c>
      <c r="P10" s="450">
        <f>transport!P54</f>
        <v>0</v>
      </c>
      <c r="Q10" s="448">
        <f t="shared" si="0"/>
        <v>595.7131559022954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326.81891516520699</v>
      </c>
      <c r="C14" s="456"/>
      <c r="D14" s="456">
        <f>'SEAP template'!E25</f>
        <v>535.36318905333201</v>
      </c>
      <c r="E14" s="456"/>
      <c r="F14" s="456"/>
      <c r="G14" s="456"/>
      <c r="H14" s="456"/>
      <c r="I14" s="456"/>
      <c r="J14" s="456"/>
      <c r="K14" s="456"/>
      <c r="L14" s="456"/>
      <c r="M14" s="456"/>
      <c r="N14" s="456"/>
      <c r="O14" s="456"/>
      <c r="P14" s="457"/>
      <c r="Q14" s="448">
        <f t="shared" si="0"/>
        <v>862.18210421853905</v>
      </c>
    </row>
    <row r="15" spans="1:17" s="460" customFormat="1">
      <c r="A15" s="458" t="s">
        <v>538</v>
      </c>
      <c r="B15" s="459">
        <f ca="1">SUM(B4:B14)</f>
        <v>26687.352456469362</v>
      </c>
      <c r="C15" s="459">
        <f t="shared" ref="C15:Q15" ca="1" si="1">SUM(C4:C14)</f>
        <v>35740.928571428572</v>
      </c>
      <c r="D15" s="459">
        <f t="shared" ca="1" si="1"/>
        <v>32703.240877149012</v>
      </c>
      <c r="E15" s="459">
        <f t="shared" si="1"/>
        <v>1319.4478845623937</v>
      </c>
      <c r="F15" s="459">
        <f t="shared" ca="1" si="1"/>
        <v>34872.098385913407</v>
      </c>
      <c r="G15" s="459">
        <f t="shared" si="1"/>
        <v>26903.452752002537</v>
      </c>
      <c r="H15" s="459">
        <f t="shared" si="1"/>
        <v>8480.6759248576291</v>
      </c>
      <c r="I15" s="459">
        <f t="shared" si="1"/>
        <v>0</v>
      </c>
      <c r="J15" s="459">
        <f t="shared" si="1"/>
        <v>725.51898423964644</v>
      </c>
      <c r="K15" s="459">
        <f t="shared" si="1"/>
        <v>0</v>
      </c>
      <c r="L15" s="459">
        <f t="shared" ca="1" si="1"/>
        <v>0</v>
      </c>
      <c r="M15" s="459">
        <f t="shared" si="1"/>
        <v>2103.6495834866946</v>
      </c>
      <c r="N15" s="459">
        <f t="shared" ca="1" si="1"/>
        <v>5437.4942635755669</v>
      </c>
      <c r="O15" s="459">
        <f t="shared" si="1"/>
        <v>347.99676315454479</v>
      </c>
      <c r="P15" s="459">
        <f t="shared" si="1"/>
        <v>547.63522576769105</v>
      </c>
      <c r="Q15" s="459">
        <f t="shared" ca="1" si="1"/>
        <v>175869.49167260705</v>
      </c>
    </row>
    <row r="17" spans="1:17">
      <c r="A17" s="461" t="s">
        <v>539</v>
      </c>
      <c r="B17" s="777">
        <f ca="1">huishoudens!B10</f>
        <v>0</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0</v>
      </c>
      <c r="C22" s="449">
        <f t="shared" ref="C22:C32" ca="1" si="3">C4*$C$17</f>
        <v>0</v>
      </c>
      <c r="D22" s="449">
        <f t="shared" ref="D22:D32" si="4">D4*$D$17</f>
        <v>4595.6160042029132</v>
      </c>
      <c r="E22" s="449">
        <f t="shared" ref="E22:E32" si="5">E4*$E$17</f>
        <v>256.69499288625337</v>
      </c>
      <c r="F22" s="449">
        <f t="shared" ref="F22:F32" si="6">F4*$F$17</f>
        <v>6857.9472478636717</v>
      </c>
      <c r="G22" s="449">
        <f t="shared" ref="G22:G32" si="7">G4*$G$17</f>
        <v>0</v>
      </c>
      <c r="H22" s="449">
        <f t="shared" ref="H22:H32" si="8">H4*$H$17</f>
        <v>0</v>
      </c>
      <c r="I22" s="449">
        <f t="shared" ref="I22:I32" si="9">I4*$I$17</f>
        <v>0</v>
      </c>
      <c r="J22" s="449">
        <f t="shared" ref="J22:J32" si="10">J4*$J$17</f>
        <v>45.48853994917571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11755.746784902014</v>
      </c>
    </row>
    <row r="23" spans="1:17">
      <c r="A23" s="448" t="s">
        <v>155</v>
      </c>
      <c r="B23" s="449">
        <f t="shared" ca="1" si="2"/>
        <v>0</v>
      </c>
      <c r="C23" s="449">
        <f t="shared" ca="1" si="3"/>
        <v>0</v>
      </c>
      <c r="D23" s="449">
        <f t="shared" ca="1" si="4"/>
        <v>1567.0731938430183</v>
      </c>
      <c r="E23" s="449">
        <f t="shared" si="5"/>
        <v>5.0023707339783829</v>
      </c>
      <c r="F23" s="449">
        <f t="shared" ca="1" si="6"/>
        <v>300.21082797097199</v>
      </c>
      <c r="G23" s="449">
        <f t="shared" si="7"/>
        <v>0</v>
      </c>
      <c r="H23" s="449">
        <f t="shared" si="8"/>
        <v>0</v>
      </c>
      <c r="I23" s="449">
        <f t="shared" si="9"/>
        <v>0</v>
      </c>
      <c r="J23" s="449">
        <f t="shared" si="10"/>
        <v>3.5837161558645338E-3</v>
      </c>
      <c r="K23" s="449">
        <f t="shared" si="11"/>
        <v>0</v>
      </c>
      <c r="L23" s="449">
        <f t="shared" ca="1" si="12"/>
        <v>0</v>
      </c>
      <c r="M23" s="449">
        <f t="shared" si="13"/>
        <v>0</v>
      </c>
      <c r="N23" s="449">
        <f t="shared" ca="1" si="14"/>
        <v>0</v>
      </c>
      <c r="O23" s="449">
        <f t="shared" si="15"/>
        <v>0</v>
      </c>
      <c r="P23" s="450">
        <f t="shared" si="16"/>
        <v>0</v>
      </c>
      <c r="Q23" s="448">
        <f t="shared" ref="Q23:Q31" ca="1" si="17">SUM(B23:P23)</f>
        <v>1872.2899762641246</v>
      </c>
    </row>
    <row r="24" spans="1:17">
      <c r="A24" s="448" t="s">
        <v>193</v>
      </c>
      <c r="B24" s="449">
        <f t="shared" ca="1" si="2"/>
        <v>0</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0</v>
      </c>
    </row>
    <row r="25" spans="1:17">
      <c r="A25" s="448" t="s">
        <v>111</v>
      </c>
      <c r="B25" s="449">
        <f t="shared" ca="1" si="2"/>
        <v>0</v>
      </c>
      <c r="C25" s="449">
        <f t="shared" ca="1" si="3"/>
        <v>0</v>
      </c>
      <c r="D25" s="449">
        <f t="shared" si="4"/>
        <v>26.924714482386999</v>
      </c>
      <c r="E25" s="449">
        <f t="shared" si="5"/>
        <v>19.245639208926054</v>
      </c>
      <c r="F25" s="449">
        <f t="shared" si="6"/>
        <v>1969.3473033431824</v>
      </c>
      <c r="G25" s="449">
        <f t="shared" si="7"/>
        <v>0</v>
      </c>
      <c r="H25" s="449">
        <f t="shared" si="8"/>
        <v>0</v>
      </c>
      <c r="I25" s="449">
        <f t="shared" si="9"/>
        <v>0</v>
      </c>
      <c r="J25" s="449">
        <f t="shared" si="10"/>
        <v>211.26094331082641</v>
      </c>
      <c r="K25" s="449">
        <f t="shared" si="11"/>
        <v>0</v>
      </c>
      <c r="L25" s="449">
        <f t="shared" si="12"/>
        <v>0</v>
      </c>
      <c r="M25" s="449">
        <f t="shared" si="13"/>
        <v>0</v>
      </c>
      <c r="N25" s="449">
        <f t="shared" si="14"/>
        <v>0</v>
      </c>
      <c r="O25" s="449">
        <f t="shared" si="15"/>
        <v>0</v>
      </c>
      <c r="P25" s="450">
        <f t="shared" si="16"/>
        <v>0</v>
      </c>
      <c r="Q25" s="448">
        <f t="shared" ca="1" si="17"/>
        <v>2226.778600345322</v>
      </c>
    </row>
    <row r="26" spans="1:17">
      <c r="A26" s="448" t="s">
        <v>618</v>
      </c>
      <c r="B26" s="449">
        <f t="shared" ca="1" si="2"/>
        <v>0</v>
      </c>
      <c r="C26" s="449">
        <f t="shared" ca="1" si="3"/>
        <v>0</v>
      </c>
      <c r="D26" s="449">
        <f t="shared" si="4"/>
        <v>279.91022314430694</v>
      </c>
      <c r="E26" s="449">
        <f t="shared" si="5"/>
        <v>1.4140129045743761</v>
      </c>
      <c r="F26" s="449">
        <f t="shared" si="6"/>
        <v>183.3448898610541</v>
      </c>
      <c r="G26" s="449">
        <f t="shared" si="7"/>
        <v>0</v>
      </c>
      <c r="H26" s="449">
        <f t="shared" si="8"/>
        <v>0</v>
      </c>
      <c r="I26" s="449">
        <f t="shared" si="9"/>
        <v>0</v>
      </c>
      <c r="J26" s="449">
        <f t="shared" si="10"/>
        <v>8.0653444676849137E-2</v>
      </c>
      <c r="K26" s="449">
        <f t="shared" si="11"/>
        <v>0</v>
      </c>
      <c r="L26" s="449">
        <f t="shared" si="12"/>
        <v>0</v>
      </c>
      <c r="M26" s="449">
        <f t="shared" si="13"/>
        <v>0</v>
      </c>
      <c r="N26" s="449">
        <f t="shared" si="14"/>
        <v>0</v>
      </c>
      <c r="O26" s="449">
        <f t="shared" si="15"/>
        <v>0</v>
      </c>
      <c r="P26" s="450">
        <f t="shared" si="16"/>
        <v>0</v>
      </c>
      <c r="Q26" s="448">
        <f t="shared" ca="1" si="17"/>
        <v>464.7497793546122</v>
      </c>
    </row>
    <row r="27" spans="1:17" s="454" customFormat="1">
      <c r="A27" s="452" t="s">
        <v>544</v>
      </c>
      <c r="B27" s="771">
        <f t="shared" ca="1" si="2"/>
        <v>0</v>
      </c>
      <c r="C27" s="453">
        <f t="shared" ca="1" si="3"/>
        <v>0</v>
      </c>
      <c r="D27" s="453">
        <f t="shared" si="4"/>
        <v>28.387157322702826</v>
      </c>
      <c r="E27" s="453">
        <f t="shared" si="5"/>
        <v>17.157654061931215</v>
      </c>
      <c r="F27" s="453">
        <f t="shared" si="6"/>
        <v>0</v>
      </c>
      <c r="G27" s="453">
        <f t="shared" si="7"/>
        <v>7034.4647047522794</v>
      </c>
      <c r="H27" s="453">
        <f t="shared" si="8"/>
        <v>2111.6883052895496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9191.6978214264636</v>
      </c>
    </row>
    <row r="28" spans="1:17" ht="16.5" customHeight="1">
      <c r="A28" s="448" t="s">
        <v>534</v>
      </c>
      <c r="B28" s="449">
        <f t="shared" ca="1" si="2"/>
        <v>0</v>
      </c>
      <c r="C28" s="449">
        <f t="shared" ca="1" si="3"/>
        <v>0</v>
      </c>
      <c r="D28" s="449">
        <f t="shared" si="4"/>
        <v>0</v>
      </c>
      <c r="E28" s="449">
        <f t="shared" si="5"/>
        <v>0</v>
      </c>
      <c r="F28" s="449">
        <f t="shared" si="6"/>
        <v>0</v>
      </c>
      <c r="G28" s="449">
        <f t="shared" si="7"/>
        <v>148.75718003239811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148.75718003239811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0</v>
      </c>
      <c r="C32" s="449">
        <f t="shared" ca="1" si="3"/>
        <v>0</v>
      </c>
      <c r="D32" s="449">
        <f t="shared" si="4"/>
        <v>108.14336418877308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108.14336418877308</v>
      </c>
    </row>
    <row r="33" spans="1:17" s="460" customFormat="1">
      <c r="A33" s="458" t="s">
        <v>538</v>
      </c>
      <c r="B33" s="459">
        <f ca="1">SUM(B22:B32)</f>
        <v>0</v>
      </c>
      <c r="C33" s="459">
        <f t="shared" ref="C33:Q33" ca="1" si="19">SUM(C22:C32)</f>
        <v>0</v>
      </c>
      <c r="D33" s="459">
        <f t="shared" ca="1" si="19"/>
        <v>6606.0546571841005</v>
      </c>
      <c r="E33" s="459">
        <f t="shared" si="19"/>
        <v>299.51466979566339</v>
      </c>
      <c r="F33" s="459">
        <f t="shared" ca="1" si="19"/>
        <v>9310.8502690388814</v>
      </c>
      <c r="G33" s="459">
        <f t="shared" si="19"/>
        <v>7183.221884784678</v>
      </c>
      <c r="H33" s="459">
        <f t="shared" si="19"/>
        <v>2111.6883052895496</v>
      </c>
      <c r="I33" s="459">
        <f t="shared" si="19"/>
        <v>0</v>
      </c>
      <c r="J33" s="459">
        <f t="shared" si="19"/>
        <v>256.83372042083482</v>
      </c>
      <c r="K33" s="459">
        <f t="shared" si="19"/>
        <v>0</v>
      </c>
      <c r="L33" s="459">
        <f t="shared" ca="1" si="19"/>
        <v>0</v>
      </c>
      <c r="M33" s="459">
        <f t="shared" si="19"/>
        <v>0</v>
      </c>
      <c r="N33" s="459">
        <f t="shared" ca="1" si="19"/>
        <v>0</v>
      </c>
      <c r="O33" s="459">
        <f t="shared" si="19"/>
        <v>0</v>
      </c>
      <c r="P33" s="459">
        <f t="shared" si="19"/>
        <v>0</v>
      </c>
      <c r="Q33" s="459">
        <f t="shared" ca="1" si="19"/>
        <v>25768.163506513709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2994.4910167878943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25018.65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29433.705882352941</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28013.141016787897</v>
      </c>
      <c r="C10" s="1017">
        <f>SUM(C4:C9)</f>
        <v>0</v>
      </c>
      <c r="D10" s="1017">
        <f t="shared" ref="D10:H10" si="0">SUM(D8:D9)</f>
        <v>0</v>
      </c>
      <c r="E10" s="1017">
        <f t="shared" si="0"/>
        <v>0</v>
      </c>
      <c r="F10" s="1017">
        <f t="shared" si="0"/>
        <v>0</v>
      </c>
      <c r="G10" s="1017">
        <f t="shared" si="0"/>
        <v>0</v>
      </c>
      <c r="H10" s="1017">
        <f t="shared" si="0"/>
        <v>0</v>
      </c>
      <c r="I10" s="1017">
        <f>SUM(I8:I9)</f>
        <v>0</v>
      </c>
      <c r="J10" s="1017">
        <f>SUM(J8:J9)</f>
        <v>29433.705882352941</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35740.928571428572</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42048.151260504201</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35740.928571428572</v>
      </c>
      <c r="C20" s="1017">
        <f>SUM(C17:C19)</f>
        <v>0</v>
      </c>
      <c r="D20" s="1017">
        <f t="shared" ref="D20:H20" si="2">SUM(D17:D19)</f>
        <v>0</v>
      </c>
      <c r="E20" s="1017">
        <f t="shared" si="2"/>
        <v>0</v>
      </c>
      <c r="F20" s="1017">
        <f t="shared" si="2"/>
        <v>0</v>
      </c>
      <c r="G20" s="1017">
        <f t="shared" si="2"/>
        <v>0</v>
      </c>
      <c r="H20" s="1017">
        <f t="shared" si="2"/>
        <v>0</v>
      </c>
      <c r="I20" s="1017">
        <f>SUM(I17:I19)</f>
        <v>0</v>
      </c>
      <c r="J20" s="1017">
        <f>SUM(J17:J19)</f>
        <v>42048.151260504201</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3519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2763.9619424569246</v>
      </c>
      <c r="C14" s="326"/>
      <c r="D14" s="326"/>
      <c r="E14" s="326"/>
      <c r="F14" s="326"/>
    </row>
    <row r="15" spans="1:6">
      <c r="A15" s="1307" t="s">
        <v>183</v>
      </c>
      <c r="B15" s="1308">
        <v>64.528301886792448</v>
      </c>
      <c r="C15" s="326"/>
      <c r="D15" s="326"/>
      <c r="E15" s="326"/>
      <c r="F15" s="326"/>
    </row>
    <row r="16" spans="1:6">
      <c r="A16" s="1307" t="s">
        <v>6</v>
      </c>
      <c r="B16" s="1308">
        <v>3066.3732765612331</v>
      </c>
      <c r="C16" s="326"/>
      <c r="D16" s="326"/>
      <c r="E16" s="326"/>
      <c r="F16" s="326"/>
    </row>
    <row r="17" spans="1:6">
      <c r="A17" s="1307" t="s">
        <v>7</v>
      </c>
      <c r="B17" s="1308">
        <v>520.73654390934848</v>
      </c>
      <c r="C17" s="326"/>
      <c r="D17" s="326"/>
      <c r="E17" s="326"/>
      <c r="F17" s="326"/>
    </row>
    <row r="18" spans="1:6">
      <c r="A18" s="1307" t="s">
        <v>8</v>
      </c>
      <c r="B18" s="1308">
        <v>1937.0217931034483</v>
      </c>
      <c r="C18" s="326"/>
      <c r="D18" s="326"/>
      <c r="E18" s="326"/>
      <c r="F18" s="326"/>
    </row>
    <row r="19" spans="1:6">
      <c r="A19" s="1307" t="s">
        <v>9</v>
      </c>
      <c r="B19" s="1308">
        <v>1848.7188208616778</v>
      </c>
      <c r="C19" s="326"/>
      <c r="D19" s="326"/>
      <c r="E19" s="326"/>
      <c r="F19" s="326"/>
    </row>
    <row r="20" spans="1:6">
      <c r="A20" s="1307" t="s">
        <v>10</v>
      </c>
      <c r="B20" s="1308">
        <v>1241.3157894736842</v>
      </c>
      <c r="C20" s="326"/>
      <c r="D20" s="326"/>
      <c r="E20" s="326"/>
      <c r="F20" s="326"/>
    </row>
    <row r="21" spans="1:6">
      <c r="A21" s="1307" t="s">
        <v>11</v>
      </c>
      <c r="B21" s="1308">
        <v>2255.7502817581708</v>
      </c>
      <c r="C21" s="326"/>
      <c r="D21" s="326"/>
      <c r="E21" s="326"/>
      <c r="F21" s="326"/>
    </row>
    <row r="22" spans="1:6">
      <c r="A22" s="1307" t="s">
        <v>12</v>
      </c>
      <c r="B22" s="1308">
        <v>10370.67896909796</v>
      </c>
      <c r="C22" s="326"/>
      <c r="D22" s="326"/>
      <c r="E22" s="326"/>
      <c r="F22" s="326"/>
    </row>
    <row r="23" spans="1:6">
      <c r="A23" s="1307" t="s">
        <v>13</v>
      </c>
      <c r="B23" s="1308">
        <v>72.075999999999993</v>
      </c>
      <c r="C23" s="326"/>
      <c r="D23" s="326"/>
      <c r="E23" s="326"/>
      <c r="F23" s="326"/>
    </row>
    <row r="24" spans="1:6">
      <c r="A24" s="1307" t="s">
        <v>14</v>
      </c>
      <c r="B24" s="1308">
        <v>6.9090909090909092</v>
      </c>
      <c r="C24" s="326"/>
      <c r="D24" s="326"/>
      <c r="E24" s="326"/>
      <c r="F24" s="326"/>
    </row>
    <row r="25" spans="1:6">
      <c r="A25" s="1307" t="s">
        <v>15</v>
      </c>
      <c r="B25" s="1308">
        <v>564.27726926010678</v>
      </c>
      <c r="C25" s="326"/>
      <c r="D25" s="326"/>
      <c r="E25" s="326"/>
      <c r="F25" s="326"/>
    </row>
    <row r="26" spans="1:6">
      <c r="A26" s="1307" t="s">
        <v>16</v>
      </c>
      <c r="B26" s="1308">
        <v>40.80808080808081</v>
      </c>
      <c r="C26" s="326"/>
      <c r="D26" s="326"/>
      <c r="E26" s="326"/>
      <c r="F26" s="326"/>
    </row>
    <row r="27" spans="1:6">
      <c r="A27" s="1307" t="s">
        <v>17</v>
      </c>
      <c r="B27" s="1308">
        <v>1124</v>
      </c>
      <c r="C27" s="326"/>
      <c r="D27" s="326"/>
      <c r="E27" s="326"/>
      <c r="F27" s="326"/>
    </row>
    <row r="28" spans="1:6" s="43" customFormat="1">
      <c r="A28" s="1309" t="s">
        <v>18</v>
      </c>
      <c r="B28" s="1310">
        <v>115426.49615082482</v>
      </c>
      <c r="C28" s="332"/>
      <c r="D28" s="332"/>
      <c r="E28" s="332"/>
      <c r="F28" s="332"/>
    </row>
    <row r="29" spans="1:6">
      <c r="A29" s="1309" t="s">
        <v>688</v>
      </c>
      <c r="B29" s="1310">
        <v>82.807228915662648</v>
      </c>
      <c r="C29" s="332"/>
      <c r="D29" s="332"/>
      <c r="E29" s="332"/>
      <c r="F29" s="332"/>
    </row>
    <row r="30" spans="1:6">
      <c r="A30" s="1302" t="s">
        <v>689</v>
      </c>
      <c r="B30" s="1311">
        <v>21.083333333333332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4</v>
      </c>
      <c r="F38" s="1308">
        <v>136333.112448587</v>
      </c>
    </row>
    <row r="39" spans="1:6">
      <c r="A39" s="1307" t="s">
        <v>29</v>
      </c>
      <c r="B39" s="1307" t="s">
        <v>30</v>
      </c>
      <c r="C39" s="1308">
        <v>1738</v>
      </c>
      <c r="D39" s="1308">
        <v>25194434.416646998</v>
      </c>
      <c r="E39" s="1308">
        <v>3233</v>
      </c>
      <c r="F39" s="1308">
        <v>12908562.166260799</v>
      </c>
    </row>
    <row r="40" spans="1:6">
      <c r="A40" s="1307" t="s">
        <v>29</v>
      </c>
      <c r="B40" s="1307" t="s">
        <v>28</v>
      </c>
      <c r="C40" s="1308">
        <v>0</v>
      </c>
      <c r="D40" s="1308">
        <v>0</v>
      </c>
      <c r="E40" s="1308">
        <v>0</v>
      </c>
      <c r="F40" s="1308">
        <v>0</v>
      </c>
    </row>
    <row r="41" spans="1:6">
      <c r="A41" s="1307" t="s">
        <v>31</v>
      </c>
      <c r="B41" s="1307" t="s">
        <v>32</v>
      </c>
      <c r="C41" s="1308">
        <v>51</v>
      </c>
      <c r="D41" s="1308">
        <v>1055736.1491849399</v>
      </c>
      <c r="E41" s="1308">
        <v>136</v>
      </c>
      <c r="F41" s="1308">
        <v>1086722.78053829</v>
      </c>
    </row>
    <row r="42" spans="1:6">
      <c r="A42" s="1307" t="s">
        <v>31</v>
      </c>
      <c r="B42" s="1307" t="s">
        <v>33</v>
      </c>
      <c r="C42" s="1308">
        <v>0</v>
      </c>
      <c r="D42" s="1308">
        <v>0</v>
      </c>
      <c r="E42" s="1308">
        <v>3</v>
      </c>
      <c r="F42" s="1308">
        <v>13922.5674236046</v>
      </c>
    </row>
    <row r="43" spans="1:6">
      <c r="A43" s="1307" t="s">
        <v>31</v>
      </c>
      <c r="B43" s="1307" t="s">
        <v>34</v>
      </c>
      <c r="C43" s="1308">
        <v>0</v>
      </c>
      <c r="D43" s="1308">
        <v>0</v>
      </c>
      <c r="E43" s="1308">
        <v>0</v>
      </c>
      <c r="F43" s="1308">
        <v>0</v>
      </c>
    </row>
    <row r="44" spans="1:6">
      <c r="A44" s="1307" t="s">
        <v>31</v>
      </c>
      <c r="B44" s="1307" t="s">
        <v>35</v>
      </c>
      <c r="C44" s="1308">
        <v>3</v>
      </c>
      <c r="D44" s="1308">
        <v>57167.5621885242</v>
      </c>
      <c r="E44" s="1308">
        <v>14</v>
      </c>
      <c r="F44" s="1308">
        <v>221324.986658201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15565.7291482162</v>
      </c>
    </row>
    <row r="48" spans="1:6">
      <c r="A48" s="1307" t="s">
        <v>31</v>
      </c>
      <c r="B48" s="1307" t="s">
        <v>28</v>
      </c>
      <c r="C48" s="1308">
        <v>5</v>
      </c>
      <c r="D48" s="1308">
        <v>181338.56106816899</v>
      </c>
      <c r="E48" s="1308">
        <v>5</v>
      </c>
      <c r="F48" s="1308">
        <v>15273.716511623399</v>
      </c>
    </row>
    <row r="49" spans="1:6">
      <c r="A49" s="1307" t="s">
        <v>31</v>
      </c>
      <c r="B49" s="1307" t="s">
        <v>39</v>
      </c>
      <c r="C49" s="1308">
        <v>0</v>
      </c>
      <c r="D49" s="1308">
        <v>0</v>
      </c>
      <c r="E49" s="1308">
        <v>0</v>
      </c>
      <c r="F49" s="1308">
        <v>0</v>
      </c>
    </row>
    <row r="50" spans="1:6">
      <c r="A50" s="1307" t="s">
        <v>31</v>
      </c>
      <c r="B50" s="1307" t="s">
        <v>40</v>
      </c>
      <c r="C50" s="1308">
        <v>4</v>
      </c>
      <c r="D50" s="1308">
        <v>240302.770727489</v>
      </c>
      <c r="E50" s="1308">
        <v>9</v>
      </c>
      <c r="F50" s="1308">
        <v>306417.28531930799</v>
      </c>
    </row>
    <row r="51" spans="1:6">
      <c r="A51" s="1307" t="s">
        <v>41</v>
      </c>
      <c r="B51" s="1307" t="s">
        <v>42</v>
      </c>
      <c r="C51" s="1308">
        <v>8</v>
      </c>
      <c r="D51" s="1308">
        <v>147608.710691463</v>
      </c>
      <c r="E51" s="1308">
        <v>116</v>
      </c>
      <c r="F51" s="1308">
        <v>2273413.72230238</v>
      </c>
    </row>
    <row r="52" spans="1:6">
      <c r="A52" s="1307" t="s">
        <v>41</v>
      </c>
      <c r="B52" s="1307" t="s">
        <v>28</v>
      </c>
      <c r="C52" s="1308">
        <v>0</v>
      </c>
      <c r="D52" s="1308">
        <v>0</v>
      </c>
      <c r="E52" s="1308">
        <v>0</v>
      </c>
      <c r="F52" s="1308">
        <v>0</v>
      </c>
    </row>
    <row r="53" spans="1:6">
      <c r="A53" s="1307" t="s">
        <v>43</v>
      </c>
      <c r="B53" s="1307" t="s">
        <v>44</v>
      </c>
      <c r="C53" s="1308">
        <v>32</v>
      </c>
      <c r="D53" s="1308">
        <v>535363.18905333197</v>
      </c>
      <c r="E53" s="1308">
        <v>116</v>
      </c>
      <c r="F53" s="1308">
        <v>326818.915165207</v>
      </c>
    </row>
    <row r="54" spans="1:6">
      <c r="A54" s="1307" t="s">
        <v>45</v>
      </c>
      <c r="B54" s="1307" t="s">
        <v>46</v>
      </c>
      <c r="C54" s="1308">
        <v>0</v>
      </c>
      <c r="D54" s="1308">
        <v>0</v>
      </c>
      <c r="E54" s="1308">
        <v>1</v>
      </c>
      <c r="F54" s="1308">
        <v>654205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29</v>
      </c>
      <c r="D57" s="1308">
        <v>1888371.30118022</v>
      </c>
      <c r="E57" s="1308">
        <v>74</v>
      </c>
      <c r="F57" s="1308">
        <v>1025078.61179361</v>
      </c>
    </row>
    <row r="58" spans="1:6">
      <c r="A58" s="1307" t="s">
        <v>48</v>
      </c>
      <c r="B58" s="1307" t="s">
        <v>50</v>
      </c>
      <c r="C58" s="1308">
        <v>18</v>
      </c>
      <c r="D58" s="1308">
        <v>1797461.06698843</v>
      </c>
      <c r="E58" s="1308">
        <v>30</v>
      </c>
      <c r="F58" s="1308">
        <v>986550.38090971799</v>
      </c>
    </row>
    <row r="59" spans="1:6">
      <c r="A59" s="1307" t="s">
        <v>48</v>
      </c>
      <c r="B59" s="1307" t="s">
        <v>51</v>
      </c>
      <c r="C59" s="1308">
        <v>48</v>
      </c>
      <c r="D59" s="1308">
        <v>1527412.99610505</v>
      </c>
      <c r="E59" s="1308">
        <v>109</v>
      </c>
      <c r="F59" s="1308">
        <v>1993647.4710289701</v>
      </c>
    </row>
    <row r="60" spans="1:6">
      <c r="A60" s="1307" t="s">
        <v>48</v>
      </c>
      <c r="B60" s="1307" t="s">
        <v>52</v>
      </c>
      <c r="C60" s="1308">
        <v>21</v>
      </c>
      <c r="D60" s="1308">
        <v>981870.75360427704</v>
      </c>
      <c r="E60" s="1308">
        <v>31</v>
      </c>
      <c r="F60" s="1308">
        <v>681118.24296535295</v>
      </c>
    </row>
    <row r="61" spans="1:6">
      <c r="A61" s="1307" t="s">
        <v>48</v>
      </c>
      <c r="B61" s="1307" t="s">
        <v>53</v>
      </c>
      <c r="C61" s="1308">
        <v>84</v>
      </c>
      <c r="D61" s="1308">
        <v>2017391.30199448</v>
      </c>
      <c r="E61" s="1308">
        <v>189</v>
      </c>
      <c r="F61" s="1308">
        <v>1456346.03818924</v>
      </c>
    </row>
    <row r="62" spans="1:6">
      <c r="A62" s="1307" t="s">
        <v>48</v>
      </c>
      <c r="B62" s="1307" t="s">
        <v>54</v>
      </c>
      <c r="C62" s="1308">
        <v>4</v>
      </c>
      <c r="D62" s="1308">
        <v>378620.03121477802</v>
      </c>
      <c r="E62" s="1308">
        <v>11</v>
      </c>
      <c r="F62" s="1308">
        <v>143861.89189037299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6669.6162206124</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6</v>
      </c>
      <c r="D68" s="1311">
        <v>158616.50177320599</v>
      </c>
      <c r="E68" s="1311">
        <v>13</v>
      </c>
      <c r="F68" s="1311">
        <v>144148.63518563699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13055551</v>
      </c>
      <c r="E73" s="447"/>
      <c r="F73" s="326"/>
    </row>
    <row r="74" spans="1:6">
      <c r="A74" s="1307" t="s">
        <v>63</v>
      </c>
      <c r="B74" s="1307" t="s">
        <v>639</v>
      </c>
      <c r="C74" s="1321" t="s">
        <v>641</v>
      </c>
      <c r="D74" s="1322">
        <v>953070.78942235955</v>
      </c>
      <c r="E74" s="447"/>
      <c r="F74" s="326"/>
    </row>
    <row r="75" spans="1:6">
      <c r="A75" s="1307" t="s">
        <v>64</v>
      </c>
      <c r="B75" s="1307" t="s">
        <v>638</v>
      </c>
      <c r="C75" s="1321" t="s">
        <v>642</v>
      </c>
      <c r="D75" s="1322">
        <v>26620163</v>
      </c>
      <c r="E75" s="447"/>
      <c r="F75" s="326"/>
    </row>
    <row r="76" spans="1:6">
      <c r="A76" s="1307" t="s">
        <v>64</v>
      </c>
      <c r="B76" s="1307" t="s">
        <v>639</v>
      </c>
      <c r="C76" s="1321" t="s">
        <v>643</v>
      </c>
      <c r="D76" s="1322">
        <v>725847.78942235955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164984.42115528099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2503.6202454218669</v>
      </c>
      <c r="C91" s="326"/>
      <c r="D91" s="326"/>
      <c r="E91" s="326"/>
      <c r="F91" s="326"/>
    </row>
    <row r="92" spans="1:6">
      <c r="A92" s="1302" t="s">
        <v>68</v>
      </c>
      <c r="B92" s="1303">
        <v>490.87077136602727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570</v>
      </c>
      <c r="C97" s="326"/>
      <c r="D97" s="326"/>
      <c r="E97" s="326"/>
      <c r="F97" s="326"/>
    </row>
    <row r="98" spans="1:6">
      <c r="A98" s="1307" t="s">
        <v>71</v>
      </c>
      <c r="B98" s="1308">
        <v>0</v>
      </c>
      <c r="C98" s="326"/>
      <c r="D98" s="326"/>
      <c r="E98" s="326"/>
      <c r="F98" s="326"/>
    </row>
    <row r="99" spans="1:6">
      <c r="A99" s="1307" t="s">
        <v>72</v>
      </c>
      <c r="B99" s="1308">
        <v>92</v>
      </c>
      <c r="C99" s="326"/>
      <c r="D99" s="326"/>
      <c r="E99" s="326"/>
      <c r="F99" s="326"/>
    </row>
    <row r="100" spans="1:6">
      <c r="A100" s="1307" t="s">
        <v>73</v>
      </c>
      <c r="B100" s="1308">
        <v>401</v>
      </c>
      <c r="C100" s="326"/>
      <c r="D100" s="326"/>
      <c r="E100" s="326"/>
      <c r="F100" s="326"/>
    </row>
    <row r="101" spans="1:6">
      <c r="A101" s="1307" t="s">
        <v>74</v>
      </c>
      <c r="B101" s="1308">
        <v>96</v>
      </c>
      <c r="C101" s="326"/>
      <c r="D101" s="326"/>
      <c r="E101" s="326"/>
      <c r="F101" s="326"/>
    </row>
    <row r="102" spans="1:6">
      <c r="A102" s="1307" t="s">
        <v>75</v>
      </c>
      <c r="B102" s="1308">
        <v>61</v>
      </c>
      <c r="C102" s="326"/>
      <c r="D102" s="326"/>
      <c r="E102" s="326"/>
      <c r="F102" s="326"/>
    </row>
    <row r="103" spans="1:6">
      <c r="A103" s="1307" t="s">
        <v>76</v>
      </c>
      <c r="B103" s="1308">
        <v>146</v>
      </c>
      <c r="C103" s="326"/>
      <c r="D103" s="326"/>
      <c r="E103" s="326"/>
      <c r="F103" s="326"/>
    </row>
    <row r="104" spans="1:6">
      <c r="A104" s="1307" t="s">
        <v>77</v>
      </c>
      <c r="B104" s="1308">
        <v>1746</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27</v>
      </c>
      <c r="C123" s="1308">
        <v>24</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143</v>
      </c>
      <c r="C129" s="326"/>
      <c r="D129" s="326"/>
      <c r="E129" s="326"/>
      <c r="F129" s="326"/>
    </row>
    <row r="130" spans="1:6">
      <c r="A130" s="1307" t="s">
        <v>290</v>
      </c>
      <c r="B130" s="1308">
        <v>3</v>
      </c>
      <c r="C130" s="326"/>
      <c r="D130" s="326"/>
      <c r="E130" s="326"/>
      <c r="F130" s="326"/>
    </row>
    <row r="131" spans="1:6">
      <c r="A131" s="1307" t="s">
        <v>291</v>
      </c>
      <c r="B131" s="1308">
        <v>1</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26687.352456469358</v>
      </c>
      <c r="C3" s="43" t="s">
        <v>169</v>
      </c>
      <c r="D3" s="43"/>
      <c r="E3" s="154"/>
      <c r="F3" s="43"/>
      <c r="G3" s="43"/>
      <c r="H3" s="43"/>
      <c r="I3" s="43"/>
      <c r="J3" s="43"/>
      <c r="K3" s="96"/>
    </row>
    <row r="4" spans="1:11">
      <c r="A4" s="354" t="s">
        <v>170</v>
      </c>
      <c r="B4" s="49">
        <f>IF(ISERROR('SEAP template'!B78+'SEAP template'!C78),0,'SEAP template'!B78+'SEAP template'!C78)</f>
        <v>28013.141016787897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35740.928571428572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654.20500000000004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654.20500000000004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12908.562166260799</v>
      </c>
      <c r="C5" s="17">
        <f>IF(ISERROR('Eigen informatie GS &amp; warmtenet'!B59),0,'Eigen informatie GS &amp; warmtenet'!B59)</f>
        <v>0</v>
      </c>
      <c r="D5" s="30">
        <f>(SUM(HH_hh_gas_kWh,HH_rest_gas_kWh)/1000)*0.903</f>
        <v>22750.574278232241</v>
      </c>
      <c r="E5" s="17">
        <f>B32*B41</f>
        <v>1130.8149466354773</v>
      </c>
      <c r="F5" s="17">
        <f>B36*B45</f>
        <v>25685.195684882663</v>
      </c>
      <c r="G5" s="18"/>
      <c r="H5" s="17"/>
      <c r="I5" s="17"/>
      <c r="J5" s="17">
        <f>B35*B44+C35*C44</f>
        <v>128.49870042140032</v>
      </c>
      <c r="K5" s="17"/>
      <c r="L5" s="17"/>
      <c r="M5" s="17"/>
      <c r="N5" s="17">
        <f>B34*B43+C34*C43</f>
        <v>5003.8394329873372</v>
      </c>
      <c r="O5" s="17">
        <f>B52*B53*B54</f>
        <v>333.30498085702135</v>
      </c>
      <c r="P5" s="17">
        <f>B60*B61*B62/1000-B60*B61*B62/1000/B63</f>
        <v>495.09608746119602</v>
      </c>
    </row>
    <row r="6" spans="1:16">
      <c r="A6" s="16" t="s">
        <v>604</v>
      </c>
      <c r="B6" s="779">
        <f>kWh_PV_kleiner_dan_10kW</f>
        <v>2503.6202454218669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15412.182411682666</v>
      </c>
      <c r="C8" s="21">
        <f>C5</f>
        <v>0</v>
      </c>
      <c r="D8" s="21">
        <f>D5</f>
        <v>22750.574278232241</v>
      </c>
      <c r="E8" s="21">
        <f>E5</f>
        <v>1130.8149466354773</v>
      </c>
      <c r="F8" s="21">
        <f>F5</f>
        <v>25685.195684882663</v>
      </c>
      <c r="G8" s="21"/>
      <c r="H8" s="21"/>
      <c r="I8" s="21"/>
      <c r="J8" s="21">
        <f>J5</f>
        <v>128.49870042140032</v>
      </c>
      <c r="K8" s="21"/>
      <c r="L8" s="21">
        <f>L5</f>
        <v>0</v>
      </c>
      <c r="M8" s="21">
        <f>M5</f>
        <v>0</v>
      </c>
      <c r="N8" s="21">
        <f>N5</f>
        <v>5003.8394329873372</v>
      </c>
      <c r="O8" s="21">
        <f>O5</f>
        <v>333.30498085702135</v>
      </c>
      <c r="P8" s="21">
        <f>P5</f>
        <v>495.09608746119602</v>
      </c>
    </row>
    <row r="9" spans="1:16">
      <c r="B9" s="19"/>
      <c r="C9" s="19"/>
      <c r="D9" s="254"/>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4595.6160042029132</v>
      </c>
      <c r="E12" s="23">
        <f>E10*E8</f>
        <v>256.69499288625337</v>
      </c>
      <c r="F12" s="23">
        <f>F10*F8</f>
        <v>6857.9472478636717</v>
      </c>
      <c r="G12" s="23"/>
      <c r="H12" s="23"/>
      <c r="I12" s="23"/>
      <c r="J12" s="23">
        <f>J10*J8</f>
        <v>45.48853994917571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3519</v>
      </c>
      <c r="C26" s="36"/>
      <c r="D26" s="225"/>
    </row>
    <row r="27" spans="1:5" s="15" customFormat="1">
      <c r="A27" s="227" t="s">
        <v>817</v>
      </c>
      <c r="B27" s="37">
        <f>SUM(HH_hh_gas_aantal,HH_rest_gas_aantal)</f>
        <v>1738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1651.1</v>
      </c>
      <c r="C31" s="34" t="s">
        <v>110</v>
      </c>
      <c r="D31" s="171"/>
    </row>
    <row r="32" spans="1:5">
      <c r="A32" s="168" t="s">
        <v>72</v>
      </c>
      <c r="B32" s="33">
        <f>IF((B21*($B$26-($B$27-0.05*$B$27)-$B$60))&lt;0,0,B21*($B$26-($B$27-0.05*$B$27)-$B$60))</f>
        <v>28.026125633074528</v>
      </c>
      <c r="C32" s="34" t="s">
        <v>110</v>
      </c>
      <c r="D32" s="171"/>
    </row>
    <row r="33" spans="1:6">
      <c r="A33" s="168" t="s">
        <v>73</v>
      </c>
      <c r="B33" s="33">
        <f>IF((B22*($B$26-($B$27-0.05*$B$27)-$B$60))&lt;0,0,B22*($B$26-($B$27-0.05*$B$27)-$B$60))</f>
        <v>455.08877393008254</v>
      </c>
      <c r="C33" s="34" t="s">
        <v>110</v>
      </c>
      <c r="D33" s="171"/>
    </row>
    <row r="34" spans="1:6">
      <c r="A34" s="168" t="s">
        <v>74</v>
      </c>
      <c r="B34" s="33">
        <f>IF((B24*($B$26-($B$27-0.05*$B$27)-$B$60))&lt;0,0,B24*($B$26-($B$27-0.05*$B$27)-$B$60))</f>
        <v>87.171420319097621</v>
      </c>
      <c r="C34" s="33">
        <f>B26*C24</f>
        <v>720.59935456353128</v>
      </c>
      <c r="D34" s="230"/>
    </row>
    <row r="35" spans="1:6">
      <c r="A35" s="168" t="s">
        <v>76</v>
      </c>
      <c r="B35" s="33">
        <f>IF((B19*($B$26-($B$27-0.05*$B$27)-$B$60))&lt;0,0,B19*($B$26-($B$27-0.05*$B$27)-$B$60))</f>
        <v>12.182889996585139</v>
      </c>
      <c r="C35" s="33">
        <f>B35/2</f>
        <v>6.0914449982925696</v>
      </c>
      <c r="D35" s="230"/>
    </row>
    <row r="36" spans="1:6">
      <c r="A36" s="168" t="s">
        <v>77</v>
      </c>
      <c r="B36" s="33">
        <f>IF((B18*($B$26-($B$27-0.05*$B$27)-$B$60))&lt;0,0,B18*($B$26-($B$27-0.05*$B$27)-$B$60))</f>
        <v>1238.4307901211598</v>
      </c>
      <c r="C36" s="34" t="s">
        <v>110</v>
      </c>
      <c r="D36" s="171"/>
    </row>
    <row r="37" spans="1:6">
      <c r="A37" s="168" t="s">
        <v>78</v>
      </c>
      <c r="B37" s="33">
        <f>B60</f>
        <v>47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6286.6026367772638</v>
      </c>
      <c r="C5" s="17">
        <f>IF(ISERROR('Eigen informatie GS &amp; warmtenet'!B60),0,'Eigen informatie GS &amp; warmtenet'!B60)</f>
        <v>0</v>
      </c>
      <c r="D5" s="30">
        <f>SUM(D6:D12)</f>
        <v>7757.788088331773</v>
      </c>
      <c r="E5" s="17">
        <f>SUM(E6:E12)</f>
        <v>22.036875480080983</v>
      </c>
      <c r="F5" s="17">
        <f>SUM(F6:F12)</f>
        <v>1124.3851234867864</v>
      </c>
      <c r="G5" s="18"/>
      <c r="H5" s="17"/>
      <c r="I5" s="17"/>
      <c r="J5" s="17">
        <f>SUM(J6:J12)</f>
        <v>1.0123491965719022E-2</v>
      </c>
      <c r="K5" s="17"/>
      <c r="L5" s="17"/>
      <c r="M5" s="17"/>
      <c r="N5" s="17">
        <f>SUM(N6:N12)</f>
        <v>375.20844794449658</v>
      </c>
      <c r="O5" s="17">
        <f>B38*B39*B40</f>
        <v>14.691782297523464</v>
      </c>
      <c r="P5" s="17">
        <f>B46*B47*B48/1000-B46*B47*B48/1000/B49</f>
        <v>52.539138306495019</v>
      </c>
      <c r="R5" s="32"/>
    </row>
    <row r="6" spans="1:18">
      <c r="A6" s="32" t="s">
        <v>53</v>
      </c>
      <c r="B6" s="37">
        <f>B26</f>
        <v>1456.3460381892401</v>
      </c>
      <c r="C6" s="33"/>
      <c r="D6" s="37">
        <f>IF(ISERROR(TER_kantoor_gas_kWh/1000),0,TER_kantoor_gas_kWh/1000)*0.903</f>
        <v>1821.7043457010154</v>
      </c>
      <c r="E6" s="33">
        <f>$C$26*'E Balans VL '!I12/100/3.6*1000000</f>
        <v>0.34890589395962895</v>
      </c>
      <c r="F6" s="33">
        <f>$C$26*('E Balans VL '!L12+'E Balans VL '!N12)/100/3.6*1000000</f>
        <v>138.10358427736844</v>
      </c>
      <c r="G6" s="34"/>
      <c r="H6" s="33"/>
      <c r="I6" s="33"/>
      <c r="J6" s="33">
        <f>$C$26*('E Balans VL '!D12+'E Balans VL '!E12)/100/3.6*1000000</f>
        <v>0</v>
      </c>
      <c r="K6" s="33"/>
      <c r="L6" s="33"/>
      <c r="M6" s="33"/>
      <c r="N6" s="33">
        <f>$C$26*'E Balans VL '!Y12/100/3.6*1000000</f>
        <v>0.73974845980063797</v>
      </c>
      <c r="O6" s="33"/>
      <c r="P6" s="33"/>
      <c r="R6" s="32"/>
    </row>
    <row r="7" spans="1:18">
      <c r="A7" s="32" t="s">
        <v>52</v>
      </c>
      <c r="B7" s="37">
        <f t="shared" ref="B7:B12" si="0">B27</f>
        <v>681.11824296535292</v>
      </c>
      <c r="C7" s="33"/>
      <c r="D7" s="37">
        <f>IF(ISERROR(TER_horeca_gas_kWh/1000),0,TER_horeca_gas_kWh/1000)*0.903</f>
        <v>886.62929050466221</v>
      </c>
      <c r="E7" s="33">
        <f>$C$27*'E Balans VL '!I9/100/3.6*1000000</f>
        <v>0</v>
      </c>
      <c r="F7" s="33">
        <f>$C$27*('E Balans VL '!L9+'E Balans VL '!N9)/100/3.6*1000000</f>
        <v>55.850094825794287</v>
      </c>
      <c r="G7" s="34"/>
      <c r="H7" s="33"/>
      <c r="I7" s="33"/>
      <c r="J7" s="33">
        <f>$C$27*('E Balans VL '!D9+'E Balans VL '!E9)/100/3.6*1000000</f>
        <v>0</v>
      </c>
      <c r="K7" s="33"/>
      <c r="L7" s="33"/>
      <c r="M7" s="33"/>
      <c r="N7" s="33">
        <f>$C$27*'E Balans VL '!Y9/100/3.6*1000000</f>
        <v>0.20879010679308305</v>
      </c>
      <c r="O7" s="33"/>
      <c r="P7" s="33"/>
      <c r="R7" s="32"/>
    </row>
    <row r="8" spans="1:18">
      <c r="A8" s="6" t="s">
        <v>51</v>
      </c>
      <c r="B8" s="37">
        <f t="shared" si="0"/>
        <v>1993.6474710289701</v>
      </c>
      <c r="C8" s="33"/>
      <c r="D8" s="37">
        <f>IF(ISERROR(TER_handel_gas_kWh/1000),0,TER_handel_gas_kWh/1000)*0.903</f>
        <v>1379.2539354828602</v>
      </c>
      <c r="E8" s="33">
        <f>$C$28*'E Balans VL '!I13/100/3.6*1000000</f>
        <v>7.006581226456559</v>
      </c>
      <c r="F8" s="33">
        <f>$C$28*('E Balans VL '!L13+'E Balans VL '!N13)/100/3.6*1000000</f>
        <v>182.41516334242516</v>
      </c>
      <c r="G8" s="34"/>
      <c r="H8" s="33"/>
      <c r="I8" s="33"/>
      <c r="J8" s="33">
        <f>$C$28*('E Balans VL '!D13+'E Balans VL '!E13)/100/3.6*1000000</f>
        <v>0</v>
      </c>
      <c r="K8" s="33"/>
      <c r="L8" s="33"/>
      <c r="M8" s="33"/>
      <c r="N8" s="33">
        <f>$C$28*'E Balans VL '!Y13/100/3.6*1000000</f>
        <v>0.7220132842709186</v>
      </c>
      <c r="O8" s="33"/>
      <c r="P8" s="33"/>
      <c r="R8" s="32"/>
    </row>
    <row r="9" spans="1:18">
      <c r="A9" s="32" t="s">
        <v>50</v>
      </c>
      <c r="B9" s="37">
        <f t="shared" si="0"/>
        <v>986.550380909718</v>
      </c>
      <c r="C9" s="33"/>
      <c r="D9" s="37">
        <f>IF(ISERROR(TER_gezond_gas_kWh/1000),0,TER_gezond_gas_kWh/1000)*0.903</f>
        <v>1623.1073434905525</v>
      </c>
      <c r="E9" s="33">
        <f>$C$29*'E Balans VL '!I10/100/3.6*1000000</f>
        <v>0</v>
      </c>
      <c r="F9" s="33">
        <f>$C$29*('E Balans VL '!L10+'E Balans VL '!N10)/100/3.6*1000000</f>
        <v>120.93296072591143</v>
      </c>
      <c r="G9" s="34"/>
      <c r="H9" s="33"/>
      <c r="I9" s="33"/>
      <c r="J9" s="33">
        <f>$C$29*('E Balans VL '!D10+'E Balans VL '!E10)/100/3.6*1000000</f>
        <v>0</v>
      </c>
      <c r="K9" s="33"/>
      <c r="L9" s="33"/>
      <c r="M9" s="33"/>
      <c r="N9" s="33">
        <f>$C$29*'E Balans VL '!Y10/100/3.6*1000000</f>
        <v>7.2751215768059394</v>
      </c>
      <c r="O9" s="33"/>
      <c r="P9" s="33"/>
      <c r="R9" s="32"/>
    </row>
    <row r="10" spans="1:18">
      <c r="A10" s="32" t="s">
        <v>49</v>
      </c>
      <c r="B10" s="37">
        <f t="shared" si="0"/>
        <v>1025.07861179361</v>
      </c>
      <c r="C10" s="33"/>
      <c r="D10" s="37">
        <f>IF(ISERROR(TER_ander_gas_kWh/1000),0,TER_ander_gas_kWh/1000)*0.903</f>
        <v>1705.1992849657386</v>
      </c>
      <c r="E10" s="33">
        <f>$C$30*'E Balans VL '!I14/100/3.6*1000000</f>
        <v>14.681388359664796</v>
      </c>
      <c r="F10" s="33">
        <f>$C$30*('E Balans VL '!L14+'E Balans VL '!N14)/100/3.6*1000000</f>
        <v>610.26415198650921</v>
      </c>
      <c r="G10" s="34"/>
      <c r="H10" s="33"/>
      <c r="I10" s="33"/>
      <c r="J10" s="33">
        <f>$C$30*('E Balans VL '!D14+'E Balans VL '!E14)/100/3.6*1000000</f>
        <v>1.0123491965719022E-2</v>
      </c>
      <c r="K10" s="33"/>
      <c r="L10" s="33"/>
      <c r="M10" s="33"/>
      <c r="N10" s="33">
        <f>$C$30*'E Balans VL '!Y14/100/3.6*1000000</f>
        <v>365.8576759490989</v>
      </c>
      <c r="O10" s="33"/>
      <c r="P10" s="33"/>
      <c r="R10" s="32"/>
    </row>
    <row r="11" spans="1:18">
      <c r="A11" s="32" t="s">
        <v>54</v>
      </c>
      <c r="B11" s="37">
        <f t="shared" si="0"/>
        <v>143.86189189037299</v>
      </c>
      <c r="C11" s="33"/>
      <c r="D11" s="37">
        <f>IF(ISERROR(TER_onderwijs_gas_kWh/1000),0,TER_onderwijs_gas_kWh/1000)*0.903</f>
        <v>341.89388818694454</v>
      </c>
      <c r="E11" s="33">
        <f>$C$31*'E Balans VL '!I11/100/3.6*1000000</f>
        <v>0</v>
      </c>
      <c r="F11" s="33">
        <f>$C$31*('E Balans VL '!L11+'E Balans VL '!N11)/100/3.6*1000000</f>
        <v>16.819168328777749</v>
      </c>
      <c r="G11" s="34"/>
      <c r="H11" s="33"/>
      <c r="I11" s="33"/>
      <c r="J11" s="33">
        <f>$C$31*('E Balans VL '!D11+'E Balans VL '!E11)/100/3.6*1000000</f>
        <v>0</v>
      </c>
      <c r="K11" s="33"/>
      <c r="L11" s="33"/>
      <c r="M11" s="33"/>
      <c r="N11" s="33">
        <f>$C$31*'E Balans VL '!Y11/100/3.6*1000000</f>
        <v>0.40509856772712288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0</v>
      </c>
      <c r="C13" s="243">
        <f ca="1">'lokale energieproductie'!O41+'lokale energieproductie'!O34</f>
        <v>0</v>
      </c>
      <c r="D13" s="304">
        <f ca="1">('lokale energieproductie'!P34+'lokale energieproductie'!P41)*(-1)</f>
        <v>0</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6286.6026367772638</v>
      </c>
      <c r="C16" s="21">
        <f t="shared" ca="1" si="1"/>
        <v>0</v>
      </c>
      <c r="D16" s="21">
        <f t="shared" ca="1" si="1"/>
        <v>7757.788088331773</v>
      </c>
      <c r="E16" s="21">
        <f t="shared" si="1"/>
        <v>22.036875480080983</v>
      </c>
      <c r="F16" s="21">
        <f t="shared" ca="1" si="1"/>
        <v>1124.3851234867864</v>
      </c>
      <c r="G16" s="21">
        <f t="shared" si="1"/>
        <v>0</v>
      </c>
      <c r="H16" s="21">
        <f t="shared" si="1"/>
        <v>0</v>
      </c>
      <c r="I16" s="21">
        <f t="shared" si="1"/>
        <v>0</v>
      </c>
      <c r="J16" s="21">
        <f t="shared" si="1"/>
        <v>1.0123491965719022E-2</v>
      </c>
      <c r="K16" s="21">
        <f t="shared" si="1"/>
        <v>0</v>
      </c>
      <c r="L16" s="21">
        <f t="shared" ca="1" si="1"/>
        <v>0</v>
      </c>
      <c r="M16" s="21">
        <f t="shared" si="1"/>
        <v>0</v>
      </c>
      <c r="N16" s="21">
        <f t="shared" ca="1" si="1"/>
        <v>375.20844794449658</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1567.0731938430183</v>
      </c>
      <c r="E20" s="23">
        <f t="shared" si="2"/>
        <v>5.0023707339783829</v>
      </c>
      <c r="F20" s="23">
        <f t="shared" ca="1" si="2"/>
        <v>300.21082797097199</v>
      </c>
      <c r="G20" s="23">
        <f t="shared" si="2"/>
        <v>0</v>
      </c>
      <c r="H20" s="23">
        <f t="shared" si="2"/>
        <v>0</v>
      </c>
      <c r="I20" s="23">
        <f t="shared" si="2"/>
        <v>0</v>
      </c>
      <c r="J20" s="23">
        <f t="shared" si="2"/>
        <v>3.5837161558645338E-3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1456.3460381892401</v>
      </c>
      <c r="C26" s="39">
        <f>IF(ISERROR(B26*3.6/1000000/'E Balans VL '!Z12*100),0,B26*3.6/1000000/'E Balans VL '!Z12*100)</f>
        <v>4.107281487650602E-2</v>
      </c>
      <c r="D26" s="233" t="s">
        <v>691</v>
      </c>
      <c r="F26" s="6"/>
    </row>
    <row r="27" spans="1:18">
      <c r="A27" s="228" t="s">
        <v>52</v>
      </c>
      <c r="B27" s="33">
        <f>IF(ISERROR(TER_horeca_ele_kWh/1000),0,TER_horeca_ele_kWh/1000)</f>
        <v>681.11824296535292</v>
      </c>
      <c r="C27" s="39">
        <f>IF(ISERROR(B27*3.6/1000000/'E Balans VL '!Z9*100),0,B27*3.6/1000000/'E Balans VL '!Z9*100)</f>
        <v>5.0496550398110414E-2</v>
      </c>
      <c r="D27" s="233" t="s">
        <v>691</v>
      </c>
      <c r="F27" s="6"/>
    </row>
    <row r="28" spans="1:18">
      <c r="A28" s="168" t="s">
        <v>51</v>
      </c>
      <c r="B28" s="33">
        <f>IF(ISERROR(TER_handel_ele_kWh/1000),0,TER_handel_ele_kWh/1000)</f>
        <v>1993.6474710289701</v>
      </c>
      <c r="C28" s="39">
        <f>IF(ISERROR(B28*3.6/1000000/'E Balans VL '!Z13*100),0,B28*3.6/1000000/'E Balans VL '!Z13*100)</f>
        <v>5.9724938158191125E-2</v>
      </c>
      <c r="D28" s="233" t="s">
        <v>691</v>
      </c>
      <c r="F28" s="6"/>
    </row>
    <row r="29" spans="1:18">
      <c r="A29" s="228" t="s">
        <v>50</v>
      </c>
      <c r="B29" s="33">
        <f>IF(ISERROR(TER_gezond_ele_kWh/1000),0,TER_gezond_ele_kWh/1000)</f>
        <v>986.550380909718</v>
      </c>
      <c r="C29" s="39">
        <f>IF(ISERROR(B29*3.6/1000000/'E Balans VL '!Z10*100),0,B29*3.6/1000000/'E Balans VL '!Z10*100)</f>
        <v>9.7550488340912012E-2</v>
      </c>
      <c r="D29" s="233" t="s">
        <v>691</v>
      </c>
      <c r="F29" s="6"/>
    </row>
    <row r="30" spans="1:18">
      <c r="A30" s="228" t="s">
        <v>49</v>
      </c>
      <c r="B30" s="33">
        <f>IF(ISERROR(TER_ander_ele_kWh/1000),0,TER_ander_ele_kWh/1000)</f>
        <v>1025.07861179361</v>
      </c>
      <c r="C30" s="39">
        <f>IF(ISERROR(B30*3.6/1000000/'E Balans VL '!Z14*100),0,B30*3.6/1000000/'E Balans VL '!Z14*100)</f>
        <v>4.1461400542193945E-2</v>
      </c>
      <c r="D30" s="233" t="s">
        <v>691</v>
      </c>
      <c r="F30" s="6"/>
    </row>
    <row r="31" spans="1:18">
      <c r="A31" s="228" t="s">
        <v>54</v>
      </c>
      <c r="B31" s="33">
        <f>IF(ISERROR(TER_onderwijs_ele_kWh/1000),0,TER_onderwijs_ele_kWh/1000)</f>
        <v>143.86189189037299</v>
      </c>
      <c r="C31" s="39">
        <f>IF(ISERROR(B31*3.6/1000000/'E Balans VL '!Z11*100),0,B31*3.6/1000000/'E Balans VL '!Z11*100)</f>
        <v>3.9525153449767092E-2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1659.2270655992431</v>
      </c>
      <c r="C5" s="17">
        <f>IF(ISERROR('Eigen informatie GS &amp; warmtenet'!B61),0,'Eigen informatie GS &amp; warmtenet'!B61)</f>
        <v>0</v>
      </c>
      <c r="D5" s="30">
        <f>SUM(D6:D15)</f>
        <v>1385.6941739817173</v>
      </c>
      <c r="E5" s="17">
        <f>SUM(E6:E15)</f>
        <v>6.2291317382131108</v>
      </c>
      <c r="F5" s="17">
        <f>SUM(F6:F15)</f>
        <v>686.68498075301159</v>
      </c>
      <c r="G5" s="18"/>
      <c r="H5" s="17"/>
      <c r="I5" s="17"/>
      <c r="J5" s="17">
        <f>SUM(J6:J15)</f>
        <v>0.22783458948262469</v>
      </c>
      <c r="K5" s="17"/>
      <c r="L5" s="17"/>
      <c r="M5" s="17"/>
      <c r="N5" s="17">
        <f>SUM(N6:N15)</f>
        <v>58.446382643733585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221.324986658201</v>
      </c>
      <c r="C8" s="33"/>
      <c r="D8" s="37">
        <f>IF( ISERROR(IND_metaal_Gas_kWH/1000),0,IND_metaal_Gas_kWH/1000)*0.903</f>
        <v>51.622308656237358</v>
      </c>
      <c r="E8" s="33">
        <f>C30*'E Balans VL '!I18/100/3.6*1000000</f>
        <v>1.1159591993651063</v>
      </c>
      <c r="F8" s="33">
        <f>C30*'E Balans VL '!L18/100/3.6*1000000+C30*'E Balans VL '!N18/100/3.6*1000000</f>
        <v>15.121375355259632</v>
      </c>
      <c r="G8" s="34"/>
      <c r="H8" s="33"/>
      <c r="I8" s="33"/>
      <c r="J8" s="40">
        <f>C30*'E Balans VL '!D18/100/3.6*1000000+C30*'E Balans VL '!E18/100/3.6*1000000</f>
        <v>0.19622347993706885</v>
      </c>
      <c r="K8" s="33"/>
      <c r="L8" s="33"/>
      <c r="M8" s="33"/>
      <c r="N8" s="33">
        <f>C30*'E Balans VL '!Y18/100/3.6*1000000</f>
        <v>2.9414103861466652</v>
      </c>
      <c r="O8" s="33"/>
      <c r="P8" s="33"/>
      <c r="R8" s="32"/>
    </row>
    <row r="9" spans="1:18">
      <c r="A9" s="6" t="s">
        <v>32</v>
      </c>
      <c r="B9" s="37">
        <f t="shared" si="0"/>
        <v>1086.72278053829</v>
      </c>
      <c r="C9" s="33"/>
      <c r="D9" s="37">
        <f>IF( ISERROR(IND_andere_gas_kWh/1000),0,IND_andere_gas_kWh/1000)*0.903</f>
        <v>953.32974271400076</v>
      </c>
      <c r="E9" s="33">
        <f>C31*'E Balans VL '!I19/100/3.6*1000000</f>
        <v>3.4256070439108282</v>
      </c>
      <c r="F9" s="33">
        <f>C31*'E Balans VL '!L19/100/3.6*1000000+C31*'E Balans VL '!N19/100/3.6*1000000</f>
        <v>665.24598008573673</v>
      </c>
      <c r="G9" s="34"/>
      <c r="H9" s="33"/>
      <c r="I9" s="33"/>
      <c r="J9" s="40">
        <f>C31*'E Balans VL '!D19/100/3.6*1000000+C31*'E Balans VL '!E19/100/3.6*1000000</f>
        <v>0</v>
      </c>
      <c r="K9" s="33"/>
      <c r="L9" s="33"/>
      <c r="M9" s="33"/>
      <c r="N9" s="33">
        <f>C31*'E Balans VL '!Y19/100/3.6*1000000</f>
        <v>45.567761762834778</v>
      </c>
      <c r="O9" s="33"/>
      <c r="P9" s="33"/>
      <c r="R9" s="32"/>
    </row>
    <row r="10" spans="1:18">
      <c r="A10" s="6" t="s">
        <v>40</v>
      </c>
      <c r="B10" s="37">
        <f t="shared" si="0"/>
        <v>306.41728531930801</v>
      </c>
      <c r="C10" s="33"/>
      <c r="D10" s="37">
        <f>IF( ISERROR(IND_voed_gas_kWh/1000),0,IND_voed_gas_kWh/1000)*0.903</f>
        <v>216.99340196692256</v>
      </c>
      <c r="E10" s="33">
        <f>C32*'E Balans VL '!I20/100/3.6*1000000</f>
        <v>0.48834309758627903</v>
      </c>
      <c r="F10" s="33">
        <f>C32*'E Balans VL '!L20/100/3.6*1000000+C32*'E Balans VL '!N20/100/3.6*1000000</f>
        <v>4.9785365144750875</v>
      </c>
      <c r="G10" s="34"/>
      <c r="H10" s="33"/>
      <c r="I10" s="33"/>
      <c r="J10" s="40">
        <f>C32*'E Balans VL '!D20/100/3.6*1000000+C32*'E Balans VL '!E20/100/3.6*1000000</f>
        <v>0</v>
      </c>
      <c r="K10" s="33"/>
      <c r="L10" s="33"/>
      <c r="M10" s="33"/>
      <c r="N10" s="33">
        <f>C32*'E Balans VL '!Y20/100/3.6*1000000</f>
        <v>9.6781882322697701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15.565729148216199</v>
      </c>
      <c r="C13" s="33"/>
      <c r="D13" s="37">
        <f>IF( ISERROR(IND_papier_gas_kWh/1000),0,IND_papier_gas_kWh/1000)*0.903</f>
        <v>0</v>
      </c>
      <c r="E13" s="33">
        <f>C35*'E Balans VL '!I23/100/3.6*1000000</f>
        <v>0</v>
      </c>
      <c r="F13" s="33">
        <f>C35*'E Balans VL '!L23/100/3.6*1000000+C35*'E Balans VL '!N23/100/3.6*1000000</f>
        <v>6.7437976547120272E-4</v>
      </c>
      <c r="G13" s="34"/>
      <c r="H13" s="33"/>
      <c r="I13" s="33"/>
      <c r="J13" s="40">
        <f>C35*'E Balans VL '!D23/100/3.6*1000000+C35*'E Balans VL '!E23/100/3.6*1000000</f>
        <v>4.2891007507460182E-4</v>
      </c>
      <c r="K13" s="33"/>
      <c r="L13" s="33"/>
      <c r="M13" s="33"/>
      <c r="N13" s="33">
        <f>C35*'E Balans VL '!Y23/100/3.6*1000000</f>
        <v>0</v>
      </c>
      <c r="O13" s="33"/>
      <c r="P13" s="33"/>
      <c r="R13" s="32"/>
    </row>
    <row r="14" spans="1:18">
      <c r="A14" s="6" t="s">
        <v>33</v>
      </c>
      <c r="B14" s="37">
        <f t="shared" si="0"/>
        <v>13.922567423604599</v>
      </c>
      <c r="C14" s="33"/>
      <c r="D14" s="37">
        <f>IF( ISERROR(IND_chemie_gas_kWh/1000),0,IND_chemie_gas_kWh/1000)*0.903</f>
        <v>0</v>
      </c>
      <c r="E14" s="33">
        <f>C36*'E Balans VL '!I24/100/3.6*1000000</f>
        <v>0.81423636852172265</v>
      </c>
      <c r="F14" s="33">
        <f>C36*'E Balans VL '!L24/100/3.6*1000000+C36*'E Balans VL '!N24/100/3.6*1000000</f>
        <v>9.8473959665825381E-2</v>
      </c>
      <c r="G14" s="34"/>
      <c r="H14" s="33"/>
      <c r="I14" s="33"/>
      <c r="J14" s="40">
        <f>C36*'E Balans VL '!D24/100/3.6*1000000+C36*'E Balans VL '!E24/100/3.6*1000000</f>
        <v>0</v>
      </c>
      <c r="K14" s="33"/>
      <c r="L14" s="33"/>
      <c r="M14" s="33"/>
      <c r="N14" s="33">
        <f>C36*'E Balans VL '!Y24/100/3.6*1000000</f>
        <v>9.3832723135739307E-4</v>
      </c>
      <c r="O14" s="33"/>
      <c r="P14" s="33"/>
      <c r="R14" s="32"/>
    </row>
    <row r="15" spans="1:18">
      <c r="A15" s="6" t="s">
        <v>265</v>
      </c>
      <c r="B15" s="37">
        <f t="shared" si="0"/>
        <v>15.2737165116234</v>
      </c>
      <c r="C15" s="33"/>
      <c r="D15" s="37">
        <f>IF( ISERROR(IND_rest_gas_kWh/1000),0,IND_rest_gas_kWh/1000)*0.903</f>
        <v>163.74872064455658</v>
      </c>
      <c r="E15" s="33">
        <f>C37*'E Balans VL '!I15/100/3.6*1000000</f>
        <v>0.38498602882917488</v>
      </c>
      <c r="F15" s="33">
        <f>C37*'E Balans VL '!L15/100/3.6*1000000+C37*'E Balans VL '!N15/100/3.6*1000000</f>
        <v>1.2399404581088378</v>
      </c>
      <c r="G15" s="34"/>
      <c r="H15" s="33"/>
      <c r="I15" s="33"/>
      <c r="J15" s="40">
        <f>C37*'E Balans VL '!D15/100/3.6*1000000+C37*'E Balans VL '!E15/100/3.6*1000000</f>
        <v>3.1182199470481273E-2</v>
      </c>
      <c r="K15" s="33"/>
      <c r="L15" s="33"/>
      <c r="M15" s="33"/>
      <c r="N15" s="33">
        <f>C37*'E Balans VL '!Y15/100/3.6*1000000</f>
        <v>0.25808393525101614</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1659.2270655992431</v>
      </c>
      <c r="C18" s="21">
        <f>C5+C16</f>
        <v>0</v>
      </c>
      <c r="D18" s="21">
        <f>MAX((D5+D16),0)</f>
        <v>1385.6941739817173</v>
      </c>
      <c r="E18" s="21">
        <f>MAX((E5+E16),0)</f>
        <v>6.2291317382131108</v>
      </c>
      <c r="F18" s="21">
        <f>MAX((F5+F16),0)</f>
        <v>686.68498075301159</v>
      </c>
      <c r="G18" s="21"/>
      <c r="H18" s="21"/>
      <c r="I18" s="21"/>
      <c r="J18" s="21">
        <f>MAX((J5+J16),0)</f>
        <v>0.22783458948262469</v>
      </c>
      <c r="K18" s="21"/>
      <c r="L18" s="21">
        <f>MAX((L5+L16),0)</f>
        <v>0</v>
      </c>
      <c r="M18" s="21"/>
      <c r="N18" s="21">
        <f>MAX((N5+N16),0)</f>
        <v>58.446382643733585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279.91022314430694</v>
      </c>
      <c r="E22" s="23">
        <f>E18*E20</f>
        <v>1.4140129045743761</v>
      </c>
      <c r="F22" s="23">
        <f>F18*F20</f>
        <v>183.3448898610541</v>
      </c>
      <c r="G22" s="23"/>
      <c r="H22" s="23"/>
      <c r="I22" s="23"/>
      <c r="J22" s="23">
        <f>J18*J20</f>
        <v>8.0653444676849137E-2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221.324986658201</v>
      </c>
      <c r="C30" s="39">
        <f>IF(ISERROR(B30*3.6/1000000/'E Balans VL '!Z18*100),0,B30*3.6/1000000/'E Balans VL '!Z18*100)</f>
        <v>1.0986073526803201E-2</v>
      </c>
      <c r="D30" s="233" t="s">
        <v>691</v>
      </c>
    </row>
    <row r="31" spans="1:18">
      <c r="A31" s="6" t="s">
        <v>32</v>
      </c>
      <c r="B31" s="37">
        <f>IF( ISERROR(IND_ander_ele_kWh/1000),0,IND_ander_ele_kWh/1000)</f>
        <v>1086.72278053829</v>
      </c>
      <c r="C31" s="39">
        <f>IF(ISERROR(B31*3.6/1000000/'E Balans VL '!Z19*100),0,B31*3.6/1000000/'E Balans VL '!Z19*100)</f>
        <v>3.6671325131075634E-2</v>
      </c>
      <c r="D31" s="233" t="s">
        <v>691</v>
      </c>
    </row>
    <row r="32" spans="1:18">
      <c r="A32" s="168" t="s">
        <v>40</v>
      </c>
      <c r="B32" s="37">
        <f>IF( ISERROR(IND_voed_ele_kWh/1000),0,IND_voed_ele_kWh/1000)</f>
        <v>306.41728531930801</v>
      </c>
      <c r="C32" s="39">
        <f>IF(ISERROR(B32*3.6/1000000/'E Balans VL '!Z20*100),0,B32*3.6/1000000/'E Balans VL '!Z20*100)</f>
        <v>7.1959994616500088E-3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15.565729148216199</v>
      </c>
      <c r="C35" s="39">
        <f>IF(ISERROR(B35*3.6/1000000/'E Balans VL '!Z22*100),0,B35*3.6/1000000/'E Balans VL '!Z22*100)</f>
        <v>2.2083218016252077E-3</v>
      </c>
      <c r="D35" s="233" t="s">
        <v>691</v>
      </c>
    </row>
    <row r="36" spans="1:5">
      <c r="A36" s="168" t="s">
        <v>33</v>
      </c>
      <c r="B36" s="37">
        <f>IF( ISERROR(IND_chemie_ele_kWh/1000),0,IND_chemie_ele_kWh/1000)</f>
        <v>13.922567423604599</v>
      </c>
      <c r="C36" s="39">
        <f>IF(ISERROR(B36*3.6/1000000/'E Balans VL '!Z24*100),0,B36*3.6/1000000/'E Balans VL '!Z24*100)</f>
        <v>1.271350407559876E-4</v>
      </c>
      <c r="D36" s="233" t="s">
        <v>691</v>
      </c>
    </row>
    <row r="37" spans="1:5">
      <c r="A37" s="168" t="s">
        <v>265</v>
      </c>
      <c r="B37" s="37">
        <f>IF( ISERROR(IND_rest_ele_kWh/1000),0,IND_rest_ele_kWh/1000)</f>
        <v>15.2737165116234</v>
      </c>
      <c r="C37" s="39">
        <f>IF(ISERROR(B37*3.6/1000000/'E Balans VL '!Z15*100),0,B37*3.6/1000000/'E Balans VL '!Z15*100)</f>
        <v>5.7238698660905866E-5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2273.4137223023799</v>
      </c>
      <c r="C5" s="17">
        <f>'Eigen informatie GS &amp; warmtenet'!B62</f>
        <v>0</v>
      </c>
      <c r="D5" s="30">
        <f>IF(ISERROR(SUM(LB_lb_gas_kWh,LB_rest_gas_kWh)/1000),0,SUM(LB_lb_gas_kWh,LB_rest_gas_kWh)/1000)*0.903</f>
        <v>133.29066575439109</v>
      </c>
      <c r="E5" s="17">
        <f>B17*'E Balans VL '!I25/3.6*1000000/100</f>
        <v>84.782551581172044</v>
      </c>
      <c r="F5" s="17">
        <f>B17*('E Balans VL '!L25/3.6*1000000+'E Balans VL '!N25/3.6*1000000)/100</f>
        <v>7375.832596790945</v>
      </c>
      <c r="G5" s="18"/>
      <c r="H5" s="17"/>
      <c r="I5" s="17"/>
      <c r="J5" s="17">
        <f>('E Balans VL '!D25+'E Balans VL '!E25)/3.6*1000000*landbouw!B17/100</f>
        <v>596.78232573679782</v>
      </c>
      <c r="K5" s="17"/>
      <c r="L5" s="17">
        <f>L6*(-1)</f>
        <v>0</v>
      </c>
      <c r="M5" s="17"/>
      <c r="N5" s="17">
        <f>N6*(-1)</f>
        <v>71481.857142857145</v>
      </c>
      <c r="O5" s="17"/>
      <c r="P5" s="17"/>
      <c r="R5" s="32"/>
    </row>
    <row r="6" spans="1:18">
      <c r="A6" s="16" t="s">
        <v>473</v>
      </c>
      <c r="B6" s="17" t="s">
        <v>210</v>
      </c>
      <c r="C6" s="17">
        <f>'lokale energieproductie'!O42+'lokale energieproductie'!O35</f>
        <v>35740.928571428572</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-71481.857142857145</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2273.4137223023799</v>
      </c>
      <c r="C8" s="21">
        <f>C5+C6</f>
        <v>35740.928571428572</v>
      </c>
      <c r="D8" s="21">
        <f>MAX((D5+D6),0)</f>
        <v>133.29066575439109</v>
      </c>
      <c r="E8" s="21">
        <f>MAX((E5+E6),0)</f>
        <v>84.782551581172044</v>
      </c>
      <c r="F8" s="21">
        <f>MAX((F5+F6),0)</f>
        <v>7375.832596790945</v>
      </c>
      <c r="G8" s="21"/>
      <c r="H8" s="21"/>
      <c r="I8" s="21"/>
      <c r="J8" s="21">
        <f>MAX((J5+J6),0)</f>
        <v>596.78232573679782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26.924714482386999</v>
      </c>
      <c r="E12" s="23">
        <f>E8*E10</f>
        <v>19.245639208926054</v>
      </c>
      <c r="F12" s="23">
        <f>F8*F10</f>
        <v>1969.3473033431824</v>
      </c>
      <c r="G12" s="23"/>
      <c r="H12" s="23"/>
      <c r="I12" s="23"/>
      <c r="J12" s="23">
        <f>J8*J10</f>
        <v>211.26094331082641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0.31224744224339707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669.95641443379202</v>
      </c>
      <c r="C26" s="243">
        <f>B26*'GWP N2O_CH4'!B5</f>
        <v>14069.084703109633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181.76023867201769</v>
      </c>
      <c r="C27" s="243">
        <f>B27*'GWP N2O_CH4'!B5</f>
        <v>3816.9650121123714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8.5166596154897256</v>
      </c>
      <c r="C28" s="243">
        <f>B28*'GWP N2O_CH4'!B4</f>
        <v>2640.164480801815</v>
      </c>
      <c r="D28" s="50"/>
    </row>
    <row r="29" spans="1:4">
      <c r="A29" s="41" t="s">
        <v>272</v>
      </c>
      <c r="B29" s="243">
        <f>B34*'ha_N2O bodem landbouw'!B4</f>
        <v>17.942783693009826</v>
      </c>
      <c r="C29" s="243">
        <f>B29*'GWP N2O_CH4'!B4</f>
        <v>5562.2629448330463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4.0892116448517013E-3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2.4154991369354793E-4</v>
      </c>
      <c r="C5" s="434" t="s">
        <v>210</v>
      </c>
      <c r="D5" s="419">
        <f>SUM(D6:D11)</f>
        <v>5.0590973446401068E-4</v>
      </c>
      <c r="E5" s="419">
        <f>SUM(E6:E11)</f>
        <v>2.7210376485882102E-4</v>
      </c>
      <c r="F5" s="432" t="s">
        <v>210</v>
      </c>
      <c r="G5" s="419">
        <f>SUM(G6:G11)</f>
        <v>9.4846715120255443E-2</v>
      </c>
      <c r="H5" s="419">
        <f>SUM(H6:H11)</f>
        <v>3.0530433329487464E-2</v>
      </c>
      <c r="I5" s="434" t="s">
        <v>210</v>
      </c>
      <c r="J5" s="434" t="s">
        <v>210</v>
      </c>
      <c r="K5" s="434" t="s">
        <v>210</v>
      </c>
      <c r="L5" s="434" t="s">
        <v>210</v>
      </c>
      <c r="M5" s="419">
        <f>SUM(M6:M11)</f>
        <v>7.4623857503573251E-3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6.5163484737276237E-5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1.1323364786567755E-4</v>
      </c>
      <c r="E6" s="885">
        <f>vkm_GW_PW*SUMIFS(TableVerdeelsleutelVkm[LPG],TableVerdeelsleutelVkm[Voertuigtype],"Lichte voertuigen")*SUMIFS(TableECFTransport[EnergieConsumptieFactor (PJ per km)],TableECFTransport[Index],CONCATENATE($A6,"_LPG_LPG"))</f>
        <v>6.2965294793171269E-5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1.8921669755784538E-2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6.898904048668407E-3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1.5449087522163792E-3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2.2061872125777523E-7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9.1308568414876709E-3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9.2889728926549475E-8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5.1408131724653796E-4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1.7599778954556733E-4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3.9267608659833311E-4</v>
      </c>
      <c r="E8" s="422">
        <f>vkm_NGW_PW*SUMIFS(TableVerdeelsleutelVkm[LPG],TableVerdeelsleutelVkm[Voertuigtype],"Lichte voertuigen")*SUMIFS(TableECFTransport[EnergieConsumptieFactor (PJ per km)],TableECFTransport[Index],CONCATENATE($A8,"_LPG_LPG"))</f>
        <v>2.0913847006564978E-4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5.783911331736493E-2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2.3631351001576248E-2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4.899211537838487E-3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1.680206894465829E-7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8.9550752056183121E-3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8.5389513884991252E-8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5.0418414305592124E-4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67.097198248207761</v>
      </c>
      <c r="C14" s="21"/>
      <c r="D14" s="21">
        <f t="shared" ref="D14:M14" si="0">((D5)*10^9/3600)+D12</f>
        <v>140.53048179555853</v>
      </c>
      <c r="E14" s="21">
        <f t="shared" si="0"/>
        <v>75.584379127450276</v>
      </c>
      <c r="F14" s="21"/>
      <c r="G14" s="21">
        <f t="shared" si="0"/>
        <v>26346.309755626513</v>
      </c>
      <c r="H14" s="21">
        <f t="shared" si="0"/>
        <v>8480.6759248576291</v>
      </c>
      <c r="I14" s="21"/>
      <c r="J14" s="21"/>
      <c r="K14" s="21"/>
      <c r="L14" s="21"/>
      <c r="M14" s="21">
        <f t="shared" si="0"/>
        <v>2072.8849306548127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v>
      </c>
      <c r="C18" s="23"/>
      <c r="D18" s="23">
        <f t="shared" ref="D18:M18" si="1">D14*D16</f>
        <v>28.387157322702826</v>
      </c>
      <c r="E18" s="23">
        <f t="shared" si="1"/>
        <v>17.157654061931215</v>
      </c>
      <c r="F18" s="23"/>
      <c r="G18" s="23">
        <f t="shared" si="1"/>
        <v>7034.4647047522794</v>
      </c>
      <c r="H18" s="23">
        <f t="shared" si="1"/>
        <v>2111.6883052895496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2.8099824099806594E-5</v>
      </c>
      <c r="C50" s="315">
        <f t="shared" ref="C50:P50" si="2">SUM(C51:C52)</f>
        <v>0</v>
      </c>
      <c r="D50" s="315">
        <f t="shared" si="2"/>
        <v>0</v>
      </c>
      <c r="E50" s="315">
        <f t="shared" si="2"/>
        <v>0</v>
      </c>
      <c r="F50" s="315">
        <f t="shared" si="2"/>
        <v>0</v>
      </c>
      <c r="G50" s="315">
        <f t="shared" si="2"/>
        <v>2.0057147869536824E-3</v>
      </c>
      <c r="H50" s="315">
        <f t="shared" si="2"/>
        <v>0</v>
      </c>
      <c r="I50" s="315">
        <f t="shared" si="2"/>
        <v>0</v>
      </c>
      <c r="J50" s="315">
        <f t="shared" si="2"/>
        <v>0</v>
      </c>
      <c r="K50" s="315">
        <f t="shared" si="2"/>
        <v>0</v>
      </c>
      <c r="L50" s="315">
        <f t="shared" si="2"/>
        <v>0</v>
      </c>
      <c r="M50" s="315">
        <f t="shared" si="2"/>
        <v>1.107527501947746E-4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2.8099824099806594E-5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2.0057147869536824E-3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1.107527501947746E-4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7.8055066943907212</v>
      </c>
      <c r="C54" s="21">
        <f t="shared" ref="C54:P54" si="3">(C50)*10^9/3600</f>
        <v>0</v>
      </c>
      <c r="D54" s="21">
        <f t="shared" si="3"/>
        <v>0</v>
      </c>
      <c r="E54" s="21">
        <f t="shared" si="3"/>
        <v>0</v>
      </c>
      <c r="F54" s="21">
        <f t="shared" si="3"/>
        <v>0</v>
      </c>
      <c r="G54" s="21">
        <f t="shared" si="3"/>
        <v>557.14299637602289</v>
      </c>
      <c r="H54" s="21">
        <f t="shared" si="3"/>
        <v>0</v>
      </c>
      <c r="I54" s="21">
        <f t="shared" si="3"/>
        <v>0</v>
      </c>
      <c r="J54" s="21">
        <f t="shared" si="3"/>
        <v>0</v>
      </c>
      <c r="K54" s="21">
        <f t="shared" si="3"/>
        <v>0</v>
      </c>
      <c r="L54" s="21">
        <f t="shared" si="3"/>
        <v>0</v>
      </c>
      <c r="M54" s="21">
        <f t="shared" si="3"/>
        <v>30.764652831881836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v>
      </c>
      <c r="C58" s="23">
        <f t="shared" ref="C58:P58" ca="1" si="4">C54*C56</f>
        <v>0</v>
      </c>
      <c r="D58" s="23">
        <f t="shared" si="4"/>
        <v>0</v>
      </c>
      <c r="E58" s="23">
        <f t="shared" si="4"/>
        <v>0</v>
      </c>
      <c r="F58" s="23">
        <f t="shared" si="4"/>
        <v>0</v>
      </c>
      <c r="G58" s="23">
        <f t="shared" si="4"/>
        <v>148.75718003239811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2994.4910167878943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25018.65</v>
      </c>
      <c r="C8" s="544">
        <f>B51</f>
        <v>0</v>
      </c>
      <c r="D8" s="545"/>
      <c r="E8" s="545">
        <f>E51</f>
        <v>0</v>
      </c>
      <c r="F8" s="546"/>
      <c r="G8" s="547"/>
      <c r="H8" s="545">
        <f>I51</f>
        <v>0</v>
      </c>
      <c r="I8" s="545">
        <f>G51+F51</f>
        <v>0</v>
      </c>
      <c r="J8" s="545">
        <f>H51+D51+C51</f>
        <v>29433.705882352941</v>
      </c>
      <c r="K8" s="545"/>
      <c r="L8" s="545"/>
      <c r="M8" s="545"/>
      <c r="N8" s="548"/>
      <c r="O8" s="549">
        <f>C8*$C$12+D8*$D$12+E8*$E$12+F8*$F$12+G8*$G$12+H8*$H$12+I8*$I$12+J8*$J$12</f>
        <v>0</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28013.141016787897</v>
      </c>
      <c r="C10" s="559">
        <f t="shared" ref="C10:L10" si="0">SUM(C8:C9)</f>
        <v>0</v>
      </c>
      <c r="D10" s="559">
        <f t="shared" si="0"/>
        <v>0</v>
      </c>
      <c r="E10" s="559">
        <f t="shared" si="0"/>
        <v>0</v>
      </c>
      <c r="F10" s="559">
        <f t="shared" si="0"/>
        <v>0</v>
      </c>
      <c r="G10" s="559">
        <f t="shared" si="0"/>
        <v>0</v>
      </c>
      <c r="H10" s="559">
        <f t="shared" si="0"/>
        <v>0</v>
      </c>
      <c r="I10" s="559">
        <f t="shared" si="0"/>
        <v>0</v>
      </c>
      <c r="J10" s="559">
        <f t="shared" si="0"/>
        <v>29433.705882352941</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35740.928571428572</v>
      </c>
      <c r="C17" s="575">
        <f>B52</f>
        <v>0</v>
      </c>
      <c r="D17" s="576"/>
      <c r="E17" s="576">
        <f>E52</f>
        <v>0</v>
      </c>
      <c r="F17" s="577"/>
      <c r="G17" s="578"/>
      <c r="H17" s="575">
        <f>I52</f>
        <v>0</v>
      </c>
      <c r="I17" s="576">
        <f>G52+F52</f>
        <v>0</v>
      </c>
      <c r="J17" s="576">
        <f>H52+D52+C52</f>
        <v>42048.151260504201</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35740.928571428572</v>
      </c>
      <c r="C20" s="558">
        <f>SUM(C17:C19)</f>
        <v>0</v>
      </c>
      <c r="D20" s="558">
        <f t="shared" ref="D20:L20" si="1">SUM(D17:D19)</f>
        <v>0</v>
      </c>
      <c r="E20" s="558">
        <f t="shared" si="1"/>
        <v>0</v>
      </c>
      <c r="F20" s="558">
        <f t="shared" si="1"/>
        <v>0</v>
      </c>
      <c r="G20" s="558">
        <f t="shared" si="1"/>
        <v>0</v>
      </c>
      <c r="H20" s="558">
        <f t="shared" si="1"/>
        <v>0</v>
      </c>
      <c r="I20" s="558">
        <f t="shared" si="1"/>
        <v>0</v>
      </c>
      <c r="J20" s="558">
        <f t="shared" si="1"/>
        <v>42048.151260504201</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44080</v>
      </c>
      <c r="C28" s="786">
        <v>9930</v>
      </c>
      <c r="D28" s="636" t="s">
        <v>883</v>
      </c>
      <c r="E28" s="635" t="s">
        <v>884</v>
      </c>
      <c r="F28" s="635" t="s">
        <v>885</v>
      </c>
      <c r="G28" s="635" t="s">
        <v>886</v>
      </c>
      <c r="H28" s="635" t="s">
        <v>887</v>
      </c>
      <c r="I28" s="635" t="s">
        <v>884</v>
      </c>
      <c r="J28" s="785">
        <v>39373</v>
      </c>
      <c r="K28" s="785">
        <v>43384</v>
      </c>
      <c r="L28" s="635" t="s">
        <v>888</v>
      </c>
      <c r="M28" s="635">
        <v>1501</v>
      </c>
      <c r="N28" s="635">
        <v>6754.4999999999991</v>
      </c>
      <c r="O28" s="635">
        <v>9649.2857142857138</v>
      </c>
      <c r="P28" s="635">
        <v>0</v>
      </c>
      <c r="Q28" s="635">
        <v>19298.571428571428</v>
      </c>
      <c r="R28" s="635">
        <v>0</v>
      </c>
      <c r="S28" s="635">
        <v>0</v>
      </c>
      <c r="T28" s="635">
        <v>0</v>
      </c>
      <c r="U28" s="635">
        <v>0</v>
      </c>
      <c r="V28" s="635">
        <v>0</v>
      </c>
      <c r="W28" s="635">
        <v>0</v>
      </c>
      <c r="X28" s="635">
        <v>10</v>
      </c>
      <c r="Y28" s="635" t="s">
        <v>111</v>
      </c>
      <c r="Z28" s="637" t="s">
        <v>111</v>
      </c>
    </row>
    <row r="29" spans="1:26" s="589" customFormat="1" ht="25.5">
      <c r="A29" s="588"/>
      <c r="B29" s="786">
        <v>44080</v>
      </c>
      <c r="C29" s="786">
        <v>9930</v>
      </c>
      <c r="D29" s="636" t="s">
        <v>889</v>
      </c>
      <c r="E29" s="635" t="s">
        <v>890</v>
      </c>
      <c r="F29" s="635" t="s">
        <v>891</v>
      </c>
      <c r="G29" s="635" t="s">
        <v>886</v>
      </c>
      <c r="H29" s="635" t="s">
        <v>887</v>
      </c>
      <c r="I29" s="635" t="s">
        <v>890</v>
      </c>
      <c r="J29" s="785">
        <v>40744</v>
      </c>
      <c r="K29" s="785">
        <v>40192</v>
      </c>
      <c r="L29" s="635" t="s">
        <v>892</v>
      </c>
      <c r="M29" s="635">
        <v>2860</v>
      </c>
      <c r="N29" s="635">
        <v>12870</v>
      </c>
      <c r="O29" s="635">
        <v>18385.714285714286</v>
      </c>
      <c r="P29" s="635">
        <v>0</v>
      </c>
      <c r="Q29" s="635">
        <v>36771.428571428572</v>
      </c>
      <c r="R29" s="635">
        <v>0</v>
      </c>
      <c r="S29" s="635">
        <v>0</v>
      </c>
      <c r="T29" s="635">
        <v>0</v>
      </c>
      <c r="U29" s="635">
        <v>0</v>
      </c>
      <c r="V29" s="635">
        <v>0</v>
      </c>
      <c r="W29" s="635">
        <v>0</v>
      </c>
      <c r="X29" s="635">
        <v>10</v>
      </c>
      <c r="Y29" s="635" t="s">
        <v>111</v>
      </c>
      <c r="Z29" s="637" t="s">
        <v>111</v>
      </c>
    </row>
    <row r="30" spans="1:26" s="589" customFormat="1" ht="25.5">
      <c r="A30" s="588"/>
      <c r="B30" s="786">
        <v>44080</v>
      </c>
      <c r="C30" s="786">
        <v>9931</v>
      </c>
      <c r="D30" s="636" t="s">
        <v>893</v>
      </c>
      <c r="E30" s="635" t="s">
        <v>894</v>
      </c>
      <c r="F30" s="635" t="s">
        <v>895</v>
      </c>
      <c r="G30" s="635" t="s">
        <v>886</v>
      </c>
      <c r="H30" s="635" t="s">
        <v>887</v>
      </c>
      <c r="I30" s="635" t="s">
        <v>894</v>
      </c>
      <c r="J30" s="785">
        <v>41124</v>
      </c>
      <c r="K30" s="785">
        <v>41244</v>
      </c>
      <c r="L30" s="635" t="s">
        <v>892</v>
      </c>
      <c r="M30" s="635">
        <v>9.6999999999999993</v>
      </c>
      <c r="N30" s="635">
        <v>43.649999999999991</v>
      </c>
      <c r="O30" s="635">
        <v>62.357142857142847</v>
      </c>
      <c r="P30" s="635">
        <v>0</v>
      </c>
      <c r="Q30" s="635">
        <v>124.71428571428569</v>
      </c>
      <c r="R30" s="635">
        <v>0</v>
      </c>
      <c r="S30" s="635">
        <v>0</v>
      </c>
      <c r="T30" s="635">
        <v>0</v>
      </c>
      <c r="U30" s="635">
        <v>0</v>
      </c>
      <c r="V30" s="635">
        <v>0</v>
      </c>
      <c r="W30" s="635">
        <v>0</v>
      </c>
      <c r="X30" s="635">
        <v>10</v>
      </c>
      <c r="Y30" s="635" t="s">
        <v>111</v>
      </c>
      <c r="Z30" s="637" t="s">
        <v>111</v>
      </c>
    </row>
    <row r="31" spans="1:26" s="589" customFormat="1" ht="25.5">
      <c r="A31" s="588"/>
      <c r="B31" s="786">
        <v>44080</v>
      </c>
      <c r="C31" s="786">
        <v>9930</v>
      </c>
      <c r="D31" s="636" t="s">
        <v>883</v>
      </c>
      <c r="E31" s="635" t="s">
        <v>884</v>
      </c>
      <c r="F31" s="635" t="s">
        <v>896</v>
      </c>
      <c r="G31" s="635" t="s">
        <v>886</v>
      </c>
      <c r="H31" s="635" t="s">
        <v>887</v>
      </c>
      <c r="I31" s="635" t="s">
        <v>884</v>
      </c>
      <c r="J31" s="785">
        <v>42172</v>
      </c>
      <c r="K31" s="785">
        <v>42172</v>
      </c>
      <c r="L31" s="635" t="s">
        <v>892</v>
      </c>
      <c r="M31" s="635">
        <v>1189</v>
      </c>
      <c r="N31" s="635">
        <v>5350.5</v>
      </c>
      <c r="O31" s="635">
        <v>7643.5714285714284</v>
      </c>
      <c r="P31" s="635">
        <v>0</v>
      </c>
      <c r="Q31" s="635">
        <v>15287.142857142859</v>
      </c>
      <c r="R31" s="635">
        <v>0</v>
      </c>
      <c r="S31" s="635">
        <v>0</v>
      </c>
      <c r="T31" s="635">
        <v>0</v>
      </c>
      <c r="U31" s="635">
        <v>0</v>
      </c>
      <c r="V31" s="635">
        <v>0</v>
      </c>
      <c r="W31" s="635">
        <v>0</v>
      </c>
      <c r="X31" s="635">
        <v>10</v>
      </c>
      <c r="Y31" s="635" t="s">
        <v>111</v>
      </c>
      <c r="Z31" s="637" t="s">
        <v>111</v>
      </c>
    </row>
    <row r="32" spans="1:26" s="569" customFormat="1">
      <c r="A32" s="591" t="s">
        <v>275</v>
      </c>
      <c r="B32" s="592"/>
      <c r="C32" s="592"/>
      <c r="D32" s="592"/>
      <c r="E32" s="592"/>
      <c r="F32" s="592"/>
      <c r="G32" s="592"/>
      <c r="H32" s="592"/>
      <c r="I32" s="592"/>
      <c r="J32" s="592"/>
      <c r="K32" s="592"/>
      <c r="L32" s="593"/>
      <c r="M32" s="593">
        <f>SUM(M28:M31)</f>
        <v>5559.7</v>
      </c>
      <c r="N32" s="593">
        <f>SUM(N28:N31)</f>
        <v>25018.65</v>
      </c>
      <c r="O32" s="593">
        <f>SUM(O28:O31)</f>
        <v>35740.928571428572</v>
      </c>
      <c r="P32" s="593">
        <f>SUM(P28:P31)</f>
        <v>0</v>
      </c>
      <c r="Q32" s="593">
        <f>SUM(Q28:Q31)</f>
        <v>71481.857142857145</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0</v>
      </c>
      <c r="N34" s="593">
        <f ca="1">SUMIF($Z$28:AD31,"tertiair",N28:N31)</f>
        <v>0</v>
      </c>
      <c r="O34" s="593">
        <f ca="1">SUMIF($Z$28:AE31,"tertiair",O28:O31)</f>
        <v>0</v>
      </c>
      <c r="P34" s="593">
        <f ca="1">SUMIF($Z$28:AF31,"tertiair",P28:P31)</f>
        <v>0</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5559.7</v>
      </c>
      <c r="N35" s="598">
        <f>SUMIF($Z$28:$Z$31,"landbouw",N28:N31)</f>
        <v>25018.65</v>
      </c>
      <c r="O35" s="598">
        <f>SUMIF($Z$28:$Z$31,"landbouw",O28:O31)</f>
        <v>35740.928571428572</v>
      </c>
      <c r="P35" s="598">
        <f>SUMIF($Z$28:$Z$31,"landbouw",P28:P31)</f>
        <v>0</v>
      </c>
      <c r="Q35" s="598">
        <f>SUMIF($Z$28:$Z$31,"landbouw",Q28:Q31)</f>
        <v>71481.857142857145</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0.58823529411764708</v>
      </c>
      <c r="C48" s="618">
        <f>IF(ISERROR(N32/(O32+N32)),0,N32/(N32+O32))</f>
        <v>0.41176470588235292</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0</v>
      </c>
      <c r="C51" s="627">
        <f t="shared" si="2"/>
        <v>29433.705882352941</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0</v>
      </c>
      <c r="C52" s="630">
        <f t="shared" si="3"/>
        <v>42048.151260504201</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2021-06-29T14:35:25Z</dcterms:modified>
</cp:coreProperties>
</file>