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<sst xmlns="http://schemas.openxmlformats.org/spreadsheetml/2006/main" count="2448" uniqueCount="883">
  <si>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</si>
  <si>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</si>
  <si>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</si>
  <si>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</si>
  <si>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</si>
  <si>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</si>
  <si>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</si>
  <si>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</si>
  <si>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</si>
  <si>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</si>
  <si>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</si>
  <si>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</si>
  <si>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</si>
  <si>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</si>
  <si>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</si>
  <si>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</si>
  <si>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</si>
  <si>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</si>
  <si>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</si>
  <si>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</si>
  <si>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</si>
  <si>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</si>
  <si>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</si>
  <si>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</si>
  <si>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</si>
  <si>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</si>
  <si>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</si>
  <si>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</si>
  <si>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</si>
  <si>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</si>
  <si>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</si>
  <si>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</si>
  <si>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</si>
  <si>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</si>
  <si>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</si>
  <si>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</si>
  <si>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</si>
  <si>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</si>
  <si>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</si>
  <si>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</si>
  <si>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</si>
  <si>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</si>
  <si>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</si>
  <si>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</si>
  <si>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</si>
  <si>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</si>
  <si>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</si>
  <si>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</si>
  <si>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</si>
  <si>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</si>
  <si>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</si>
  <si>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</si>
  <si>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</si>
  <si>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</si>
  <si>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</si>
  <si>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</si>
  <si>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</si>
  <si>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</si>
  <si>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</si>
  <si>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</si>
  <si>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</si>
  <si>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</si>
  <si>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</si>
  <si>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</si>
  <si>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</si>
  <si>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</si>
  <si>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</si>
  <si>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</si>
  <si>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</si>
  <si>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</si>
  <si>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</si>
  <si>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</si>
  <si>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</si>
  <si>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</si>
  <si>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</si>
  <si>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</si>
  <si>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</si>
  <si>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</si>
  <si>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</si>
  <si>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</si>
  <si>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</si>
  <si>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</si>
  <si>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</si>
  <si>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</si>
  <si>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</si>
  <si>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</si>
  <si>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</si>
  <si>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</si>
  <si>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</si>
  <si>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</si>
  <si>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</si>
  <si>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</si>
  <si>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</si>
  <si>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</si>
  <si>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</si>
  <si>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</si>
  <si>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</si>
  <si>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</si>
  <si>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</si>
  <si>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</si>
  <si>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</si>
  <si>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</si>
  <si>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</si>
  <si>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</si>
  <si>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</si>
  <si>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</si>
  <si>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</si>
  <si>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</si>
  <si>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</si>
  <si>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</si>
  <si>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</si>
  <si>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</si>
  <si>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</si>
  <si>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</si>
  <si>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</si>
  <si>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</si>
  <si>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</si>
  <si>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</si>
  <si>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</si>
  <si>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</si>
  <si>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</si>
  <si>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</si>
  <si>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</si>
  <si>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</si>
  <si>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</si>
  <si>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</si>
  <si>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</si>
  <si>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</si>
  <si>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</si>
  <si>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</si>
  <si>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</si>
  <si>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</si>
  <si>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</si>
  <si>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</si>
  <si>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</si>
  <si>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</si>
  <si>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</si>
  <si>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</si>
  <si>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</si>
  <si>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</si>
  <si>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</si>
  <si>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</si>
  <si>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</si>
  <si>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</si>
  <si>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</si>
  <si>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</si>
  <si>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</si>
  <si>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</si>
  <si>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</si>
  <si>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</si>
  <si>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</si>
  <si>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</si>
  <si>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</si>
  <si>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</si>
  <si>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</si>
  <si>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</si>
  <si>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</si>
  <si>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</si>
  <si>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</si>
  <si>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</si>
  <si>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</si>
  <si>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</si>
  <si>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</si>
  <si>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</si>
  <si>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</si>
  <si>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</si>
  <si>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</si>
  <si>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</si>
  <si>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</si>
  <si>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</si>
  <si>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</si>
  <si>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</si>
  <si>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</si>
  <si>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</si>
  <si>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</si>
  <si>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</si>
  <si>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</si>
  <si>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</si>
  <si>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</si>
  <si>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</si>
  <si>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</si>
  <si>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</si>
  <si>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</si>
  <si>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</si>
  <si>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</si>
  <si>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</si>
  <si>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</si>
  <si>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</si>
  <si>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</si>
  <si>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</si>
  <si>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</si>
  <si>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</si>
  <si>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</si>
  <si>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</si>
  <si>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</si>
  <si>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</si>
  <si>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</si>
  <si>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</si>
  <si>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</si>
  <si>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</si>
  <si>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</si>
  <si>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</si>
  <si>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</si>
  <si>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</si>
  <si>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</si>
  <si>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</si>
  <si>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</si>
  <si>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</si>
  <si>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</si>
  <si>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</si>
  <si>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</si>
  <si>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</si>
  <si>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</si>
  <si>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</si>
  <si>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</si>
  <si>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</si>
  <si>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</si>
  <si>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</si>
  <si>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</si>
  <si>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</si>
  <si>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</si>
  <si>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</si>
  <si>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</si>
  <si>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</si>
  <si>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</si>
  <si>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</si>
  <si>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</si>
  <si>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</si>
  <si>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</si>
  <si>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</si>
  <si>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</si>
  <si>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</si>
  <si>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</si>
  <si>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</si>
  <si>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</si>
  <si>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</si>
  <si>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</si>
  <si>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</si>
  <si>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</si>
  <si>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</si>
  <si>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</si>
  <si>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</si>
  <si>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</si>
  <si>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</si>
  <si>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</si>
  <si>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</si>
  <si>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</si>
  <si>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</si>
  <si>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</si>
  <si>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</si>
  <si>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</si>
  <si>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</si>
  <si>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</si>
  <si>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</si>
  <si>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</si>
  <si>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</si>
  <si>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</si>
  <si>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</si>
  <si>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</si>
  <si>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</si>
  <si>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</si>
  <si>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</si>
  <si>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</si>
  <si>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</si>
  <si>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</si>
  <si>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</si>
  <si>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</si>
  <si>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</si>
  <si>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</si>
  <si>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</si>
  <si>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</si>
  <si>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</si>
  <si>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</si>
  <si>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</si>
  <si>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</si>
  <si>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</si>
  <si>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</si>
  <si>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</si>
  <si>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</si>
  <si>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</si>
  <si>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</si>
  <si>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</si>
  <si>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</si>
  <si>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</si>
  <si>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</si>
  <si>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</si>
  <si>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</si>
  <si>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</si>
  <si>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</si>
  <si>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</si>
  <si>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</si>
  <si>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</si>
  <si>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</si>
  <si>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</si>
  <si>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</si>
  <si>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</si>
  <si>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</si>
  <si>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</si>
  <si>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</si>
  <si>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</si>
  <si>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</si>
  <si>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</si>
  <si>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</si>
  <si>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</si>
  <si>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</si>
  <si>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</si>
  <si>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</si>
  <si>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</si>
  <si>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</si>
  <si>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</si>
  <si>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</si>
  <si>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</si>
  <si>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</si>
  <si>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</si>
  <si>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</si>
  <si>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</si>
  <si>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</si>
  <si>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</si>
  <si>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</si>
  <si>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</si>
  <si>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</si>
  <si>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</si>
  <si>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</si>
  <si>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</si>
  <si>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</si>
  <si>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</si>
  <si>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</si>
  <si>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</si>
  <si>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</si>
  <si>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</si>
  <si>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</si>
  <si>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</si>
  <si>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</si>
  <si>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</si>
  <si>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</si>
  <si>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</si>
  <si>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</si>
  <si>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</si>
  <si>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</si>
  <si>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</si>
  <si>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</si>
  <si>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</si>
  <si>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</si>
  <si>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</si>
  <si>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</si>
  <si>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</si>
  <si>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</si>
  <si>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</si>
  <si>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</si>
  <si>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</si>
  <si>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</si>
  <si>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</si>
  <si>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</si>
  <si>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</si>
  <si>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</si>
  <si>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</si>
  <si>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</si>
  <si>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</si>
  <si>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</si>
  <si>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</si>
  <si>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</si>
  <si>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</si>
  <si>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</si>
  <si>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</si>
  <si>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</si>
  <si>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</si>
  <si>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</si>
  <si>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</si>
  <si>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</si>
  <si>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</si>
  <si>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</si>
  <si>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</si>
  <si>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</si>
  <si>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</si>
  <si>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</si>
  <si>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</si>
  <si>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</si>
  <si>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</si>
  <si>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</si>
  <si>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</si>
  <si>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</si>
  <si>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</si>
  <si>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</si>
  <si>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</si>
  <si>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</si>
  <si>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</si>
  <si>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</si>
  <si>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</si>
  <si>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</si>
  <si>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</si>
  <si>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</si>
  <si>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</si>
  <si>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</si>
  <si>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</si>
  <si>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</si>
  <si>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</si>
  <si>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</si>
  <si>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</si>
  <si>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</si>
  <si>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</si>
  <si>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</si>
  <si>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</si>
  <si>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</si>
  <si>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</si>
  <si>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</si>
  <si>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</si>
  <si>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</si>
  <si>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</si>
  <si>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</si>
  <si>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</si>
  <si>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</si>
  <si>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</si>
  <si>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</si>
  <si>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</si>
  <si>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</si>
  <si>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</si>
  <si>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</si>
  <si>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</si>
  <si>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</si>
  <si>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</si>
  <si>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</si>
  <si>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</si>
  <si>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</si>
  <si>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</si>
  <si>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</si>
  <si>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</si>
  <si>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</si>
  <si>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</si>
  <si>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</si>
  <si>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</si>
  <si>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</si>
  <si>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</si>
  <si>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</si>
  <si>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</si>
  <si>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</si>
  <si>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</si>
  <si>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</si>
  <si>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</si>
  <si>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</si>
  <si>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</si>
  <si>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</si>
  <si>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</si>
  <si>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</si>
  <si>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</si>
  <si>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</si>
  <si>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</si>
  <si>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</si>
  <si>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</si>
  <si>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</si>
  <si>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</si>
  <si>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</si>
  <si>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</si>
  <si>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</si>
  <si>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</si>
  <si>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</si>
  <si>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</si>
  <si>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</si>
  <si>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</si>
  <si>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</si>
  <si>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</si>
  <si>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</si>
  <si>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</si>
  <si>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</si>
  <si>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</si>
  <si>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</si>
  <si>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</si>
  <si>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</si>
  <si>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</si>
  <si>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</si>
  <si>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</si>
  <si>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</si>
  <si>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</si>
  <si>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</si>
  <si>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</si>
  <si>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</si>
  <si>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</si>
  <si>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</si>
  <si>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</si>
  <si>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</si>
  <si>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</si>
  <si>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</si>
  <si>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</si>
  <si>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</si>
  <si>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</si>
  <si>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</si>
  <si>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</si>
  <si>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</si>
  <si>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</si>
  <si>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</si>
  <si>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</si>
  <si>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</si>
  <si>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</si>
  <si>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</si>
  <si>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</si>
  <si>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</si>
  <si>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</si>
  <si>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</si>
  <si>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</si>
  <si>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</si>
  <si>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</si>
  <si>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</si>
  <si>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</si>
  <si>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</si>
  <si>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</si>
  <si>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</si>
  <si>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</si>
  <si>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</si>
  <si>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</si>
  <si>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</si>
  <si>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</si>
  <si>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</si>
  <si>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</si>
  <si>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</si>
  <si>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</si>
  <si>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</si>
  <si>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</si>
  <si>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</si>
  <si>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</si>
  <si>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</si>
  <si>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</si>
  <si>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</si>
  <si>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</si>
  <si>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</si>
  <si>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</si>
  <si>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</si>
  <si>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</si>
  <si>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</si>
  <si>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</si>
  <si>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</si>
  <si>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</si>
  <si>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</si>
  <si>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</si>
  <si>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</si>
  <si>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</si>
  <si>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</si>
  <si>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</si>
  <si>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</si>
  <si>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</si>
  <si>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</si>
  <si>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</si>
  <si>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</si>
  <si>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</si>
  <si>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</si>
  <si>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</si>
  <si>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</si>
  <si>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</si>
  <si>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</si>
  <si>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</si>
  <si>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</si>
  <si>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</si>
  <si>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</si>
  <si>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</si>
  <si>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</si>
  <si>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</si>
  <si>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</si>
  <si>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</si>
  <si>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</si>
  <si>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</si>
  <si>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</si>
  <si>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</si>
  <si>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</si>
  <si>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</si>
  <si>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</si>
  <si>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</si>
  <si>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</si>
  <si>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</si>
  <si>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</si>
  <si>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</si>
  <si>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</si>
  <si>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</si>
  <si>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</si>
  <si>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</si>
  <si>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</si>
  <si>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</si>
  <si>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</si>
  <si>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</si>
  <si>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</si>
  <si>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</si>
  <si>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</si>
  <si>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</si>
  <si>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</si>
  <si>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</si>
  <si>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</si>
  <si>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</si>
  <si>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</si>
  <si>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</si>
  <si>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</si>
  <si>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</si>
  <si>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</si>
  <si>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</si>
  <si>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</si>
  <si>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</si>
  <si>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</si>
  <si>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</si>
  <si>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</si>
  <si>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</si>
  <si>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</si>
  <si>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</si>
  <si>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</si>
  <si>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</si>
  <si>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</si>
  <si>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</si>
  <si>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</si>
  <si>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</si>
  <si>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</si>
  <si>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</si>
  <si>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</si>
  <si>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</si>
  <si>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</si>
  <si>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</si>
  <si>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</si>
  <si>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</si>
  <si>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</si>
  <si>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</si>
  <si>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</si>
  <si>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</si>
  <si>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</si>
  <si>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</si>
  <si>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</si>
  <si>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</si>
  <si>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</si>
  <si>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</si>
  <si>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</si>
  <si>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</si>
  <si>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</si>
  <si>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</si>
  <si>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</si>
  <si>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</si>
  <si>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</si>
  <si>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</si>
  <si>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</si>
  <si>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</si>
  <si>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</si>
  <si>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</si>
  <si>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</si>
  <si>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</si>
  <si>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</si>
  <si>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</si>
  <si>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</si>
  <si>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</si>
  <si>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</si>
  <si>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</si>
  <si>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</si>
  <si>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</si>
  <si>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</si>
  <si>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</si>
  <si>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</si>
  <si>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</si>
  <si>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</si>
  <si>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</si>
  <si>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</si>
  <si>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</si>
  <si>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</si>
  <si>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</si>
  <si>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</si>
  <si>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</si>
  <si>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</si>
  <si>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</si>
  <si>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</si>
  <si>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</si>
  <si>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</si>
  <si>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</si>
  <si>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</si>
  <si>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</si>
  <si>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</si>
  <si>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</si>
  <si>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</si>
  <si>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</si>
  <si>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</si>
  <si>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</si>
  <si>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</si>
  <si>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</si>
  <si>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</si>
  <si>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</si>
  <si>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</si>
  <si>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</si>
  <si>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</si>
  <si>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</si>
  <si>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</si>
  <si>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</si>
  <si>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</si>
  <si>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</si>
  <si>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</si>
  <si>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</si>
  <si>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</si>
  <si>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</si>
  <si>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</si>
  <si>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</si>
  <si>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</si>
  <si>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</si>
  <si>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</si>
  <si>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</si>
  <si>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</si>
  <si>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</si>
  <si>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</si>
  <si>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</si>
  <si>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</si>
  <si>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</si>
  <si>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</si>
  <si>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</si>
  <si>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</si>
  <si>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</si>
  <si>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</si>
  <si>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</si>
  <si>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</si>
  <si>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</si>
  <si>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</si>
  <si>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</si>
  <si>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</si>
  <si>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</si>
  <si>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</si>
  <si>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</si>
  <si>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</si>
  <si>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</si>
  <si>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</si>
  <si>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</si>
  <si>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</si>
  <si>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</si>
  <si>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</si>
  <si>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</si>
  <si>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</si>
  <si>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</si>
  <si>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</si>
  <si>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</si>
  <si>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</si>
  <si>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</si>
  <si>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</si>
  <si>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</si>
  <si>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</si>
  <si>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</si>
  <si>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</si>
  <si>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</si>
  <si>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</si>
  <si>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</si>
  <si>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</si>
  <si>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</si>
  <si>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</si>
  <si>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</si>
  <si>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</si>
  <si>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</si>
  <si>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</si>
  <si>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</si>
  <si>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</si>
  <si>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</si>
  <si>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</si>
  <si>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</si>
  <si>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</si>
  <si>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</si>
  <si>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</si>
  <si>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</si>
  <si>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</si>
  <si>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</si>
  <si>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</si>
  <si>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</si>
  <si>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</si>
  <si>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</si>
  <si>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</si>
  <si>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</si>
  <si>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</si>
  <si>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</si>
  <si>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</si>
  <si>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</si>
  <si>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</si>
  <si>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</si>
  <si>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</si>
  <si>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</si>
  <si>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</si>
  <si>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</si>
  <si>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</si>
  <si>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</si>
  <si>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</si>
  <si>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</si>
  <si>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</si>
  <si>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</si>
  <si>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</si>
  <si>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</si>
  <si>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</si>
  <si>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</si>
  <si>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</si>
  <si>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</si>
  <si>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</si>
  <si>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</si>
  <si>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</si>
  <si>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</si>
  <si>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</si>
  <si>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</si>
  <si>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</si>
  <si>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</si>
  <si>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</si>
  <si>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</si>
  <si>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</si>
  <si>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</si>
  <si>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</si>
  <si>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</si>
  <si>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</si>
  <si>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</si>
  <si>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</si>
  <si>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</si>
  <si>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</si>
  <si>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</si>
  <si>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</si>
  <si>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</si>
  <si>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</si>
  <si>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</si>
  <si>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</si>
  <si>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</si>
  <si>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</si>
  <si>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</si>
  <si>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</si>
  <si>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</si>
  <si>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</si>
  <si>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</si>
  <si>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</si>
  <si>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</si>
  <si>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</si>
  <si>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</si>
  <si>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</si>
  <si>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</si>
  <si>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</si>
  <si>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</si>
  <si>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</si>
  <si>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</si>
  <si>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</si>
  <si>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</si>
  <si>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</si>
  <si>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</si>
  <si>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</si>
  <si>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</si>
  <si>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</si>
  <si>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</si>
  <si>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</si>
  <si>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</si>
  <si>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</si>
  <si>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</si>
  <si>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</si>
  <si>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</si>
  <si>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</si>
  <si>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</si>
  <si>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</si>
  <si>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</si>
  <si>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</si>
  <si>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</si>
  <si>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</si>
  <si>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</si>
  <si>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</si>
  <si>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</si>
  <si>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</si>
  <si>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</si>
  <si>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</si>
  <si>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</si>
  <si>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</si>
  <si>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</si>
  <si>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</si>
  <si>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</si>
  <si>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</si>
  <si>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</si>
  <si>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</si>
  <si>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</si>
  <si>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</si>
  <si>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</si>
  <si>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</si>
  <si>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</si>
  <si>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</si>
  <si>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</si>
  <si>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</si>
  <si>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</si>
  <si>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</si>
  <si>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</si>
  <si>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</si>
  <si>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</si>
  <si>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</si>
  <si>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</si>
  <si>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</si>
  <si>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</si>
  <si>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</si>
  <si>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</si>
  <si>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</si>
  <si>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</si>
  <si>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</si>
  <si>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44045</t>
  </si>
  <si>
    <t>MOERBEKE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</si>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</sst>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53791.450739716434</c:v>
                </c:pt>
                <c:pt idx="1">
                  <c:v>11632.691928979581</c:v>
                </c:pt>
                <c:pt idx="2">
                  <c:v>569.92700000000002</c:v>
                </c:pt>
                <c:pt idx="3">
                  <c:v>18725.255392359068</c:v>
                </c:pt>
                <c:pt idx="4">
                  <c:v>960.39501383953734</c:v>
                </c:pt>
                <c:pt idx="5">
                  <c:v>86640.43927857891</c:v>
                </c:pt>
                <c:pt idx="6">
                  <c:v>689.24477258275942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53791.450739716434</c:v>
                </c:pt>
                <c:pt idx="1">
                  <c:v>11632.691928979581</c:v>
                </c:pt>
                <c:pt idx="2">
                  <c:v>569.92700000000002</c:v>
                </c:pt>
                <c:pt idx="3">
                  <c:v>18725.255392359068</c:v>
                </c:pt>
                <c:pt idx="4">
                  <c:v>960.39501383953734</c:v>
                </c:pt>
                <c:pt idx="5">
                  <c:v>86640.43927857891</c:v>
                </c:pt>
                <c:pt idx="6">
                  <c:v>689.24477258275942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11013.032529491655</c:v>
                </c:pt>
                <c:pt idx="1">
                  <c:v>2245.7999271849421</c:v>
                </c:pt>
                <c:pt idx="2">
                  <c:v>112.24260539376222</c:v>
                </c:pt>
                <c:pt idx="3">
                  <c:v>4399.9230827599886</c:v>
                </c:pt>
                <c:pt idx="4">
                  <c:v>200.39559383507603</c:v>
                </c:pt>
                <c:pt idx="5">
                  <c:v>21596.530065436138</c:v>
                </c:pt>
                <c:pt idx="6">
                  <c:v>173.8918089719144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11013.032529491655</c:v>
                </c:pt>
                <c:pt idx="1">
                  <c:v>2245.7999271849421</c:v>
                </c:pt>
                <c:pt idx="2">
                  <c:v>112.24260539376222</c:v>
                </c:pt>
                <c:pt idx="3">
                  <c:v>4399.9230827599886</c:v>
                </c:pt>
                <c:pt idx="4">
                  <c:v>200.39559383507603</c:v>
                </c:pt>
                <c:pt idx="5">
                  <c:v>21596.530065436138</c:v>
                </c:pt>
                <c:pt idx="6">
                  <c:v>173.8918089719144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44045</v>
      </c>
      <c r="B6" s="386"/>
      <c r="C6" s="387"/>
    </row>
    <row r="7" spans="1:7" s="384" customFormat="1" ht="15.75" customHeight="1">
      <c r="A7" s="388" t="str">
        <f>txtMunicipality</f>
        <v>MOERBEKE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5812.9922542988152</v>
      </c>
      <c r="D10" s="682">
        <f ca="1">tertiair!C16</f>
        <v>0</v>
      </c>
      <c r="E10" s="682">
        <f ca="1">tertiair!D16</f>
        <v>4208.3175101232746</v>
      </c>
      <c r="F10" s="682">
        <f>tertiair!E16</f>
        <v>29.810609227680043</v>
      </c>
      <c r="G10" s="682">
        <f ca="1">tertiair!F16</f>
        <v>1334.7070271392786</v>
      </c>
      <c r="H10" s="682">
        <f>tertiair!G16</f>
        <v>0</v>
      </c>
      <c r="I10" s="682">
        <f>tertiair!H16</f>
        <v>0</v>
      </c>
      <c r="J10" s="682">
        <f>tertiair!I16</f>
        <v>0</v>
      </c>
      <c r="K10" s="682">
        <f>tertiair!J16</f>
        <v>1.6554905949164769E-2</v>
      </c>
      <c r="L10" s="682">
        <f>tertiair!K16</f>
        <v>0</v>
      </c>
      <c r="M10" s="682">
        <f ca="1">tertiair!L16</f>
        <v>0</v>
      </c>
      <c r="N10" s="682">
        <f>tertiair!M16</f>
        <v>0</v>
      </c>
      <c r="O10" s="682">
        <f ca="1">tertiair!N16</f>
        <v>601.72115929276208</v>
      </c>
      <c r="P10" s="682">
        <f>tertiair!O16</f>
        <v>4.8972607658411542</v>
      </c>
      <c r="Q10" s="683">
        <f>tertiair!P16</f>
        <v>210.15655322598008</v>
      </c>
      <c r="R10" s="685">
        <f ca="1">SUM(C10:Q10)</f>
        <v>12202.61892897958</v>
      </c>
      <c r="S10" s="67"/>
    </row>
    <row r="11" spans="1:19" s="445" customFormat="1">
      <c r="A11" s="803" t="s">
        <v>220</v>
      </c>
      <c r="B11" s="808"/>
      <c r="C11" s="682">
        <f>huishoudens!B8</f>
        <v>12052.770211719198</v>
      </c>
      <c r="D11" s="682">
        <f>huishoudens!C8</f>
        <v>0</v>
      </c>
      <c r="E11" s="682">
        <f>huishoudens!D8</f>
        <v>21548.767574740203</v>
      </c>
      <c r="F11" s="682">
        <f>huishoudens!E8</f>
        <v>676.97367967891353</v>
      </c>
      <c r="G11" s="682">
        <f>huishoudens!F8</f>
        <v>15376.699333346469</v>
      </c>
      <c r="H11" s="682">
        <f>huishoudens!G8</f>
        <v>0</v>
      </c>
      <c r="I11" s="682">
        <f>huishoudens!H8</f>
        <v>0</v>
      </c>
      <c r="J11" s="682">
        <f>huishoudens!I8</f>
        <v>0</v>
      </c>
      <c r="K11" s="682">
        <f>huishoudens!J8</f>
        <v>76.927032417688196</v>
      </c>
      <c r="L11" s="682">
        <f>huishoudens!K8</f>
        <v>0</v>
      </c>
      <c r="M11" s="682">
        <f>huishoudens!L8</f>
        <v>0</v>
      </c>
      <c r="N11" s="682">
        <f>huishoudens!M8</f>
        <v>0</v>
      </c>
      <c r="O11" s="682">
        <f>huishoudens!N8</f>
        <v>3707.1585198730222</v>
      </c>
      <c r="P11" s="682">
        <f>huishoudens!O8</f>
        <v>130.94124247954412</v>
      </c>
      <c r="Q11" s="683">
        <f>huishoudens!P8</f>
        <v>221.21314546138547</v>
      </c>
      <c r="R11" s="685">
        <f>SUM(C11:Q11)</f>
        <v>53791.450739716434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477.84598173656593</v>
      </c>
      <c r="D13" s="682">
        <f>industrie!C18</f>
        <v>0</v>
      </c>
      <c r="E13" s="682">
        <f>industrie!D18</f>
        <v>274.74291559337206</v>
      </c>
      <c r="F13" s="682">
        <f>industrie!E18</f>
        <v>1.3941622770905819</v>
      </c>
      <c r="G13" s="682">
        <f>industrie!F18</f>
        <v>188.984583267012</v>
      </c>
      <c r="H13" s="682">
        <f>industrie!G18</f>
        <v>0</v>
      </c>
      <c r="I13" s="682">
        <f>industrie!H18</f>
        <v>0</v>
      </c>
      <c r="J13" s="682">
        <f>industrie!I18</f>
        <v>0</v>
      </c>
      <c r="K13" s="682">
        <f>industrie!J18</f>
        <v>4.0078058464649111E-2</v>
      </c>
      <c r="L13" s="682">
        <f>industrie!K18</f>
        <v>0</v>
      </c>
      <c r="M13" s="682">
        <f>industrie!L18</f>
        <v>0</v>
      </c>
      <c r="N13" s="682">
        <f>industrie!M18</f>
        <v>0</v>
      </c>
      <c r="O13" s="682">
        <f>industrie!N18</f>
        <v>17.387292907032133</v>
      </c>
      <c r="P13" s="682">
        <f>industrie!O18</f>
        <v>0</v>
      </c>
      <c r="Q13" s="683">
        <f>industrie!P18</f>
        <v>0</v>
      </c>
      <c r="R13" s="685">
        <f>SUM(C13:Q13)</f>
        <v>960.39501383953734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18343.608447754581</v>
      </c>
      <c r="D16" s="718">
        <f t="shared" ref="D16:R16" ca="1" si="0">SUM(D9:D15)</f>
        <v>0</v>
      </c>
      <c r="E16" s="718">
        <f t="shared" ca="1" si="0"/>
        <v>26031.828000456848</v>
      </c>
      <c r="F16" s="718">
        <f t="shared" si="0"/>
        <v>708.17845118368416</v>
      </c>
      <c r="G16" s="718">
        <f t="shared" ca="1" si="0"/>
        <v>16900.390943752758</v>
      </c>
      <c r="H16" s="718">
        <f t="shared" si="0"/>
        <v>0</v>
      </c>
      <c r="I16" s="718">
        <f t="shared" si="0"/>
        <v>0</v>
      </c>
      <c r="J16" s="718">
        <f t="shared" si="0"/>
        <v>0</v>
      </c>
      <c r="K16" s="718">
        <f t="shared" si="0"/>
        <v>76.983665382102004</v>
      </c>
      <c r="L16" s="718">
        <f t="shared" si="0"/>
        <v>0</v>
      </c>
      <c r="M16" s="718">
        <f t="shared" ca="1" si="0"/>
        <v>0</v>
      </c>
      <c r="N16" s="718">
        <f t="shared" si="0"/>
        <v>0</v>
      </c>
      <c r="O16" s="718">
        <f t="shared" ca="1" si="0"/>
        <v>4326.2669720728163</v>
      </c>
      <c r="P16" s="718">
        <f t="shared" si="0"/>
        <v>135.83850324538528</v>
      </c>
      <c r="Q16" s="718">
        <f t="shared" si="0"/>
        <v>431.36969868736554</v>
      </c>
      <c r="R16" s="718">
        <f t="shared" ca="1" si="0"/>
        <v>66954.464682535545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9.0310321891748071</v>
      </c>
      <c r="D19" s="682">
        <f>transport!C54</f>
        <v>0</v>
      </c>
      <c r="E19" s="682">
        <f>transport!D54</f>
        <v>0</v>
      </c>
      <c r="F19" s="682">
        <f>transport!E54</f>
        <v>0</v>
      </c>
      <c r="G19" s="682">
        <f>transport!F54</f>
        <v>0</v>
      </c>
      <c r="H19" s="682">
        <f>transport!G54</f>
        <v>644.61879686311852</v>
      </c>
      <c r="I19" s="682">
        <f>transport!H54</f>
        <v>0</v>
      </c>
      <c r="J19" s="682">
        <f>transport!I54</f>
        <v>0</v>
      </c>
      <c r="K19" s="682">
        <f>transport!J54</f>
        <v>0</v>
      </c>
      <c r="L19" s="682">
        <f>transport!K54</f>
        <v>0</v>
      </c>
      <c r="M19" s="682">
        <f>transport!L54</f>
        <v>0</v>
      </c>
      <c r="N19" s="682">
        <f>transport!M54</f>
        <v>35.594943530466082</v>
      </c>
      <c r="O19" s="682">
        <f>transport!N54</f>
        <v>0</v>
      </c>
      <c r="P19" s="682">
        <f>transport!O54</f>
        <v>0</v>
      </c>
      <c r="Q19" s="683">
        <f>transport!P54</f>
        <v>0</v>
      </c>
      <c r="R19" s="685">
        <f>SUM(C19:Q19)</f>
        <v>689.24477258275942</v>
      </c>
      <c r="S19" s="67"/>
    </row>
    <row r="20" spans="1:19" s="445" customFormat="1">
      <c r="A20" s="803" t="s">
        <v>302</v>
      </c>
      <c r="B20" s="808"/>
      <c r="C20" s="682">
        <f>transport!B14</f>
        <v>121.05406468831488</v>
      </c>
      <c r="D20" s="682">
        <f>transport!C14</f>
        <v>0</v>
      </c>
      <c r="E20" s="682">
        <f>transport!D14</f>
        <v>214.35405113561981</v>
      </c>
      <c r="F20" s="682">
        <f>transport!E14</f>
        <v>127.53474518887823</v>
      </c>
      <c r="G20" s="682">
        <f>transport!F14</f>
        <v>0</v>
      </c>
      <c r="H20" s="682">
        <f>transport!G14</f>
        <v>68178.763224097595</v>
      </c>
      <c r="I20" s="682">
        <f>transport!H14</f>
        <v>13239.79815482776</v>
      </c>
      <c r="J20" s="682">
        <f>transport!I14</f>
        <v>0</v>
      </c>
      <c r="K20" s="682">
        <f>transport!J14</f>
        <v>0</v>
      </c>
      <c r="L20" s="682">
        <f>transport!K14</f>
        <v>0</v>
      </c>
      <c r="M20" s="682">
        <f>transport!L14</f>
        <v>0</v>
      </c>
      <c r="N20" s="682">
        <f>transport!M14</f>
        <v>4758.9350386407486</v>
      </c>
      <c r="O20" s="682">
        <f>transport!N14</f>
        <v>0</v>
      </c>
      <c r="P20" s="682">
        <f>transport!O14</f>
        <v>0</v>
      </c>
      <c r="Q20" s="683">
        <f>transport!P14</f>
        <v>0</v>
      </c>
      <c r="R20" s="685">
        <f>SUM(C20:Q20)</f>
        <v>86640.43927857891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130.08509687748969</v>
      </c>
      <c r="D22" s="806">
        <f t="shared" ref="D22:R22" si="1">SUM(D18:D21)</f>
        <v>0</v>
      </c>
      <c r="E22" s="806">
        <f t="shared" si="1"/>
        <v>214.35405113561981</v>
      </c>
      <c r="F22" s="806">
        <f t="shared" si="1"/>
        <v>127.53474518887823</v>
      </c>
      <c r="G22" s="806">
        <f t="shared" si="1"/>
        <v>0</v>
      </c>
      <c r="H22" s="806">
        <f t="shared" si="1"/>
        <v>68823.382020960707</v>
      </c>
      <c r="I22" s="806">
        <f t="shared" si="1"/>
        <v>13239.79815482776</v>
      </c>
      <c r="J22" s="806">
        <f t="shared" si="1"/>
        <v>0</v>
      </c>
      <c r="K22" s="806">
        <f t="shared" si="1"/>
        <v>0</v>
      </c>
      <c r="L22" s="806">
        <f t="shared" si="1"/>
        <v>0</v>
      </c>
      <c r="M22" s="806">
        <f t="shared" si="1"/>
        <v>0</v>
      </c>
      <c r="N22" s="806">
        <f t="shared" si="1"/>
        <v>4794.5299821712151</v>
      </c>
      <c r="O22" s="806">
        <f t="shared" si="1"/>
        <v>0</v>
      </c>
      <c r="P22" s="806">
        <f t="shared" si="1"/>
        <v>0</v>
      </c>
      <c r="Q22" s="806">
        <f t="shared" si="1"/>
        <v>0</v>
      </c>
      <c r="R22" s="806">
        <f t="shared" si="1"/>
        <v>87329.684051161676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2503.1250428169901</v>
      </c>
      <c r="D24" s="682">
        <f>+landbouw!C8</f>
        <v>0</v>
      </c>
      <c r="E24" s="682">
        <f>+landbouw!D8</f>
        <v>7350.5935942581618</v>
      </c>
      <c r="F24" s="682">
        <f>+landbouw!E8</f>
        <v>93.349189359968193</v>
      </c>
      <c r="G24" s="682">
        <f>+landbouw!F8</f>
        <v>8121.1048844886091</v>
      </c>
      <c r="H24" s="682">
        <f>+landbouw!G8</f>
        <v>0</v>
      </c>
      <c r="I24" s="682">
        <f>+landbouw!H8</f>
        <v>0</v>
      </c>
      <c r="J24" s="682">
        <f>+landbouw!I8</f>
        <v>0</v>
      </c>
      <c r="K24" s="682">
        <f>+landbouw!J8</f>
        <v>657.08268143534008</v>
      </c>
      <c r="L24" s="682">
        <f>+landbouw!K8</f>
        <v>0</v>
      </c>
      <c r="M24" s="682">
        <f>+landbouw!L8</f>
        <v>0</v>
      </c>
      <c r="N24" s="682">
        <f>+landbouw!M8</f>
        <v>0</v>
      </c>
      <c r="O24" s="682">
        <f>+landbouw!N8</f>
        <v>0</v>
      </c>
      <c r="P24" s="682">
        <f>+landbouw!O8</f>
        <v>0</v>
      </c>
      <c r="Q24" s="683">
        <f>+landbouw!P8</f>
        <v>0</v>
      </c>
      <c r="R24" s="685">
        <f>SUM(C24:Q24)</f>
        <v>18725.255392359068</v>
      </c>
      <c r="S24" s="67"/>
    </row>
    <row r="25" spans="1:19" s="445" customFormat="1" ht="15" thickBot="1">
      <c r="A25" s="825" t="s">
        <v>703</v>
      </c>
      <c r="B25" s="938"/>
      <c r="C25" s="939">
        <f>IF(Onbekend_ele_kWh="---",0,Onbekend_ele_kWh)/1000+IF(REST_rest_ele_kWh="---",0,REST_rest_ele_kWh)/1000</f>
        <v>223.202877113216</v>
      </c>
      <c r="D25" s="939"/>
      <c r="E25" s="939">
        <f>IF(onbekend_gas_kWh="---",0,onbekend_gas_kWh)/1000+IF(REST_rest_gas_kWh="---",0,REST_rest_gas_kWh)/1000</f>
        <v>496.23634282252101</v>
      </c>
      <c r="F25" s="939"/>
      <c r="G25" s="939"/>
      <c r="H25" s="939"/>
      <c r="I25" s="939"/>
      <c r="J25" s="939"/>
      <c r="K25" s="939"/>
      <c r="L25" s="939"/>
      <c r="M25" s="939"/>
      <c r="N25" s="939"/>
      <c r="O25" s="939"/>
      <c r="P25" s="939"/>
      <c r="Q25" s="940"/>
      <c r="R25" s="685">
        <f>SUM(C25:Q25)</f>
        <v>719.43921993573701</v>
      </c>
      <c r="S25" s="67"/>
    </row>
    <row r="26" spans="1:19" s="445" customFormat="1" ht="15.75" thickBot="1">
      <c r="A26" s="690" t="s">
        <v>704</v>
      </c>
      <c r="B26" s="811"/>
      <c r="C26" s="806">
        <f>SUM(C24:C25)</f>
        <v>2726.327919930206</v>
      </c>
      <c r="D26" s="806">
        <f t="shared" ref="D26:R26" si="2">SUM(D24:D25)</f>
        <v>0</v>
      </c>
      <c r="E26" s="806">
        <f t="shared" si="2"/>
        <v>7846.8299370806826</v>
      </c>
      <c r="F26" s="806">
        <f t="shared" si="2"/>
        <v>93.349189359968193</v>
      </c>
      <c r="G26" s="806">
        <f t="shared" si="2"/>
        <v>8121.1048844886091</v>
      </c>
      <c r="H26" s="806">
        <f t="shared" si="2"/>
        <v>0</v>
      </c>
      <c r="I26" s="806">
        <f t="shared" si="2"/>
        <v>0</v>
      </c>
      <c r="J26" s="806">
        <f t="shared" si="2"/>
        <v>0</v>
      </c>
      <c r="K26" s="806">
        <f t="shared" si="2"/>
        <v>657.08268143534008</v>
      </c>
      <c r="L26" s="806">
        <f t="shared" si="2"/>
        <v>0</v>
      </c>
      <c r="M26" s="806">
        <f t="shared" si="2"/>
        <v>0</v>
      </c>
      <c r="N26" s="806">
        <f t="shared" si="2"/>
        <v>0</v>
      </c>
      <c r="O26" s="806">
        <f t="shared" si="2"/>
        <v>0</v>
      </c>
      <c r="P26" s="806">
        <f t="shared" si="2"/>
        <v>0</v>
      </c>
      <c r="Q26" s="806">
        <f t="shared" si="2"/>
        <v>0</v>
      </c>
      <c r="R26" s="806">
        <f t="shared" si="2"/>
        <v>19444.694612294803</v>
      </c>
      <c r="S26" s="67"/>
    </row>
    <row r="27" spans="1:19" s="445" customFormat="1" ht="17.25" thickTop="1" thickBot="1">
      <c r="A27" s="691" t="s">
        <v>115</v>
      </c>
      <c r="B27" s="798"/>
      <c r="C27" s="692">
        <f ca="1">C22+C16+C26</f>
        <v>21200.021464562276</v>
      </c>
      <c r="D27" s="692">
        <f t="shared" ref="D27:R27" ca="1" si="3">D22+D16+D26</f>
        <v>0</v>
      </c>
      <c r="E27" s="692">
        <f t="shared" ca="1" si="3"/>
        <v>34093.011988673148</v>
      </c>
      <c r="F27" s="692">
        <f t="shared" si="3"/>
        <v>929.06238573253063</v>
      </c>
      <c r="G27" s="692">
        <f t="shared" ca="1" si="3"/>
        <v>25021.495828241368</v>
      </c>
      <c r="H27" s="692">
        <f t="shared" si="3"/>
        <v>68823.382020960707</v>
      </c>
      <c r="I27" s="692">
        <f t="shared" si="3"/>
        <v>13239.79815482776</v>
      </c>
      <c r="J27" s="692">
        <f t="shared" si="3"/>
        <v>0</v>
      </c>
      <c r="K27" s="692">
        <f t="shared" si="3"/>
        <v>734.06634681744208</v>
      </c>
      <c r="L27" s="692">
        <f t="shared" si="3"/>
        <v>0</v>
      </c>
      <c r="M27" s="692">
        <f t="shared" ca="1" si="3"/>
        <v>0</v>
      </c>
      <c r="N27" s="692">
        <f t="shared" si="3"/>
        <v>4794.5299821712151</v>
      </c>
      <c r="O27" s="692">
        <f t="shared" ca="1" si="3"/>
        <v>4326.2669720728163</v>
      </c>
      <c r="P27" s="692">
        <f t="shared" si="3"/>
        <v>135.83850324538528</v>
      </c>
      <c r="Q27" s="692">
        <f t="shared" si="3"/>
        <v>431.36969868736554</v>
      </c>
      <c r="R27" s="692">
        <f t="shared" ca="1" si="3"/>
        <v>173728.84334599203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1144.8227505562261</v>
      </c>
      <c r="D40" s="682">
        <f ca="1">tertiair!C20</f>
        <v>0</v>
      </c>
      <c r="E40" s="682">
        <f ca="1">tertiair!D20</f>
        <v>850.08013704490156</v>
      </c>
      <c r="F40" s="682">
        <f>tertiair!E20</f>
        <v>6.7670082946833698</v>
      </c>
      <c r="G40" s="682">
        <f ca="1">tertiair!F20</f>
        <v>356.36677624618738</v>
      </c>
      <c r="H40" s="682">
        <f>tertiair!G20</f>
        <v>0</v>
      </c>
      <c r="I40" s="682">
        <f>tertiair!H20</f>
        <v>0</v>
      </c>
      <c r="J40" s="682">
        <f>tertiair!I20</f>
        <v>0</v>
      </c>
      <c r="K40" s="682">
        <f>tertiair!J20</f>
        <v>5.860436706004328E-3</v>
      </c>
      <c r="L40" s="682">
        <f>tertiair!K20</f>
        <v>0</v>
      </c>
      <c r="M40" s="682">
        <f ca="1">tertiair!L20</f>
        <v>0</v>
      </c>
      <c r="N40" s="682">
        <f>tertiair!M20</f>
        <v>0</v>
      </c>
      <c r="O40" s="682">
        <f ca="1">tertiair!N20</f>
        <v>0</v>
      </c>
      <c r="P40" s="682">
        <f>tertiair!O20</f>
        <v>0</v>
      </c>
      <c r="Q40" s="765">
        <f>tertiair!P20</f>
        <v>0</v>
      </c>
      <c r="R40" s="844">
        <f t="shared" ca="1" si="4"/>
        <v>2358.0425325787041</v>
      </c>
    </row>
    <row r="41" spans="1:18">
      <c r="A41" s="816" t="s">
        <v>220</v>
      </c>
      <c r="B41" s="823"/>
      <c r="C41" s="682">
        <f ca="1">huishoudens!B12</f>
        <v>2373.6975626276521</v>
      </c>
      <c r="D41" s="682">
        <f ca="1">huishoudens!C12</f>
        <v>0</v>
      </c>
      <c r="E41" s="682">
        <f>huishoudens!D12</f>
        <v>4352.8510500975208</v>
      </c>
      <c r="F41" s="682">
        <f>huishoudens!E12</f>
        <v>153.67302528711338</v>
      </c>
      <c r="G41" s="682">
        <f>huishoudens!F12</f>
        <v>4105.5787220035072</v>
      </c>
      <c r="H41" s="682">
        <f>huishoudens!G12</f>
        <v>0</v>
      </c>
      <c r="I41" s="682">
        <f>huishoudens!H12</f>
        <v>0</v>
      </c>
      <c r="J41" s="682">
        <f>huishoudens!I12</f>
        <v>0</v>
      </c>
      <c r="K41" s="682">
        <f>huishoudens!J12</f>
        <v>27.232169475861621</v>
      </c>
      <c r="L41" s="682">
        <f>huishoudens!K12</f>
        <v>0</v>
      </c>
      <c r="M41" s="682">
        <f>huishoudens!L12</f>
        <v>0</v>
      </c>
      <c r="N41" s="682">
        <f>huishoudens!M12</f>
        <v>0</v>
      </c>
      <c r="O41" s="682">
        <f>huishoudens!N12</f>
        <v>0</v>
      </c>
      <c r="P41" s="682">
        <f>huishoudens!O12</f>
        <v>0</v>
      </c>
      <c r="Q41" s="765">
        <f>huishoudens!P12</f>
        <v>0</v>
      </c>
      <c r="R41" s="844">
        <f t="shared" ca="1" si="4"/>
        <v>11013.032529491655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94.107978683326607</v>
      </c>
      <c r="D43" s="682">
        <f ca="1">industrie!C22</f>
        <v>0</v>
      </c>
      <c r="E43" s="682">
        <f>industrie!D22</f>
        <v>55.498068949861157</v>
      </c>
      <c r="F43" s="682">
        <f>industrie!E22</f>
        <v>0.31647483689956213</v>
      </c>
      <c r="G43" s="682">
        <f>industrie!F22</f>
        <v>50.458883732292207</v>
      </c>
      <c r="H43" s="682">
        <f>industrie!G22</f>
        <v>0</v>
      </c>
      <c r="I43" s="682">
        <f>industrie!H22</f>
        <v>0</v>
      </c>
      <c r="J43" s="682">
        <f>industrie!I22</f>
        <v>0</v>
      </c>
      <c r="K43" s="682">
        <f>industrie!J22</f>
        <v>1.4187632696485784E-2</v>
      </c>
      <c r="L43" s="682">
        <f>industrie!K22</f>
        <v>0</v>
      </c>
      <c r="M43" s="682">
        <f>industrie!L22</f>
        <v>0</v>
      </c>
      <c r="N43" s="682">
        <f>industrie!M22</f>
        <v>0</v>
      </c>
      <c r="O43" s="682">
        <f>industrie!N22</f>
        <v>0</v>
      </c>
      <c r="P43" s="682">
        <f>industrie!O22</f>
        <v>0</v>
      </c>
      <c r="Q43" s="765">
        <f>industrie!P22</f>
        <v>0</v>
      </c>
      <c r="R43" s="843">
        <f t="shared" ca="1" si="4"/>
        <v>200.39559383507603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3612.6282918672046</v>
      </c>
      <c r="D46" s="718">
        <f t="shared" ref="D46:Q46" ca="1" si="5">SUM(D39:D45)</f>
        <v>0</v>
      </c>
      <c r="E46" s="718">
        <f t="shared" ca="1" si="5"/>
        <v>5258.429256092284</v>
      </c>
      <c r="F46" s="718">
        <f t="shared" si="5"/>
        <v>160.75650841869631</v>
      </c>
      <c r="G46" s="718">
        <f t="shared" ca="1" si="5"/>
        <v>4512.4043819819872</v>
      </c>
      <c r="H46" s="718">
        <f t="shared" si="5"/>
        <v>0</v>
      </c>
      <c r="I46" s="718">
        <f t="shared" si="5"/>
        <v>0</v>
      </c>
      <c r="J46" s="718">
        <f t="shared" si="5"/>
        <v>0</v>
      </c>
      <c r="K46" s="718">
        <f t="shared" si="5"/>
        <v>27.252217545264113</v>
      </c>
      <c r="L46" s="718">
        <f t="shared" si="5"/>
        <v>0</v>
      </c>
      <c r="M46" s="718">
        <f t="shared" ca="1" si="5"/>
        <v>0</v>
      </c>
      <c r="N46" s="718">
        <f t="shared" si="5"/>
        <v>0</v>
      </c>
      <c r="O46" s="718">
        <f t="shared" ca="1" si="5"/>
        <v>0</v>
      </c>
      <c r="P46" s="718">
        <f t="shared" si="5"/>
        <v>0</v>
      </c>
      <c r="Q46" s="718">
        <f t="shared" si="5"/>
        <v>0</v>
      </c>
      <c r="R46" s="718">
        <f ca="1">SUM(R39:R45)</f>
        <v>13571.470655905434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1.7785902094617598</v>
      </c>
      <c r="D49" s="682">
        <f ca="1">transport!C58</f>
        <v>0</v>
      </c>
      <c r="E49" s="682">
        <f>transport!D58</f>
        <v>0</v>
      </c>
      <c r="F49" s="682">
        <f>transport!E58</f>
        <v>0</v>
      </c>
      <c r="G49" s="682">
        <f>transport!F58</f>
        <v>0</v>
      </c>
      <c r="H49" s="682">
        <f>transport!G58</f>
        <v>172.11321876245265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173.8918089719144</v>
      </c>
    </row>
    <row r="50" spans="1:18">
      <c r="A50" s="819" t="s">
        <v>302</v>
      </c>
      <c r="B50" s="829"/>
      <c r="C50" s="688">
        <f ca="1">transport!B18</f>
        <v>23.840638562695737</v>
      </c>
      <c r="D50" s="688">
        <f>transport!C18</f>
        <v>0</v>
      </c>
      <c r="E50" s="688">
        <f>transport!D18</f>
        <v>43.299518329395205</v>
      </c>
      <c r="F50" s="688">
        <f>transport!E18</f>
        <v>28.950387157875358</v>
      </c>
      <c r="G50" s="688">
        <f>transport!F18</f>
        <v>0</v>
      </c>
      <c r="H50" s="688">
        <f>transport!G18</f>
        <v>18203.729780834059</v>
      </c>
      <c r="I50" s="688">
        <f>transport!H18</f>
        <v>3296.7097405521122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21596.530065436138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25.619228772157498</v>
      </c>
      <c r="D52" s="718">
        <f t="shared" ref="D52:Q52" ca="1" si="6">SUM(D48:D51)</f>
        <v>0</v>
      </c>
      <c r="E52" s="718">
        <f t="shared" si="6"/>
        <v>43.299518329395205</v>
      </c>
      <c r="F52" s="718">
        <f t="shared" si="6"/>
        <v>28.950387157875358</v>
      </c>
      <c r="G52" s="718">
        <f t="shared" si="6"/>
        <v>0</v>
      </c>
      <c r="H52" s="718">
        <f t="shared" si="6"/>
        <v>18375.842999596513</v>
      </c>
      <c r="I52" s="718">
        <f t="shared" si="6"/>
        <v>3296.7097405521122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21770.421874408054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492.97063734855794</v>
      </c>
      <c r="D54" s="688">
        <f ca="1">+landbouw!C12</f>
        <v>0</v>
      </c>
      <c r="E54" s="688">
        <f>+landbouw!D12</f>
        <v>1484.8199060401487</v>
      </c>
      <c r="F54" s="688">
        <f>+landbouw!E12</f>
        <v>21.190265984712781</v>
      </c>
      <c r="G54" s="688">
        <f>+landbouw!F12</f>
        <v>2168.3350041584586</v>
      </c>
      <c r="H54" s="688">
        <f>+landbouw!G12</f>
        <v>0</v>
      </c>
      <c r="I54" s="688">
        <f>+landbouw!H12</f>
        <v>0</v>
      </c>
      <c r="J54" s="688">
        <f>+landbouw!I12</f>
        <v>0</v>
      </c>
      <c r="K54" s="688">
        <f>+landbouw!J12</f>
        <v>232.60726922811037</v>
      </c>
      <c r="L54" s="688">
        <f>+landbouw!K12</f>
        <v>0</v>
      </c>
      <c r="M54" s="688">
        <f>+landbouw!L12</f>
        <v>0</v>
      </c>
      <c r="N54" s="688">
        <f>+landbouw!M12</f>
        <v>0</v>
      </c>
      <c r="O54" s="688">
        <f>+landbouw!N12</f>
        <v>0</v>
      </c>
      <c r="P54" s="688">
        <f>+landbouw!O12</f>
        <v>0</v>
      </c>
      <c r="Q54" s="689">
        <f>+landbouw!P12</f>
        <v>0</v>
      </c>
      <c r="R54" s="717">
        <f ca="1">SUM(C54:Q54)</f>
        <v>4399.9230827599886</v>
      </c>
    </row>
    <row r="55" spans="1:18" ht="15" thickBot="1">
      <c r="A55" s="819" t="s">
        <v>703</v>
      </c>
      <c r="B55" s="829"/>
      <c r="C55" s="688">
        <f ca="1">C25*'EF ele_warmte'!B12</f>
        <v>43.958037535633693</v>
      </c>
      <c r="D55" s="688"/>
      <c r="E55" s="688">
        <f>E25*EF_CO2_aardgas</f>
        <v>100.23974125014925</v>
      </c>
      <c r="F55" s="688"/>
      <c r="G55" s="688"/>
      <c r="H55" s="688"/>
      <c r="I55" s="688"/>
      <c r="J55" s="688"/>
      <c r="K55" s="688"/>
      <c r="L55" s="688"/>
      <c r="M55" s="688"/>
      <c r="N55" s="688"/>
      <c r="O55" s="688"/>
      <c r="P55" s="688"/>
      <c r="Q55" s="689"/>
      <c r="R55" s="717">
        <f ca="1">SUM(C55:Q55)</f>
        <v>144.19777878578293</v>
      </c>
    </row>
    <row r="56" spans="1:18" ht="15.75" thickBot="1">
      <c r="A56" s="817" t="s">
        <v>704</v>
      </c>
      <c r="B56" s="830"/>
      <c r="C56" s="718">
        <f ca="1">SUM(C54:C55)</f>
        <v>536.92867488419165</v>
      </c>
      <c r="D56" s="718">
        <f t="shared" ref="D56:Q56" ca="1" si="7">SUM(D54:D55)</f>
        <v>0</v>
      </c>
      <c r="E56" s="718">
        <f t="shared" si="7"/>
        <v>1585.059647290298</v>
      </c>
      <c r="F56" s="718">
        <f t="shared" si="7"/>
        <v>21.190265984712781</v>
      </c>
      <c r="G56" s="718">
        <f t="shared" si="7"/>
        <v>2168.3350041584586</v>
      </c>
      <c r="H56" s="718">
        <f t="shared" si="7"/>
        <v>0</v>
      </c>
      <c r="I56" s="718">
        <f t="shared" si="7"/>
        <v>0</v>
      </c>
      <c r="J56" s="718">
        <f t="shared" si="7"/>
        <v>0</v>
      </c>
      <c r="K56" s="718">
        <f t="shared" si="7"/>
        <v>232.60726922811037</v>
      </c>
      <c r="L56" s="718">
        <f t="shared" si="7"/>
        <v>0</v>
      </c>
      <c r="M56" s="718">
        <f t="shared" si="7"/>
        <v>0</v>
      </c>
      <c r="N56" s="718">
        <f t="shared" si="7"/>
        <v>0</v>
      </c>
      <c r="O56" s="718">
        <f t="shared" si="7"/>
        <v>0</v>
      </c>
      <c r="P56" s="718">
        <f t="shared" si="7"/>
        <v>0</v>
      </c>
      <c r="Q56" s="719">
        <f t="shared" si="7"/>
        <v>0</v>
      </c>
      <c r="R56" s="720">
        <f ca="1">SUM(R54:R55)</f>
        <v>4544.1208615457717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4175.1761955235534</v>
      </c>
      <c r="D61" s="726">
        <f t="shared" ref="D61:Q61" ca="1" si="8">D46+D52+D56</f>
        <v>0</v>
      </c>
      <c r="E61" s="726">
        <f t="shared" ca="1" si="8"/>
        <v>6886.7884217119772</v>
      </c>
      <c r="F61" s="726">
        <f t="shared" si="8"/>
        <v>210.89716156128446</v>
      </c>
      <c r="G61" s="726">
        <f t="shared" ca="1" si="8"/>
        <v>6680.7393861404453</v>
      </c>
      <c r="H61" s="726">
        <f t="shared" si="8"/>
        <v>18375.842999596513</v>
      </c>
      <c r="I61" s="726">
        <f t="shared" si="8"/>
        <v>3296.7097405521122</v>
      </c>
      <c r="J61" s="726">
        <f t="shared" si="8"/>
        <v>0</v>
      </c>
      <c r="K61" s="726">
        <f t="shared" si="8"/>
        <v>259.8594867733745</v>
      </c>
      <c r="L61" s="726">
        <f t="shared" si="8"/>
        <v>0</v>
      </c>
      <c r="M61" s="726">
        <f t="shared" ca="1" si="8"/>
        <v>0</v>
      </c>
      <c r="N61" s="726">
        <f t="shared" si="8"/>
        <v>0</v>
      </c>
      <c r="O61" s="726">
        <f t="shared" ca="1" si="8"/>
        <v>0</v>
      </c>
      <c r="P61" s="726">
        <f t="shared" si="8"/>
        <v>0</v>
      </c>
      <c r="Q61" s="726">
        <f t="shared" si="8"/>
        <v>0</v>
      </c>
      <c r="R61" s="726">
        <f ca="1">R46+R52+R56</f>
        <v>39886.013391859262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0.19694207397396896</v>
      </c>
      <c r="D63" s="772">
        <f t="shared" ca="1" si="9"/>
        <v>0</v>
      </c>
      <c r="E63" s="964">
        <f t="shared" ca="1" si="9"/>
        <v>0.20200000000000004</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2307.8214848176885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2307.8214848176885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12052.770211719198</v>
      </c>
      <c r="C4" s="449">
        <f>huishoudens!C8</f>
        <v>0</v>
      </c>
      <c r="D4" s="449">
        <f>huishoudens!D8</f>
        <v>21548.767574740203</v>
      </c>
      <c r="E4" s="449">
        <f>huishoudens!E8</f>
        <v>676.97367967891353</v>
      </c>
      <c r="F4" s="449">
        <f>huishoudens!F8</f>
        <v>15376.699333346469</v>
      </c>
      <c r="G4" s="449">
        <f>huishoudens!G8</f>
        <v>0</v>
      </c>
      <c r="H4" s="449">
        <f>huishoudens!H8</f>
        <v>0</v>
      </c>
      <c r="I4" s="449">
        <f>huishoudens!I8</f>
        <v>0</v>
      </c>
      <c r="J4" s="449">
        <f>huishoudens!J8</f>
        <v>76.927032417688196</v>
      </c>
      <c r="K4" s="449">
        <f>huishoudens!K8</f>
        <v>0</v>
      </c>
      <c r="L4" s="449">
        <f>huishoudens!L8</f>
        <v>0</v>
      </c>
      <c r="M4" s="449">
        <f>huishoudens!M8</f>
        <v>0</v>
      </c>
      <c r="N4" s="449">
        <f>huishoudens!N8</f>
        <v>3707.1585198730222</v>
      </c>
      <c r="O4" s="449">
        <f>huishoudens!O8</f>
        <v>130.94124247954412</v>
      </c>
      <c r="P4" s="450">
        <f>huishoudens!P8</f>
        <v>221.21314546138547</v>
      </c>
      <c r="Q4" s="451">
        <f>SUM(B4:P4)</f>
        <v>53791.450739716434</v>
      </c>
    </row>
    <row r="5" spans="1:17">
      <c r="A5" s="448" t="s">
        <v>155</v>
      </c>
      <c r="B5" s="449">
        <f ca="1">tertiair!B16</f>
        <v>5243.0652542988155</v>
      </c>
      <c r="C5" s="449">
        <f ca="1">tertiair!C16</f>
        <v>0</v>
      </c>
      <c r="D5" s="449">
        <f ca="1">tertiair!D16</f>
        <v>4208.3175101232746</v>
      </c>
      <c r="E5" s="449">
        <f>tertiair!E16</f>
        <v>29.810609227680043</v>
      </c>
      <c r="F5" s="449">
        <f ca="1">tertiair!F16</f>
        <v>1334.7070271392786</v>
      </c>
      <c r="G5" s="449">
        <f>tertiair!G16</f>
        <v>0</v>
      </c>
      <c r="H5" s="449">
        <f>tertiair!H16</f>
        <v>0</v>
      </c>
      <c r="I5" s="449">
        <f>tertiair!I16</f>
        <v>0</v>
      </c>
      <c r="J5" s="449">
        <f>tertiair!J16</f>
        <v>1.6554905949164769E-2</v>
      </c>
      <c r="K5" s="449">
        <f>tertiair!K16</f>
        <v>0</v>
      </c>
      <c r="L5" s="449">
        <f ca="1">tertiair!L16</f>
        <v>0</v>
      </c>
      <c r="M5" s="449">
        <f>tertiair!M16</f>
        <v>0</v>
      </c>
      <c r="N5" s="449">
        <f ca="1">tertiair!N16</f>
        <v>601.72115929276208</v>
      </c>
      <c r="O5" s="449">
        <f>tertiair!O16</f>
        <v>4.8972607658411542</v>
      </c>
      <c r="P5" s="450">
        <f>tertiair!P16</f>
        <v>210.15655322598008</v>
      </c>
      <c r="Q5" s="448">
        <f t="shared" ref="Q5:Q14" ca="1" si="0">SUM(B5:P5)</f>
        <v>11632.691928979581</v>
      </c>
    </row>
    <row r="6" spans="1:17">
      <c r="A6" s="448" t="s">
        <v>193</v>
      </c>
      <c r="B6" s="449">
        <f>'openbare verlichting'!B8</f>
        <v>569.92700000000002</v>
      </c>
      <c r="C6" s="449"/>
      <c r="D6" s="449"/>
      <c r="E6" s="449"/>
      <c r="F6" s="449"/>
      <c r="G6" s="449"/>
      <c r="H6" s="449"/>
      <c r="I6" s="449"/>
      <c r="J6" s="449"/>
      <c r="K6" s="449"/>
      <c r="L6" s="449"/>
      <c r="M6" s="449"/>
      <c r="N6" s="449"/>
      <c r="O6" s="449"/>
      <c r="P6" s="450"/>
      <c r="Q6" s="448">
        <f t="shared" si="0"/>
        <v>569.92700000000002</v>
      </c>
    </row>
    <row r="7" spans="1:17">
      <c r="A7" s="448" t="s">
        <v>111</v>
      </c>
      <c r="B7" s="449">
        <f>landbouw!B8</f>
        <v>2503.1250428169901</v>
      </c>
      <c r="C7" s="449">
        <f>landbouw!C8</f>
        <v>0</v>
      </c>
      <c r="D7" s="449">
        <f>landbouw!D8</f>
        <v>7350.5935942581618</v>
      </c>
      <c r="E7" s="449">
        <f>landbouw!E8</f>
        <v>93.349189359968193</v>
      </c>
      <c r="F7" s="449">
        <f>landbouw!F8</f>
        <v>8121.1048844886091</v>
      </c>
      <c r="G7" s="449">
        <f>landbouw!G8</f>
        <v>0</v>
      </c>
      <c r="H7" s="449">
        <f>landbouw!H8</f>
        <v>0</v>
      </c>
      <c r="I7" s="449">
        <f>landbouw!I8</f>
        <v>0</v>
      </c>
      <c r="J7" s="449">
        <f>landbouw!J8</f>
        <v>657.08268143534008</v>
      </c>
      <c r="K7" s="449">
        <f>landbouw!K8</f>
        <v>0</v>
      </c>
      <c r="L7" s="449">
        <f>landbouw!L8</f>
        <v>0</v>
      </c>
      <c r="M7" s="449">
        <f>landbouw!M8</f>
        <v>0</v>
      </c>
      <c r="N7" s="449">
        <f>landbouw!N8</f>
        <v>0</v>
      </c>
      <c r="O7" s="449">
        <f>landbouw!O8</f>
        <v>0</v>
      </c>
      <c r="P7" s="450">
        <f>landbouw!P8</f>
        <v>0</v>
      </c>
      <c r="Q7" s="448">
        <f t="shared" si="0"/>
        <v>18725.255392359068</v>
      </c>
    </row>
    <row r="8" spans="1:17">
      <c r="A8" s="448" t="s">
        <v>618</v>
      </c>
      <c r="B8" s="449">
        <f>industrie!B18</f>
        <v>477.84598173656593</v>
      </c>
      <c r="C8" s="449">
        <f>industrie!C18</f>
        <v>0</v>
      </c>
      <c r="D8" s="449">
        <f>industrie!D18</f>
        <v>274.74291559337206</v>
      </c>
      <c r="E8" s="449">
        <f>industrie!E18</f>
        <v>1.3941622770905819</v>
      </c>
      <c r="F8" s="449">
        <f>industrie!F18</f>
        <v>188.984583267012</v>
      </c>
      <c r="G8" s="449">
        <f>industrie!G18</f>
        <v>0</v>
      </c>
      <c r="H8" s="449">
        <f>industrie!H18</f>
        <v>0</v>
      </c>
      <c r="I8" s="449">
        <f>industrie!I18</f>
        <v>0</v>
      </c>
      <c r="J8" s="449">
        <f>industrie!J18</f>
        <v>4.0078058464649111E-2</v>
      </c>
      <c r="K8" s="449">
        <f>industrie!K18</f>
        <v>0</v>
      </c>
      <c r="L8" s="449">
        <f>industrie!L18</f>
        <v>0</v>
      </c>
      <c r="M8" s="449">
        <f>industrie!M18</f>
        <v>0</v>
      </c>
      <c r="N8" s="449">
        <f>industrie!N18</f>
        <v>17.387292907032133</v>
      </c>
      <c r="O8" s="449">
        <f>industrie!O18</f>
        <v>0</v>
      </c>
      <c r="P8" s="450">
        <f>industrie!P18</f>
        <v>0</v>
      </c>
      <c r="Q8" s="448">
        <f t="shared" si="0"/>
        <v>960.39501383953734</v>
      </c>
    </row>
    <row r="9" spans="1:17" s="454" customFormat="1">
      <c r="A9" s="452" t="s">
        <v>544</v>
      </c>
      <c r="B9" s="453">
        <f>transport!B14</f>
        <v>121.05406468831488</v>
      </c>
      <c r="C9" s="453">
        <f>transport!C14</f>
        <v>0</v>
      </c>
      <c r="D9" s="453">
        <f>transport!D14</f>
        <v>214.35405113561981</v>
      </c>
      <c r="E9" s="453">
        <f>transport!E14</f>
        <v>127.53474518887823</v>
      </c>
      <c r="F9" s="453">
        <f>transport!F14</f>
        <v>0</v>
      </c>
      <c r="G9" s="453">
        <f>transport!G14</f>
        <v>68178.763224097595</v>
      </c>
      <c r="H9" s="453">
        <f>transport!H14</f>
        <v>13239.79815482776</v>
      </c>
      <c r="I9" s="453">
        <f>transport!I14</f>
        <v>0</v>
      </c>
      <c r="J9" s="453">
        <f>transport!J14</f>
        <v>0</v>
      </c>
      <c r="K9" s="453">
        <f>transport!K14</f>
        <v>0</v>
      </c>
      <c r="L9" s="453">
        <f>transport!L14</f>
        <v>0</v>
      </c>
      <c r="M9" s="453">
        <f>transport!M14</f>
        <v>4758.9350386407486</v>
      </c>
      <c r="N9" s="453">
        <f>transport!N14</f>
        <v>0</v>
      </c>
      <c r="O9" s="453">
        <f>transport!O14</f>
        <v>0</v>
      </c>
      <c r="P9" s="453">
        <f>transport!P14</f>
        <v>0</v>
      </c>
      <c r="Q9" s="452">
        <f>SUM(B9:P9)</f>
        <v>86640.43927857891</v>
      </c>
    </row>
    <row r="10" spans="1:17">
      <c r="A10" s="448" t="s">
        <v>534</v>
      </c>
      <c r="B10" s="449">
        <f>transport!B54</f>
        <v>9.0310321891748071</v>
      </c>
      <c r="C10" s="449">
        <f>transport!C54</f>
        <v>0</v>
      </c>
      <c r="D10" s="449">
        <f>transport!D54</f>
        <v>0</v>
      </c>
      <c r="E10" s="449">
        <f>transport!E54</f>
        <v>0</v>
      </c>
      <c r="F10" s="449">
        <f>transport!F54</f>
        <v>0</v>
      </c>
      <c r="G10" s="449">
        <f>transport!G54</f>
        <v>644.61879686311852</v>
      </c>
      <c r="H10" s="449">
        <f>transport!H54</f>
        <v>0</v>
      </c>
      <c r="I10" s="449">
        <f>transport!I54</f>
        <v>0</v>
      </c>
      <c r="J10" s="449">
        <f>transport!J54</f>
        <v>0</v>
      </c>
      <c r="K10" s="449">
        <f>transport!K54</f>
        <v>0</v>
      </c>
      <c r="L10" s="449">
        <f>transport!L54</f>
        <v>0</v>
      </c>
      <c r="M10" s="449">
        <f>transport!M54</f>
        <v>35.594943530466082</v>
      </c>
      <c r="N10" s="449">
        <f>transport!N54</f>
        <v>0</v>
      </c>
      <c r="O10" s="449">
        <f>transport!O54</f>
        <v>0</v>
      </c>
      <c r="P10" s="450">
        <f>transport!P54</f>
        <v>0</v>
      </c>
      <c r="Q10" s="448">
        <f t="shared" si="0"/>
        <v>689.24477258275942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223.202877113216</v>
      </c>
      <c r="C14" s="456"/>
      <c r="D14" s="456">
        <f>'SEAP template'!E25</f>
        <v>496.23634282252101</v>
      </c>
      <c r="E14" s="456"/>
      <c r="F14" s="456"/>
      <c r="G14" s="456"/>
      <c r="H14" s="456"/>
      <c r="I14" s="456"/>
      <c r="J14" s="456"/>
      <c r="K14" s="456"/>
      <c r="L14" s="456"/>
      <c r="M14" s="456"/>
      <c r="N14" s="456"/>
      <c r="O14" s="456"/>
      <c r="P14" s="457"/>
      <c r="Q14" s="448">
        <f t="shared" si="0"/>
        <v>719.43921993573701</v>
      </c>
    </row>
    <row r="15" spans="1:17" s="460" customFormat="1">
      <c r="A15" s="458" t="s">
        <v>538</v>
      </c>
      <c r="B15" s="459">
        <f ca="1">SUM(B4:B14)</f>
        <v>21200.021464562276</v>
      </c>
      <c r="C15" s="459">
        <f t="shared" ref="C15:Q15" ca="1" si="1">SUM(C4:C14)</f>
        <v>0</v>
      </c>
      <c r="D15" s="459">
        <f t="shared" ca="1" si="1"/>
        <v>34093.011988673148</v>
      </c>
      <c r="E15" s="459">
        <f t="shared" si="1"/>
        <v>929.06238573253052</v>
      </c>
      <c r="F15" s="459">
        <f t="shared" ca="1" si="1"/>
        <v>25021.495828241368</v>
      </c>
      <c r="G15" s="459">
        <f t="shared" si="1"/>
        <v>68823.382020960707</v>
      </c>
      <c r="H15" s="459">
        <f t="shared" si="1"/>
        <v>13239.79815482776</v>
      </c>
      <c r="I15" s="459">
        <f t="shared" si="1"/>
        <v>0</v>
      </c>
      <c r="J15" s="459">
        <f t="shared" si="1"/>
        <v>734.0663468174422</v>
      </c>
      <c r="K15" s="459">
        <f t="shared" si="1"/>
        <v>0</v>
      </c>
      <c r="L15" s="459">
        <f t="shared" ca="1" si="1"/>
        <v>0</v>
      </c>
      <c r="M15" s="459">
        <f t="shared" si="1"/>
        <v>4794.5299821712151</v>
      </c>
      <c r="N15" s="459">
        <f t="shared" ca="1" si="1"/>
        <v>4326.2669720728163</v>
      </c>
      <c r="O15" s="459">
        <f t="shared" si="1"/>
        <v>135.83850324538528</v>
      </c>
      <c r="P15" s="459">
        <f t="shared" si="1"/>
        <v>431.36969868736554</v>
      </c>
      <c r="Q15" s="459">
        <f t="shared" ca="1" si="1"/>
        <v>173728.84334599201</v>
      </c>
    </row>
    <row r="17" spans="1:17">
      <c r="A17" s="461" t="s">
        <v>539</v>
      </c>
      <c r="B17" s="777">
        <f ca="1">huishoudens!B10</f>
        <v>0.19694207397396898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2373.6975626276521</v>
      </c>
      <c r="C22" s="449">
        <f t="shared" ref="C22:C32" ca="1" si="3">C4*$C$17</f>
        <v>0</v>
      </c>
      <c r="D22" s="449">
        <f t="shared" ref="D22:D32" si="4">D4*$D$17</f>
        <v>4352.8510500975208</v>
      </c>
      <c r="E22" s="449">
        <f t="shared" ref="E22:E32" si="5">E4*$E$17</f>
        <v>153.67302528711338</v>
      </c>
      <c r="F22" s="449">
        <f t="shared" ref="F22:F32" si="6">F4*$F$17</f>
        <v>4105.5787220035072</v>
      </c>
      <c r="G22" s="449">
        <f t="shared" ref="G22:G32" si="7">G4*$G$17</f>
        <v>0</v>
      </c>
      <c r="H22" s="449">
        <f t="shared" ref="H22:H32" si="8">H4*$H$17</f>
        <v>0</v>
      </c>
      <c r="I22" s="449">
        <f t="shared" ref="I22:I32" si="9">I4*$I$17</f>
        <v>0</v>
      </c>
      <c r="J22" s="449">
        <f t="shared" ref="J22:J32" si="10">J4*$J$17</f>
        <v>27.232169475861621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11013.032529491655</v>
      </c>
    </row>
    <row r="23" spans="1:17">
      <c r="A23" s="448" t="s">
        <v>155</v>
      </c>
      <c r="B23" s="449">
        <f t="shared" ca="1" si="2"/>
        <v>1032.5801451624639</v>
      </c>
      <c r="C23" s="449">
        <f t="shared" ca="1" si="3"/>
        <v>0</v>
      </c>
      <c r="D23" s="449">
        <f t="shared" ca="1" si="4"/>
        <v>850.08013704490156</v>
      </c>
      <c r="E23" s="449">
        <f t="shared" si="5"/>
        <v>6.7670082946833698</v>
      </c>
      <c r="F23" s="449">
        <f t="shared" ca="1" si="6"/>
        <v>356.36677624618738</v>
      </c>
      <c r="G23" s="449">
        <f t="shared" si="7"/>
        <v>0</v>
      </c>
      <c r="H23" s="449">
        <f t="shared" si="8"/>
        <v>0</v>
      </c>
      <c r="I23" s="449">
        <f t="shared" si="9"/>
        <v>0</v>
      </c>
      <c r="J23" s="449">
        <f t="shared" si="10"/>
        <v>5.860436706004328E-3</v>
      </c>
      <c r="K23" s="449">
        <f t="shared" si="11"/>
        <v>0</v>
      </c>
      <c r="L23" s="449">
        <f t="shared" ca="1" si="12"/>
        <v>0</v>
      </c>
      <c r="M23" s="449">
        <f t="shared" si="13"/>
        <v>0</v>
      </c>
      <c r="N23" s="449">
        <f t="shared" ca="1" si="14"/>
        <v>0</v>
      </c>
      <c r="O23" s="449">
        <f t="shared" si="15"/>
        <v>0</v>
      </c>
      <c r="P23" s="450">
        <f t="shared" si="16"/>
        <v>0</v>
      </c>
      <c r="Q23" s="448">
        <f t="shared" ref="Q23:Q31" ca="1" si="17">SUM(B23:P23)</f>
        <v>2245.7999271849421</v>
      </c>
    </row>
    <row r="24" spans="1:17">
      <c r="A24" s="448" t="s">
        <v>193</v>
      </c>
      <c r="B24" s="449">
        <f t="shared" ca="1" si="2"/>
        <v>112.24260539376222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112.24260539376222</v>
      </c>
    </row>
    <row r="25" spans="1:17">
      <c r="A25" s="448" t="s">
        <v>111</v>
      </c>
      <c r="B25" s="449">
        <f t="shared" ca="1" si="2"/>
        <v>492.97063734855794</v>
      </c>
      <c r="C25" s="449">
        <f t="shared" ca="1" si="3"/>
        <v>0</v>
      </c>
      <c r="D25" s="449">
        <f t="shared" si="4"/>
        <v>1484.8199060401487</v>
      </c>
      <c r="E25" s="449">
        <f t="shared" si="5"/>
        <v>21.190265984712781</v>
      </c>
      <c r="F25" s="449">
        <f t="shared" si="6"/>
        <v>2168.3350041584586</v>
      </c>
      <c r="G25" s="449">
        <f t="shared" si="7"/>
        <v>0</v>
      </c>
      <c r="H25" s="449">
        <f t="shared" si="8"/>
        <v>0</v>
      </c>
      <c r="I25" s="449">
        <f t="shared" si="9"/>
        <v>0</v>
      </c>
      <c r="J25" s="449">
        <f t="shared" si="10"/>
        <v>232.60726922811037</v>
      </c>
      <c r="K25" s="449">
        <f t="shared" si="11"/>
        <v>0</v>
      </c>
      <c r="L25" s="449">
        <f t="shared" si="12"/>
        <v>0</v>
      </c>
      <c r="M25" s="449">
        <f t="shared" si="13"/>
        <v>0</v>
      </c>
      <c r="N25" s="449">
        <f t="shared" si="14"/>
        <v>0</v>
      </c>
      <c r="O25" s="449">
        <f t="shared" si="15"/>
        <v>0</v>
      </c>
      <c r="P25" s="450">
        <f t="shared" si="16"/>
        <v>0</v>
      </c>
      <c r="Q25" s="448">
        <f t="shared" ca="1" si="17"/>
        <v>4399.9230827599886</v>
      </c>
    </row>
    <row r="26" spans="1:17">
      <c r="A26" s="448" t="s">
        <v>618</v>
      </c>
      <c r="B26" s="449">
        <f t="shared" ca="1" si="2"/>
        <v>94.107978683326607</v>
      </c>
      <c r="C26" s="449">
        <f t="shared" ca="1" si="3"/>
        <v>0</v>
      </c>
      <c r="D26" s="449">
        <f t="shared" si="4"/>
        <v>55.498068949861157</v>
      </c>
      <c r="E26" s="449">
        <f t="shared" si="5"/>
        <v>0.31647483689956213</v>
      </c>
      <c r="F26" s="449">
        <f t="shared" si="6"/>
        <v>50.458883732292207</v>
      </c>
      <c r="G26" s="449">
        <f t="shared" si="7"/>
        <v>0</v>
      </c>
      <c r="H26" s="449">
        <f t="shared" si="8"/>
        <v>0</v>
      </c>
      <c r="I26" s="449">
        <f t="shared" si="9"/>
        <v>0</v>
      </c>
      <c r="J26" s="449">
        <f t="shared" si="10"/>
        <v>1.4187632696485784E-2</v>
      </c>
      <c r="K26" s="449">
        <f t="shared" si="11"/>
        <v>0</v>
      </c>
      <c r="L26" s="449">
        <f t="shared" si="12"/>
        <v>0</v>
      </c>
      <c r="M26" s="449">
        <f t="shared" si="13"/>
        <v>0</v>
      </c>
      <c r="N26" s="449">
        <f t="shared" si="14"/>
        <v>0</v>
      </c>
      <c r="O26" s="449">
        <f t="shared" si="15"/>
        <v>0</v>
      </c>
      <c r="P26" s="450">
        <f t="shared" si="16"/>
        <v>0</v>
      </c>
      <c r="Q26" s="448">
        <f t="shared" ca="1" si="17"/>
        <v>200.39559383507603</v>
      </c>
    </row>
    <row r="27" spans="1:17" s="454" customFormat="1">
      <c r="A27" s="452" t="s">
        <v>544</v>
      </c>
      <c r="B27" s="771">
        <f t="shared" ca="1" si="2"/>
        <v>23.840638562695737</v>
      </c>
      <c r="C27" s="453">
        <f t="shared" ca="1" si="3"/>
        <v>0</v>
      </c>
      <c r="D27" s="453">
        <f t="shared" si="4"/>
        <v>43.299518329395205</v>
      </c>
      <c r="E27" s="453">
        <f t="shared" si="5"/>
        <v>28.950387157875358</v>
      </c>
      <c r="F27" s="453">
        <f t="shared" si="6"/>
        <v>0</v>
      </c>
      <c r="G27" s="453">
        <f t="shared" si="7"/>
        <v>18203.729780834059</v>
      </c>
      <c r="H27" s="453">
        <f t="shared" si="8"/>
        <v>3296.7097405521122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21596.530065436138</v>
      </c>
    </row>
    <row r="28" spans="1:17" ht="16.5" customHeight="1">
      <c r="A28" s="448" t="s">
        <v>534</v>
      </c>
      <c r="B28" s="449">
        <f t="shared" ca="1" si="2"/>
        <v>1.7785902094617598</v>
      </c>
      <c r="C28" s="449">
        <f t="shared" ca="1" si="3"/>
        <v>0</v>
      </c>
      <c r="D28" s="449">
        <f t="shared" si="4"/>
        <v>0</v>
      </c>
      <c r="E28" s="449">
        <f t="shared" si="5"/>
        <v>0</v>
      </c>
      <c r="F28" s="449">
        <f t="shared" si="6"/>
        <v>0</v>
      </c>
      <c r="G28" s="449">
        <f t="shared" si="7"/>
        <v>172.11321876245265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173.8918089719144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43.958037535633693</v>
      </c>
      <c r="C32" s="449">
        <f t="shared" ca="1" si="3"/>
        <v>0</v>
      </c>
      <c r="D32" s="449">
        <f t="shared" si="4"/>
        <v>100.23974125014925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144.19777878578293</v>
      </c>
    </row>
    <row r="33" spans="1:17" s="460" customFormat="1">
      <c r="A33" s="458" t="s">
        <v>538</v>
      </c>
      <c r="B33" s="459">
        <f ca="1">SUM(B22:B32)</f>
        <v>4175.1761955235543</v>
      </c>
      <c r="C33" s="459">
        <f t="shared" ref="C33:Q33" ca="1" si="19">SUM(C22:C32)</f>
        <v>0</v>
      </c>
      <c r="D33" s="459">
        <f t="shared" ca="1" si="19"/>
        <v>6886.7884217119772</v>
      </c>
      <c r="E33" s="459">
        <f t="shared" si="19"/>
        <v>210.89716156128443</v>
      </c>
      <c r="F33" s="459">
        <f t="shared" ca="1" si="19"/>
        <v>6680.7393861404462</v>
      </c>
      <c r="G33" s="459">
        <f t="shared" si="19"/>
        <v>18375.842999596513</v>
      </c>
      <c r="H33" s="459">
        <f t="shared" si="19"/>
        <v>3296.7097405521122</v>
      </c>
      <c r="I33" s="459">
        <f t="shared" si="19"/>
        <v>0</v>
      </c>
      <c r="J33" s="459">
        <f t="shared" si="19"/>
        <v>259.85948677337444</v>
      </c>
      <c r="K33" s="459">
        <f t="shared" si="19"/>
        <v>0</v>
      </c>
      <c r="L33" s="459">
        <f t="shared" ca="1" si="19"/>
        <v>0</v>
      </c>
      <c r="M33" s="459">
        <f t="shared" si="19"/>
        <v>0</v>
      </c>
      <c r="N33" s="459">
        <f t="shared" ca="1" si="19"/>
        <v>0</v>
      </c>
      <c r="O33" s="459">
        <f t="shared" si="19"/>
        <v>0</v>
      </c>
      <c r="P33" s="459">
        <f t="shared" si="19"/>
        <v>0</v>
      </c>
      <c r="Q33" s="459">
        <f t="shared" ca="1" si="19"/>
        <v>39886.013391859262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2307.8214848176885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2307.8214848176885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0.19694207397396898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0.19694207397396898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0.19694207397396898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0.19694207397396898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2709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2324.2199999999998</v>
      </c>
      <c r="C14" s="326"/>
      <c r="D14" s="326"/>
      <c r="E14" s="326"/>
      <c r="F14" s="326"/>
    </row>
    <row r="15" spans="1:6">
      <c r="A15" s="1307" t="s">
        <v>183</v>
      </c>
      <c r="B15" s="1308">
        <v>15</v>
      </c>
      <c r="C15" s="326"/>
      <c r="D15" s="326"/>
      <c r="E15" s="326"/>
      <c r="F15" s="326"/>
    </row>
    <row r="16" spans="1:6">
      <c r="A16" s="1307" t="s">
        <v>6</v>
      </c>
      <c r="B16" s="1308">
        <v>601</v>
      </c>
      <c r="C16" s="326"/>
      <c r="D16" s="326"/>
      <c r="E16" s="326"/>
      <c r="F16" s="326"/>
    </row>
    <row r="17" spans="1:6">
      <c r="A17" s="1307" t="s">
        <v>7</v>
      </c>
      <c r="B17" s="1308">
        <v>683</v>
      </c>
      <c r="C17" s="326"/>
      <c r="D17" s="326"/>
      <c r="E17" s="326"/>
      <c r="F17" s="326"/>
    </row>
    <row r="18" spans="1:6">
      <c r="A18" s="1307" t="s">
        <v>8</v>
      </c>
      <c r="B18" s="1308">
        <v>1127</v>
      </c>
      <c r="C18" s="326"/>
      <c r="D18" s="326"/>
      <c r="E18" s="326"/>
      <c r="F18" s="326"/>
    </row>
    <row r="19" spans="1:6">
      <c r="A19" s="1307" t="s">
        <v>9</v>
      </c>
      <c r="B19" s="1308">
        <v>1305</v>
      </c>
      <c r="C19" s="326"/>
      <c r="D19" s="326"/>
      <c r="E19" s="326"/>
      <c r="F19" s="326"/>
    </row>
    <row r="20" spans="1:6">
      <c r="A20" s="1307" t="s">
        <v>10</v>
      </c>
      <c r="B20" s="1308">
        <v>496</v>
      </c>
      <c r="C20" s="326"/>
      <c r="D20" s="326"/>
      <c r="E20" s="326"/>
      <c r="F20" s="326"/>
    </row>
    <row r="21" spans="1:6">
      <c r="A21" s="1307" t="s">
        <v>11</v>
      </c>
      <c r="B21" s="1308">
        <v>6585</v>
      </c>
      <c r="C21" s="326"/>
      <c r="D21" s="326"/>
      <c r="E21" s="326"/>
      <c r="F21" s="326"/>
    </row>
    <row r="22" spans="1:6">
      <c r="A22" s="1307" t="s">
        <v>12</v>
      </c>
      <c r="B22" s="1308">
        <v>10220</v>
      </c>
      <c r="C22" s="326"/>
      <c r="D22" s="326"/>
      <c r="E22" s="326"/>
      <c r="F22" s="326"/>
    </row>
    <row r="23" spans="1:6">
      <c r="A23" s="1307" t="s">
        <v>13</v>
      </c>
      <c r="B23" s="1308">
        <v>658</v>
      </c>
      <c r="C23" s="326"/>
      <c r="D23" s="326"/>
      <c r="E23" s="326"/>
      <c r="F23" s="326"/>
    </row>
    <row r="24" spans="1:6">
      <c r="A24" s="1307" t="s">
        <v>14</v>
      </c>
      <c r="B24" s="1308">
        <v>6</v>
      </c>
      <c r="C24" s="326"/>
      <c r="D24" s="326"/>
      <c r="E24" s="326"/>
      <c r="F24" s="326"/>
    </row>
    <row r="25" spans="1:6">
      <c r="A25" s="1307" t="s">
        <v>15</v>
      </c>
      <c r="B25" s="1308">
        <v>1342</v>
      </c>
      <c r="C25" s="326"/>
      <c r="D25" s="326"/>
      <c r="E25" s="326"/>
      <c r="F25" s="326"/>
    </row>
    <row r="26" spans="1:6">
      <c r="A26" s="1307" t="s">
        <v>16</v>
      </c>
      <c r="B26" s="1308">
        <v>41</v>
      </c>
      <c r="C26" s="326"/>
      <c r="D26" s="326"/>
      <c r="E26" s="326"/>
      <c r="F26" s="326"/>
    </row>
    <row r="27" spans="1:6">
      <c r="A27" s="1307" t="s">
        <v>17</v>
      </c>
      <c r="B27" s="1308">
        <v>1</v>
      </c>
      <c r="C27" s="326"/>
      <c r="D27" s="326"/>
      <c r="E27" s="326"/>
      <c r="F27" s="326"/>
    </row>
    <row r="28" spans="1:6" s="43" customFormat="1">
      <c r="A28" s="1309" t="s">
        <v>18</v>
      </c>
      <c r="B28" s="1310">
        <v>55370</v>
      </c>
      <c r="C28" s="332"/>
      <c r="D28" s="332"/>
      <c r="E28" s="332"/>
      <c r="F28" s="332"/>
    </row>
    <row r="29" spans="1:6">
      <c r="A29" s="1309" t="s">
        <v>688</v>
      </c>
      <c r="B29" s="1310">
        <v>153</v>
      </c>
      <c r="C29" s="332"/>
      <c r="D29" s="332"/>
      <c r="E29" s="332"/>
      <c r="F29" s="332"/>
    </row>
    <row r="30" spans="1:6">
      <c r="A30" s="1302" t="s">
        <v>689</v>
      </c>
      <c r="B30" s="1311">
        <v>44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1682</v>
      </c>
      <c r="D39" s="1308">
        <v>23863529.983100999</v>
      </c>
      <c r="E39" s="1308">
        <v>2605</v>
      </c>
      <c r="F39" s="1308">
        <v>10054237.2210549</v>
      </c>
    </row>
    <row r="40" spans="1:6">
      <c r="A40" s="1307" t="s">
        <v>29</v>
      </c>
      <c r="B40" s="1307" t="s">
        <v>28</v>
      </c>
      <c r="C40" s="1308">
        <v>0</v>
      </c>
      <c r="D40" s="1308">
        <v>0</v>
      </c>
      <c r="E40" s="1308">
        <v>0</v>
      </c>
      <c r="F40" s="1308">
        <v>0</v>
      </c>
    </row>
    <row r="41" spans="1:6">
      <c r="A41" s="1307" t="s">
        <v>31</v>
      </c>
      <c r="B41" s="1307" t="s">
        <v>32</v>
      </c>
      <c r="C41" s="1308">
        <v>13</v>
      </c>
      <c r="D41" s="1308">
        <v>213347.00382159499</v>
      </c>
      <c r="E41" s="1308">
        <v>46</v>
      </c>
      <c r="F41" s="1308">
        <v>300209.14178302698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4</v>
      </c>
      <c r="F44" s="1308">
        <v>43905.791047991399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9730.9932116418004</v>
      </c>
      <c r="E48" s="1308">
        <v>1</v>
      </c>
      <c r="F48" s="1308">
        <v>564.19102481560003</v>
      </c>
    </row>
    <row r="49" spans="1:6">
      <c r="A49" s="1307" t="s">
        <v>31</v>
      </c>
      <c r="B49" s="1307" t="s">
        <v>39</v>
      </c>
      <c r="C49" s="1308">
        <v>0</v>
      </c>
      <c r="D49" s="1308">
        <v>0</v>
      </c>
      <c r="E49" s="1308">
        <v>0</v>
      </c>
      <c r="F49" s="1308">
        <v>0</v>
      </c>
    </row>
    <row r="50" spans="1:6">
      <c r="A50" s="1307" t="s">
        <v>31</v>
      </c>
      <c r="B50" s="1307" t="s">
        <v>40</v>
      </c>
      <c r="C50" s="1308">
        <v>3</v>
      </c>
      <c r="D50" s="1308">
        <v>81177.723446688004</v>
      </c>
      <c r="E50" s="1308">
        <v>3</v>
      </c>
      <c r="F50" s="1308">
        <v>133166.85788073199</v>
      </c>
    </row>
    <row r="51" spans="1:6">
      <c r="A51" s="1307" t="s">
        <v>41</v>
      </c>
      <c r="B51" s="1307" t="s">
        <v>42</v>
      </c>
      <c r="C51" s="1308">
        <v>30</v>
      </c>
      <c r="D51" s="1308">
        <v>8140192.2417033901</v>
      </c>
      <c r="E51" s="1308">
        <v>93</v>
      </c>
      <c r="F51" s="1308">
        <v>2503125.0428169901</v>
      </c>
    </row>
    <row r="52" spans="1:6">
      <c r="A52" s="1307" t="s">
        <v>41</v>
      </c>
      <c r="B52" s="1307" t="s">
        <v>28</v>
      </c>
      <c r="C52" s="1308">
        <v>0</v>
      </c>
      <c r="D52" s="1308">
        <v>0</v>
      </c>
      <c r="E52" s="1308">
        <v>0</v>
      </c>
      <c r="F52" s="1308">
        <v>0</v>
      </c>
    </row>
    <row r="53" spans="1:6">
      <c r="A53" s="1307" t="s">
        <v>43</v>
      </c>
      <c r="B53" s="1307" t="s">
        <v>44</v>
      </c>
      <c r="C53" s="1308">
        <v>36</v>
      </c>
      <c r="D53" s="1308">
        <v>496236.34282252099</v>
      </c>
      <c r="E53" s="1308">
        <v>83</v>
      </c>
      <c r="F53" s="1308">
        <v>223202.877113216</v>
      </c>
    </row>
    <row r="54" spans="1:6">
      <c r="A54" s="1307" t="s">
        <v>45</v>
      </c>
      <c r="B54" s="1307" t="s">
        <v>46</v>
      </c>
      <c r="C54" s="1308">
        <v>0</v>
      </c>
      <c r="D54" s="1308">
        <v>0</v>
      </c>
      <c r="E54" s="1308">
        <v>1</v>
      </c>
      <c r="F54" s="1308">
        <v>569927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15</v>
      </c>
      <c r="D57" s="1308">
        <v>1036345.84091806</v>
      </c>
      <c r="E57" s="1308">
        <v>45</v>
      </c>
      <c r="F57" s="1308">
        <v>1676306.9567505999</v>
      </c>
    </row>
    <row r="58" spans="1:6">
      <c r="A58" s="1307" t="s">
        <v>48</v>
      </c>
      <c r="B58" s="1307" t="s">
        <v>50</v>
      </c>
      <c r="C58" s="1308">
        <v>8</v>
      </c>
      <c r="D58" s="1308">
        <v>154696.25452728101</v>
      </c>
      <c r="E58" s="1308">
        <v>16</v>
      </c>
      <c r="F58" s="1308">
        <v>234230.92929371601</v>
      </c>
    </row>
    <row r="59" spans="1:6">
      <c r="A59" s="1307" t="s">
        <v>48</v>
      </c>
      <c r="B59" s="1307" t="s">
        <v>51</v>
      </c>
      <c r="C59" s="1308">
        <v>20</v>
      </c>
      <c r="D59" s="1308">
        <v>520218.29489298601</v>
      </c>
      <c r="E59" s="1308">
        <v>53</v>
      </c>
      <c r="F59" s="1308">
        <v>1572836.53911056</v>
      </c>
    </row>
    <row r="60" spans="1:6">
      <c r="A60" s="1307" t="s">
        <v>48</v>
      </c>
      <c r="B60" s="1307" t="s">
        <v>52</v>
      </c>
      <c r="C60" s="1308">
        <v>14</v>
      </c>
      <c r="D60" s="1308">
        <v>826050.45234660699</v>
      </c>
      <c r="E60" s="1308">
        <v>28</v>
      </c>
      <c r="F60" s="1308">
        <v>466950.33729522402</v>
      </c>
    </row>
    <row r="61" spans="1:6">
      <c r="A61" s="1307" t="s">
        <v>48</v>
      </c>
      <c r="B61" s="1307" t="s">
        <v>53</v>
      </c>
      <c r="C61" s="1308">
        <v>46</v>
      </c>
      <c r="D61" s="1308">
        <v>1993040.5948111101</v>
      </c>
      <c r="E61" s="1308">
        <v>121</v>
      </c>
      <c r="F61" s="1308">
        <v>1145909.7012140499</v>
      </c>
    </row>
    <row r="62" spans="1:6">
      <c r="A62" s="1307" t="s">
        <v>48</v>
      </c>
      <c r="B62" s="1307" t="s">
        <v>54</v>
      </c>
      <c r="C62" s="1308">
        <v>4</v>
      </c>
      <c r="D62" s="1308">
        <v>130022.327867493</v>
      </c>
      <c r="E62" s="1308">
        <v>6</v>
      </c>
      <c r="F62" s="1308">
        <v>146830.790634665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4</v>
      </c>
      <c r="F66" s="1308">
        <v>130076.435416016</v>
      </c>
    </row>
    <row r="67" spans="1:6">
      <c r="A67" s="1309" t="s">
        <v>55</v>
      </c>
      <c r="B67" s="1309" t="s">
        <v>58</v>
      </c>
      <c r="C67" s="1308">
        <v>0</v>
      </c>
      <c r="D67" s="1308">
        <v>0</v>
      </c>
      <c r="E67" s="1308">
        <v>0</v>
      </c>
      <c r="F67" s="1308">
        <v>0</v>
      </c>
    </row>
    <row r="68" spans="1:6">
      <c r="A68" s="1302" t="s">
        <v>55</v>
      </c>
      <c r="B68" s="1302" t="s">
        <v>59</v>
      </c>
      <c r="C68" s="1311">
        <v>8</v>
      </c>
      <c r="D68" s="1311">
        <v>167169.05023888699</v>
      </c>
      <c r="E68" s="1311">
        <v>9</v>
      </c>
      <c r="F68" s="1311">
        <v>361787.51823445299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696591</v>
      </c>
      <c r="E73" s="447"/>
      <c r="F73" s="326"/>
    </row>
    <row r="74" spans="1:6">
      <c r="A74" s="1307" t="s">
        <v>63</v>
      </c>
      <c r="B74" s="1307" t="s">
        <v>639</v>
      </c>
      <c r="C74" s="1321" t="s">
        <v>641</v>
      </c>
      <c r="D74" s="1322">
        <v>3320</v>
      </c>
      <c r="E74" s="447"/>
      <c r="F74" s="326"/>
    </row>
    <row r="75" spans="1:6">
      <c r="A75" s="1307" t="s">
        <v>64</v>
      </c>
      <c r="B75" s="1307" t="s">
        <v>638</v>
      </c>
      <c r="C75" s="1321" t="s">
        <v>642</v>
      </c>
      <c r="D75" s="1322">
        <v>29347563</v>
      </c>
      <c r="E75" s="447"/>
      <c r="F75" s="326"/>
    </row>
    <row r="76" spans="1:6">
      <c r="A76" s="1307" t="s">
        <v>64</v>
      </c>
      <c r="B76" s="1307" t="s">
        <v>639</v>
      </c>
      <c r="C76" s="1321" t="s">
        <v>643</v>
      </c>
      <c r="D76" s="1322">
        <v>2293896.8682797323</v>
      </c>
      <c r="E76" s="447"/>
      <c r="F76" s="326"/>
    </row>
    <row r="77" spans="1:6">
      <c r="A77" s="1307" t="s">
        <v>65</v>
      </c>
      <c r="B77" s="1307" t="s">
        <v>638</v>
      </c>
      <c r="C77" s="1321" t="s">
        <v>644</v>
      </c>
      <c r="D77" s="1322">
        <v>38153801</v>
      </c>
      <c r="E77" s="447"/>
      <c r="F77" s="326"/>
    </row>
    <row r="78" spans="1:6">
      <c r="A78" s="1302" t="s">
        <v>65</v>
      </c>
      <c r="B78" s="1302" t="s">
        <v>639</v>
      </c>
      <c r="C78" s="1302" t="s">
        <v>645</v>
      </c>
      <c r="D78" s="1323">
        <v>10033614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190888.263440535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1998.5329906642974</v>
      </c>
      <c r="C91" s="326"/>
      <c r="D91" s="326"/>
      <c r="E91" s="326"/>
      <c r="F91" s="326"/>
    </row>
    <row r="92" spans="1:6">
      <c r="A92" s="1302" t="s">
        <v>68</v>
      </c>
      <c r="B92" s="1303">
        <v>309.28849415339118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597</v>
      </c>
      <c r="C97" s="326"/>
      <c r="D97" s="326"/>
      <c r="E97" s="326"/>
      <c r="F97" s="326"/>
    </row>
    <row r="98" spans="1:6">
      <c r="A98" s="1307" t="s">
        <v>71</v>
      </c>
      <c r="B98" s="1308">
        <v>0</v>
      </c>
      <c r="C98" s="326"/>
      <c r="D98" s="326"/>
      <c r="E98" s="326"/>
      <c r="F98" s="326"/>
    </row>
    <row r="99" spans="1:6">
      <c r="A99" s="1307" t="s">
        <v>72</v>
      </c>
      <c r="B99" s="1308">
        <v>68</v>
      </c>
      <c r="C99" s="326"/>
      <c r="D99" s="326"/>
      <c r="E99" s="326"/>
      <c r="F99" s="326"/>
    </row>
    <row r="100" spans="1:6">
      <c r="A100" s="1307" t="s">
        <v>73</v>
      </c>
      <c r="B100" s="1308">
        <v>283</v>
      </c>
      <c r="C100" s="326"/>
      <c r="D100" s="326"/>
      <c r="E100" s="326"/>
      <c r="F100" s="326"/>
    </row>
    <row r="101" spans="1:6">
      <c r="A101" s="1307" t="s">
        <v>74</v>
      </c>
      <c r="B101" s="1308">
        <v>56</v>
      </c>
      <c r="C101" s="326"/>
      <c r="D101" s="326"/>
      <c r="E101" s="326"/>
      <c r="F101" s="326"/>
    </row>
    <row r="102" spans="1:6">
      <c r="A102" s="1307" t="s">
        <v>75</v>
      </c>
      <c r="B102" s="1308">
        <v>62</v>
      </c>
      <c r="C102" s="326"/>
      <c r="D102" s="326"/>
      <c r="E102" s="326"/>
      <c r="F102" s="326"/>
    </row>
    <row r="103" spans="1:6">
      <c r="A103" s="1307" t="s">
        <v>76</v>
      </c>
      <c r="B103" s="1308">
        <v>168</v>
      </c>
      <c r="C103" s="326"/>
      <c r="D103" s="326"/>
      <c r="E103" s="326"/>
      <c r="F103" s="326"/>
    </row>
    <row r="104" spans="1:6">
      <c r="A104" s="1307" t="s">
        <v>77</v>
      </c>
      <c r="B104" s="1308">
        <v>1024</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9</v>
      </c>
      <c r="C123" s="1308">
        <v>11</v>
      </c>
      <c r="D123" s="326"/>
      <c r="E123" s="326"/>
      <c r="F123" s="326"/>
    </row>
    <row r="124" spans="1:6" s="43" customFormat="1">
      <c r="A124" s="1309" t="s">
        <v>88</v>
      </c>
      <c r="B124" s="1330">
        <v>1</v>
      </c>
      <c r="C124" s="1330">
        <v>0</v>
      </c>
      <c r="D124" s="332"/>
      <c r="E124" s="332"/>
      <c r="F124" s="332"/>
    </row>
    <row r="125" spans="1:6">
      <c r="A125" s="1302" t="s">
        <v>827</v>
      </c>
      <c r="B125" s="1330">
        <v>4</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55</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11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21200.021464562276</v>
      </c>
      <c r="C3" s="43" t="s">
        <v>169</v>
      </c>
      <c r="D3" s="43"/>
      <c r="E3" s="154"/>
      <c r="F3" s="43"/>
      <c r="G3" s="43"/>
      <c r="H3" s="43"/>
      <c r="I3" s="43"/>
      <c r="J3" s="43"/>
      <c r="K3" s="96"/>
    </row>
    <row r="4" spans="1:11">
      <c r="A4" s="354" t="s">
        <v>170</v>
      </c>
      <c r="B4" s="49">
        <f>IF(ISERROR('SEAP template'!B78+'SEAP template'!C78),0,'SEAP template'!B78+'SEAP template'!C78)</f>
        <v>2307.8214848176885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0.19694207397396898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569.92700000000002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569.92700000000002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0.19694207397396898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112.24260539376222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10054.2372210549</v>
      </c>
      <c r="C5" s="17">
        <f>IF(ISERROR('Eigen informatie GS &amp; warmtenet'!B59),0,'Eigen informatie GS &amp; warmtenet'!B59)</f>
        <v>0</v>
      </c>
      <c r="D5" s="30">
        <f>(SUM(HH_hh_gas_kWh,HH_rest_gas_kWh)/1000)*0.903</f>
        <v>21548.767574740203</v>
      </c>
      <c r="E5" s="17">
        <f>B32*B41</f>
        <v>676.97367967891353</v>
      </c>
      <c r="F5" s="17">
        <f>B36*B45</f>
        <v>15376.699333346469</v>
      </c>
      <c r="G5" s="18"/>
      <c r="H5" s="17"/>
      <c r="I5" s="17"/>
      <c r="J5" s="17">
        <f>B35*B44+C35*C44</f>
        <v>76.927032417688196</v>
      </c>
      <c r="K5" s="17"/>
      <c r="L5" s="17"/>
      <c r="M5" s="17"/>
      <c r="N5" s="17">
        <f>B34*B43+C34*C43</f>
        <v>3707.1585198730222</v>
      </c>
      <c r="O5" s="17">
        <f>B52*B53*B54</f>
        <v>130.94124247954412</v>
      </c>
      <c r="P5" s="17">
        <f>B60*B61*B62/1000-B60*B61*B62/1000/B63</f>
        <v>221.21314546138547</v>
      </c>
    </row>
    <row r="6" spans="1:16">
      <c r="A6" s="16" t="s">
        <v>604</v>
      </c>
      <c r="B6" s="779">
        <f>kWh_PV_kleiner_dan_10kW</f>
        <v>1998.5329906642974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12052.770211719198</v>
      </c>
      <c r="C8" s="21">
        <f>C5</f>
        <v>0</v>
      </c>
      <c r="D8" s="21">
        <f>D5</f>
        <v>21548.767574740203</v>
      </c>
      <c r="E8" s="21">
        <f>E5</f>
        <v>676.97367967891353</v>
      </c>
      <c r="F8" s="21">
        <f>F5</f>
        <v>15376.699333346469</v>
      </c>
      <c r="G8" s="21"/>
      <c r="H8" s="21"/>
      <c r="I8" s="21"/>
      <c r="J8" s="21">
        <f>J5</f>
        <v>76.927032417688196</v>
      </c>
      <c r="K8" s="21"/>
      <c r="L8" s="21">
        <f>L5</f>
        <v>0</v>
      </c>
      <c r="M8" s="21">
        <f>M5</f>
        <v>0</v>
      </c>
      <c r="N8" s="21">
        <f>N5</f>
        <v>3707.1585198730222</v>
      </c>
      <c r="O8" s="21">
        <f>O5</f>
        <v>130.94124247954412</v>
      </c>
      <c r="P8" s="21">
        <f>P5</f>
        <v>221.21314546138547</v>
      </c>
    </row>
    <row r="9" spans="1:16">
      <c r="B9" s="19"/>
      <c r="C9" s="19"/>
      <c r="D9" s="254"/>
      <c r="E9" s="19"/>
      <c r="F9" s="19"/>
      <c r="G9" s="19"/>
      <c r="H9" s="19"/>
      <c r="I9" s="19"/>
      <c r="J9" s="19"/>
      <c r="K9" s="19"/>
      <c r="L9" s="19"/>
      <c r="M9" s="19"/>
      <c r="N9" s="19"/>
      <c r="O9" s="19"/>
      <c r="P9" s="19"/>
    </row>
    <row r="10" spans="1:16">
      <c r="A10" s="24" t="s">
        <v>213</v>
      </c>
      <c r="B10" s="25">
        <f ca="1">'EF ele_warmte'!B12</f>
        <v>0.19694207397396898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2373.6975626276521</v>
      </c>
      <c r="C12" s="23">
        <f ca="1">C10*C8</f>
        <v>0</v>
      </c>
      <c r="D12" s="23">
        <f>D8*D10</f>
        <v>4352.8510500975208</v>
      </c>
      <c r="E12" s="23">
        <f>E10*E8</f>
        <v>153.67302528711338</v>
      </c>
      <c r="F12" s="23">
        <f>F10*F8</f>
        <v>4105.5787220035072</v>
      </c>
      <c r="G12" s="23"/>
      <c r="H12" s="23"/>
      <c r="I12" s="23"/>
      <c r="J12" s="23">
        <f>J10*J8</f>
        <v>27.232169475861621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2709</v>
      </c>
      <c r="C26" s="36"/>
      <c r="D26" s="225"/>
    </row>
    <row r="27" spans="1:5" s="15" customFormat="1">
      <c r="A27" s="227" t="s">
        <v>817</v>
      </c>
      <c r="B27" s="37">
        <f>SUM(HH_hh_gas_aantal,HH_rest_gas_aantal)</f>
        <v>1682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1597.9</v>
      </c>
      <c r="C31" s="34" t="s">
        <v>110</v>
      </c>
      <c r="D31" s="171"/>
    </row>
    <row r="32" spans="1:5">
      <c r="A32" s="168" t="s">
        <v>72</v>
      </c>
      <c r="B32" s="33">
        <f>IF((B21*($B$26-($B$27-0.05*$B$27)-$B$60))&lt;0,0,B21*($B$26-($B$27-0.05*$B$27)-$B$60))</f>
        <v>16.778120463844548</v>
      </c>
      <c r="C32" s="34" t="s">
        <v>110</v>
      </c>
      <c r="D32" s="171"/>
    </row>
    <row r="33" spans="1:6">
      <c r="A33" s="168" t="s">
        <v>73</v>
      </c>
      <c r="B33" s="33">
        <f>IF((B22*($B$26-($B$27-0.05*$B$27)-$B$60))&lt;0,0,B22*($B$26-($B$27-0.05*$B$27)-$B$60))</f>
        <v>272.4434469005343</v>
      </c>
      <c r="C33" s="34" t="s">
        <v>110</v>
      </c>
      <c r="D33" s="171"/>
    </row>
    <row r="34" spans="1:6">
      <c r="A34" s="168" t="s">
        <v>74</v>
      </c>
      <c r="B34" s="33">
        <f>IF((B24*($B$26-($B$27-0.05*$B$27)-$B$60))&lt;0,0,B24*($B$26-($B$27-0.05*$B$27)-$B$60))</f>
        <v>52.186042775467243</v>
      </c>
      <c r="C34" s="33">
        <f>B26*C24</f>
        <v>554.73249545683609</v>
      </c>
      <c r="D34" s="230"/>
    </row>
    <row r="35" spans="1:6">
      <c r="A35" s="168" t="s">
        <v>76</v>
      </c>
      <c r="B35" s="33">
        <f>IF((B19*($B$26-($B$27-0.05*$B$27)-$B$60))&lt;0,0,B19*($B$26-($B$27-0.05*$B$27)-$B$60))</f>
        <v>7.2934089654991805</v>
      </c>
      <c r="C35" s="33">
        <f>B35/2</f>
        <v>3.6467044827495902</v>
      </c>
      <c r="D35" s="230"/>
    </row>
    <row r="36" spans="1:6">
      <c r="A36" s="168" t="s">
        <v>77</v>
      </c>
      <c r="B36" s="33">
        <f>IF((B18*($B$26-($B$27-0.05*$B$27)-$B$60))&lt;0,0,B18*($B$26-($B$27-0.05*$B$27)-$B$60))</f>
        <v>741.3989808946543</v>
      </c>
      <c r="C36" s="34" t="s">
        <v>110</v>
      </c>
      <c r="D36" s="171"/>
    </row>
    <row r="37" spans="1:6">
      <c r="A37" s="168" t="s">
        <v>78</v>
      </c>
      <c r="B37" s="33">
        <f>B60</f>
        <v>21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5243.0652542988155</v>
      </c>
      <c r="C5" s="17">
        <f>IF(ISERROR('Eigen informatie GS &amp; warmtenet'!B60),0,'Eigen informatie GS &amp; warmtenet'!B60)</f>
        <v>0</v>
      </c>
      <c r="D5" s="30">
        <f>SUM(D6:D12)</f>
        <v>4208.3175101232746</v>
      </c>
      <c r="E5" s="17">
        <f>SUM(E6:E12)</f>
        <v>29.810609227680043</v>
      </c>
      <c r="F5" s="17">
        <f>SUM(F6:F12)</f>
        <v>1334.7070271392786</v>
      </c>
      <c r="G5" s="18"/>
      <c r="H5" s="17"/>
      <c r="I5" s="17"/>
      <c r="J5" s="17">
        <f>SUM(J6:J12)</f>
        <v>1.6554905949164769E-2</v>
      </c>
      <c r="K5" s="17"/>
      <c r="L5" s="17"/>
      <c r="M5" s="17"/>
      <c r="N5" s="17">
        <f>SUM(N6:N12)</f>
        <v>601.72115929276208</v>
      </c>
      <c r="O5" s="17">
        <f>B38*B39*B40</f>
        <v>4.8972607658411542</v>
      </c>
      <c r="P5" s="17">
        <f>B46*B47*B48/1000-B46*B47*B48/1000/B49</f>
        <v>210.15655322598008</v>
      </c>
      <c r="R5" s="32"/>
    </row>
    <row r="6" spans="1:18">
      <c r="A6" s="32" t="s">
        <v>53</v>
      </c>
      <c r="B6" s="37">
        <f>B26</f>
        <v>1145.9097012140498</v>
      </c>
      <c r="C6" s="33"/>
      <c r="D6" s="37">
        <f>IF(ISERROR(TER_kantoor_gas_kWh/1000),0,TER_kantoor_gas_kWh/1000)*0.903</f>
        <v>1799.7156571144326</v>
      </c>
      <c r="E6" s="33">
        <f>$C$26*'E Balans VL '!I12/100/3.6*1000000</f>
        <v>0.27453272657383837</v>
      </c>
      <c r="F6" s="33">
        <f>$C$26*('E Balans VL '!L12+'E Balans VL '!N12)/100/3.6*1000000</f>
        <v>108.66527105922937</v>
      </c>
      <c r="G6" s="34"/>
      <c r="H6" s="33"/>
      <c r="I6" s="33"/>
      <c r="J6" s="33">
        <f>$C$26*('E Balans VL '!D12+'E Balans VL '!E12)/100/3.6*1000000</f>
        <v>0</v>
      </c>
      <c r="K6" s="33"/>
      <c r="L6" s="33"/>
      <c r="M6" s="33"/>
      <c r="N6" s="33">
        <f>$C$26*'E Balans VL '!Y12/100/3.6*1000000</f>
        <v>0.58206285753190834</v>
      </c>
      <c r="O6" s="33"/>
      <c r="P6" s="33"/>
      <c r="R6" s="32"/>
    </row>
    <row r="7" spans="1:18">
      <c r="A7" s="32" t="s">
        <v>52</v>
      </c>
      <c r="B7" s="37">
        <f t="shared" ref="B7:B12" si="0">B27</f>
        <v>466.95033729522402</v>
      </c>
      <c r="C7" s="33"/>
      <c r="D7" s="37">
        <f>IF(ISERROR(TER_horeca_gas_kWh/1000),0,TER_horeca_gas_kWh/1000)*0.903</f>
        <v>745.92355846898613</v>
      </c>
      <c r="E7" s="33">
        <f>$C$27*'E Balans VL '!I9/100/3.6*1000000</f>
        <v>0</v>
      </c>
      <c r="F7" s="33">
        <f>$C$27*('E Balans VL '!L9+'E Balans VL '!N9)/100/3.6*1000000</f>
        <v>38.288830003047622</v>
      </c>
      <c r="G7" s="34"/>
      <c r="H7" s="33"/>
      <c r="I7" s="33"/>
      <c r="J7" s="33">
        <f>$C$27*('E Balans VL '!D9+'E Balans VL '!E9)/100/3.6*1000000</f>
        <v>0</v>
      </c>
      <c r="K7" s="33"/>
      <c r="L7" s="33"/>
      <c r="M7" s="33"/>
      <c r="N7" s="33">
        <f>$C$27*'E Balans VL '!Y9/100/3.6*1000000</f>
        <v>0.14313903906974831</v>
      </c>
      <c r="O7" s="33"/>
      <c r="P7" s="33"/>
      <c r="R7" s="32"/>
    </row>
    <row r="8" spans="1:18">
      <c r="A8" s="6" t="s">
        <v>51</v>
      </c>
      <c r="B8" s="37">
        <f t="shared" si="0"/>
        <v>1572.8365391105599</v>
      </c>
      <c r="C8" s="33"/>
      <c r="D8" s="37">
        <f>IF(ISERROR(TER_handel_gas_kWh/1000),0,TER_handel_gas_kWh/1000)*0.903</f>
        <v>469.75712028836637</v>
      </c>
      <c r="E8" s="33">
        <f>$C$28*'E Balans VL '!I13/100/3.6*1000000</f>
        <v>5.5276607962836861</v>
      </c>
      <c r="F8" s="33">
        <f>$C$28*('E Balans VL '!L13+'E Balans VL '!N13)/100/3.6*1000000</f>
        <v>143.91171877779706</v>
      </c>
      <c r="G8" s="34"/>
      <c r="H8" s="33"/>
      <c r="I8" s="33"/>
      <c r="J8" s="33">
        <f>$C$28*('E Balans VL '!D13+'E Balans VL '!E13)/100/3.6*1000000</f>
        <v>0</v>
      </c>
      <c r="K8" s="33"/>
      <c r="L8" s="33"/>
      <c r="M8" s="33"/>
      <c r="N8" s="33">
        <f>$C$28*'E Balans VL '!Y13/100/3.6*1000000</f>
        <v>0.56961368131869616</v>
      </c>
      <c r="O8" s="33"/>
      <c r="P8" s="33"/>
      <c r="R8" s="32"/>
    </row>
    <row r="9" spans="1:18">
      <c r="A9" s="32" t="s">
        <v>50</v>
      </c>
      <c r="B9" s="37">
        <f t="shared" si="0"/>
        <v>234.230929293716</v>
      </c>
      <c r="C9" s="33"/>
      <c r="D9" s="37">
        <f>IF(ISERROR(TER_gezond_gas_kWh/1000),0,TER_gezond_gas_kWh/1000)*0.903</f>
        <v>139.69071783813476</v>
      </c>
      <c r="E9" s="33">
        <f>$C$29*'E Balans VL '!I10/100/3.6*1000000</f>
        <v>0</v>
      </c>
      <c r="F9" s="33">
        <f>$C$29*('E Balans VL '!L10+'E Balans VL '!N10)/100/3.6*1000000</f>
        <v>28.712410760969448</v>
      </c>
      <c r="G9" s="34"/>
      <c r="H9" s="33"/>
      <c r="I9" s="33"/>
      <c r="J9" s="33">
        <f>$C$29*('E Balans VL '!D10+'E Balans VL '!E10)/100/3.6*1000000</f>
        <v>0</v>
      </c>
      <c r="K9" s="33"/>
      <c r="L9" s="33"/>
      <c r="M9" s="33"/>
      <c r="N9" s="33">
        <f>$C$29*'E Balans VL '!Y10/100/3.6*1000000</f>
        <v>1.7272898785854938</v>
      </c>
      <c r="O9" s="33"/>
      <c r="P9" s="33"/>
      <c r="R9" s="32"/>
    </row>
    <row r="10" spans="1:18">
      <c r="A10" s="32" t="s">
        <v>49</v>
      </c>
      <c r="B10" s="37">
        <f t="shared" si="0"/>
        <v>1676.3069567506</v>
      </c>
      <c r="C10" s="33"/>
      <c r="D10" s="37">
        <f>IF(ISERROR(TER_ander_gas_kWh/1000),0,TER_ander_gas_kWh/1000)*0.903</f>
        <v>935.82029434900824</v>
      </c>
      <c r="E10" s="33">
        <f>$C$30*'E Balans VL '!I14/100/3.6*1000000</f>
        <v>24.008415704822518</v>
      </c>
      <c r="F10" s="33">
        <f>$C$30*('E Balans VL '!L14+'E Balans VL '!N14)/100/3.6*1000000</f>
        <v>997.96252859137792</v>
      </c>
      <c r="G10" s="34"/>
      <c r="H10" s="33"/>
      <c r="I10" s="33"/>
      <c r="J10" s="33">
        <f>$C$30*('E Balans VL '!D14+'E Balans VL '!E14)/100/3.6*1000000</f>
        <v>1.6554905949164769E-2</v>
      </c>
      <c r="K10" s="33"/>
      <c r="L10" s="33"/>
      <c r="M10" s="33"/>
      <c r="N10" s="33">
        <f>$C$30*'E Balans VL '!Y14/100/3.6*1000000</f>
        <v>598.2855951905874</v>
      </c>
      <c r="O10" s="33"/>
      <c r="P10" s="33"/>
      <c r="R10" s="32"/>
    </row>
    <row r="11" spans="1:18">
      <c r="A11" s="32" t="s">
        <v>54</v>
      </c>
      <c r="B11" s="37">
        <f t="shared" si="0"/>
        <v>146.83079063466499</v>
      </c>
      <c r="C11" s="33"/>
      <c r="D11" s="37">
        <f>IF(ISERROR(TER_onderwijs_gas_kWh/1000),0,TER_onderwijs_gas_kWh/1000)*0.903</f>
        <v>117.41016206434618</v>
      </c>
      <c r="E11" s="33">
        <f>$C$31*'E Balans VL '!I11/100/3.6*1000000</f>
        <v>0</v>
      </c>
      <c r="F11" s="33">
        <f>$C$31*('E Balans VL '!L11+'E Balans VL '!N11)/100/3.6*1000000</f>
        <v>17.166267946857257</v>
      </c>
      <c r="G11" s="34"/>
      <c r="H11" s="33"/>
      <c r="I11" s="33"/>
      <c r="J11" s="33">
        <f>$C$31*('E Balans VL '!D11+'E Balans VL '!E11)/100/3.6*1000000</f>
        <v>0</v>
      </c>
      <c r="K11" s="33"/>
      <c r="L11" s="33"/>
      <c r="M11" s="33"/>
      <c r="N11" s="33">
        <f>$C$31*'E Balans VL '!Y11/100/3.6*1000000</f>
        <v>0.41345864566879237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5243.0652542988155</v>
      </c>
      <c r="C16" s="21">
        <f t="shared" ca="1" si="1"/>
        <v>0</v>
      </c>
      <c r="D16" s="21">
        <f t="shared" ca="1" si="1"/>
        <v>4208.3175101232746</v>
      </c>
      <c r="E16" s="21">
        <f t="shared" si="1"/>
        <v>29.810609227680043</v>
      </c>
      <c r="F16" s="21">
        <f t="shared" ca="1" si="1"/>
        <v>1334.7070271392786</v>
      </c>
      <c r="G16" s="21">
        <f t="shared" si="1"/>
        <v>0</v>
      </c>
      <c r="H16" s="21">
        <f t="shared" si="1"/>
        <v>0</v>
      </c>
      <c r="I16" s="21">
        <f t="shared" si="1"/>
        <v>0</v>
      </c>
      <c r="J16" s="21">
        <f t="shared" si="1"/>
        <v>1.6554905949164769E-2</v>
      </c>
      <c r="K16" s="21">
        <f t="shared" si="1"/>
        <v>0</v>
      </c>
      <c r="L16" s="21">
        <f t="shared" ca="1" si="1"/>
        <v>0</v>
      </c>
      <c r="M16" s="21">
        <f t="shared" si="1"/>
        <v>0</v>
      </c>
      <c r="N16" s="21">
        <f t="shared" ca="1" si="1"/>
        <v>601.72115929276208</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0.19694207397396898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1032.5801451624639</v>
      </c>
      <c r="C20" s="23">
        <f t="shared" ref="C20:P20" ca="1" si="2">C16*C18</f>
        <v>0</v>
      </c>
      <c r="D20" s="23">
        <f t="shared" ca="1" si="2"/>
        <v>850.08013704490156</v>
      </c>
      <c r="E20" s="23">
        <f t="shared" si="2"/>
        <v>6.7670082946833698</v>
      </c>
      <c r="F20" s="23">
        <f t="shared" ca="1" si="2"/>
        <v>356.36677624618738</v>
      </c>
      <c r="G20" s="23">
        <f t="shared" si="2"/>
        <v>0</v>
      </c>
      <c r="H20" s="23">
        <f t="shared" si="2"/>
        <v>0</v>
      </c>
      <c r="I20" s="23">
        <f t="shared" si="2"/>
        <v>0</v>
      </c>
      <c r="J20" s="23">
        <f t="shared" si="2"/>
        <v>5.860436706004328E-3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1145.9097012140498</v>
      </c>
      <c r="C26" s="39">
        <f>IF(ISERROR(B26*3.6/1000000/'E Balans VL '!Z12*100),0,B26*3.6/1000000/'E Balans VL '!Z12*100)</f>
        <v>3.2317688096763435E-2</v>
      </c>
      <c r="D26" s="233" t="s">
        <v>691</v>
      </c>
      <c r="F26" s="6"/>
    </row>
    <row r="27" spans="1:18">
      <c r="A27" s="228" t="s">
        <v>52</v>
      </c>
      <c r="B27" s="33">
        <f>IF(ISERROR(TER_horeca_ele_kWh/1000),0,TER_horeca_ele_kWh/1000)</f>
        <v>466.95033729522402</v>
      </c>
      <c r="C27" s="39">
        <f>IF(ISERROR(B27*3.6/1000000/'E Balans VL '!Z9*100),0,B27*3.6/1000000/'E Balans VL '!Z9*100)</f>
        <v>3.4618631176264604E-2</v>
      </c>
      <c r="D27" s="233" t="s">
        <v>691</v>
      </c>
      <c r="F27" s="6"/>
    </row>
    <row r="28" spans="1:18">
      <c r="A28" s="168" t="s">
        <v>51</v>
      </c>
      <c r="B28" s="33">
        <f>IF(ISERROR(TER_handel_ele_kWh/1000),0,TER_handel_ele_kWh/1000)</f>
        <v>1572.8365391105599</v>
      </c>
      <c r="C28" s="39">
        <f>IF(ISERROR(B28*3.6/1000000/'E Balans VL '!Z13*100),0,B28*3.6/1000000/'E Balans VL '!Z13*100)</f>
        <v>4.7118443153261226E-2</v>
      </c>
      <c r="D28" s="233" t="s">
        <v>691</v>
      </c>
      <c r="F28" s="6"/>
    </row>
    <row r="29" spans="1:18">
      <c r="A29" s="228" t="s">
        <v>50</v>
      </c>
      <c r="B29" s="33">
        <f>IF(ISERROR(TER_gezond_ele_kWh/1000),0,TER_gezond_ele_kWh/1000)</f>
        <v>234.230929293716</v>
      </c>
      <c r="C29" s="39">
        <f>IF(ISERROR(B29*3.6/1000000/'E Balans VL '!Z10*100),0,B29*3.6/1000000/'E Balans VL '!Z10*100)</f>
        <v>2.3160846094933123E-2</v>
      </c>
      <c r="D29" s="233" t="s">
        <v>691</v>
      </c>
      <c r="F29" s="6"/>
    </row>
    <row r="30" spans="1:18">
      <c r="A30" s="228" t="s">
        <v>49</v>
      </c>
      <c r="B30" s="33">
        <f>IF(ISERROR(TER_ander_ele_kWh/1000),0,TER_ander_ele_kWh/1000)</f>
        <v>1676.3069567506</v>
      </c>
      <c r="C30" s="39">
        <f>IF(ISERROR(B30*3.6/1000000/'E Balans VL '!Z14*100),0,B30*3.6/1000000/'E Balans VL '!Z14*100)</f>
        <v>6.7801662590435921E-2</v>
      </c>
      <c r="D30" s="233" t="s">
        <v>691</v>
      </c>
      <c r="F30" s="6"/>
    </row>
    <row r="31" spans="1:18">
      <c r="A31" s="228" t="s">
        <v>54</v>
      </c>
      <c r="B31" s="33">
        <f>IF(ISERROR(TER_onderwijs_ele_kWh/1000),0,TER_onderwijs_ele_kWh/1000)</f>
        <v>146.83079063466499</v>
      </c>
      <c r="C31" s="39">
        <f>IF(ISERROR(B31*3.6/1000000/'E Balans VL '!Z11*100),0,B31*3.6/1000000/'E Balans VL '!Z11*100)</f>
        <v>4.0340839778530119E-2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477.84598173656593</v>
      </c>
      <c r="C5" s="17">
        <f>IF(ISERROR('Eigen informatie GS &amp; warmtenet'!B61),0,'Eigen informatie GS &amp; warmtenet'!B61)</f>
        <v>0</v>
      </c>
      <c r="D5" s="30">
        <f>SUM(D6:D15)</f>
        <v>274.74291559337206</v>
      </c>
      <c r="E5" s="17">
        <f>SUM(E6:E15)</f>
        <v>1.3941622770905819</v>
      </c>
      <c r="F5" s="17">
        <f>SUM(F6:F15)</f>
        <v>188.984583267012</v>
      </c>
      <c r="G5" s="18"/>
      <c r="H5" s="17"/>
      <c r="I5" s="17"/>
      <c r="J5" s="17">
        <f>SUM(J6:J15)</f>
        <v>4.0078058464649111E-2</v>
      </c>
      <c r="K5" s="17"/>
      <c r="L5" s="17"/>
      <c r="M5" s="17"/>
      <c r="N5" s="17">
        <f>SUM(N6:N15)</f>
        <v>17.387292907032133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43.9057910479914</v>
      </c>
      <c r="C8" s="33"/>
      <c r="D8" s="37">
        <f>IF( ISERROR(IND_metaal_Gas_kWH/1000),0,IND_metaal_Gas_kWH/1000)*0.903</f>
        <v>0</v>
      </c>
      <c r="E8" s="33">
        <f>C30*'E Balans VL '!I18/100/3.6*1000000</f>
        <v>0.2213806591167938</v>
      </c>
      <c r="F8" s="33">
        <f>C30*'E Balans VL '!L18/100/3.6*1000000+C30*'E Balans VL '!N18/100/3.6*1000000</f>
        <v>2.9997333637325907</v>
      </c>
      <c r="G8" s="34"/>
      <c r="H8" s="33"/>
      <c r="I8" s="33"/>
      <c r="J8" s="40">
        <f>C30*'E Balans VL '!D18/100/3.6*1000000+C30*'E Balans VL '!E18/100/3.6*1000000</f>
        <v>3.8926228976268393E-2</v>
      </c>
      <c r="K8" s="33"/>
      <c r="L8" s="33"/>
      <c r="M8" s="33"/>
      <c r="N8" s="33">
        <f>C30*'E Balans VL '!Y18/100/3.6*1000000</f>
        <v>0.58350822358792098</v>
      </c>
      <c r="O8" s="33"/>
      <c r="P8" s="33"/>
      <c r="R8" s="32"/>
    </row>
    <row r="9" spans="1:18">
      <c r="A9" s="6" t="s">
        <v>32</v>
      </c>
      <c r="B9" s="37">
        <f t="shared" si="0"/>
        <v>300.20914178302695</v>
      </c>
      <c r="C9" s="33"/>
      <c r="D9" s="37">
        <f>IF( ISERROR(IND_andere_gas_kWh/1000),0,IND_andere_gas_kWh/1000)*0.903</f>
        <v>192.65234445090027</v>
      </c>
      <c r="E9" s="33">
        <f>C31*'E Balans VL '!I19/100/3.6*1000000</f>
        <v>0.94633016732101771</v>
      </c>
      <c r="F9" s="33">
        <f>C31*'E Balans VL '!L19/100/3.6*1000000+C31*'E Balans VL '!N19/100/3.6*1000000</f>
        <v>183.77541018991354</v>
      </c>
      <c r="G9" s="34"/>
      <c r="H9" s="33"/>
      <c r="I9" s="33"/>
      <c r="J9" s="40">
        <f>C31*'E Balans VL '!D19/100/3.6*1000000+C31*'E Balans VL '!E19/100/3.6*1000000</f>
        <v>0</v>
      </c>
      <c r="K9" s="33"/>
      <c r="L9" s="33"/>
      <c r="M9" s="33"/>
      <c r="N9" s="33">
        <f>C31*'E Balans VL '!Y19/100/3.6*1000000</f>
        <v>12.588176945198452</v>
      </c>
      <c r="O9" s="33"/>
      <c r="P9" s="33"/>
      <c r="R9" s="32"/>
    </row>
    <row r="10" spans="1:18">
      <c r="A10" s="6" t="s">
        <v>40</v>
      </c>
      <c r="B10" s="37">
        <f t="shared" si="0"/>
        <v>133.16685788073198</v>
      </c>
      <c r="C10" s="33"/>
      <c r="D10" s="37">
        <f>IF( ISERROR(IND_voed_gas_kWh/1000),0,IND_voed_gas_kWh/1000)*0.903</f>
        <v>73.30348427235927</v>
      </c>
      <c r="E10" s="33">
        <f>C32*'E Balans VL '!I20/100/3.6*1000000</f>
        <v>0.21223057245462351</v>
      </c>
      <c r="F10" s="33">
        <f>C32*'E Balans VL '!L20/100/3.6*1000000+C32*'E Balans VL '!N20/100/3.6*1000000</f>
        <v>2.1636379415941622</v>
      </c>
      <c r="G10" s="34"/>
      <c r="H10" s="33"/>
      <c r="I10" s="33"/>
      <c r="J10" s="40">
        <f>C32*'E Balans VL '!D20/100/3.6*1000000+C32*'E Balans VL '!E20/100/3.6*1000000</f>
        <v>0</v>
      </c>
      <c r="K10" s="33"/>
      <c r="L10" s="33"/>
      <c r="M10" s="33"/>
      <c r="N10" s="33">
        <f>C32*'E Balans VL '!Y20/100/3.6*1000000</f>
        <v>4.2060744566893735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0.56419102481560002</v>
      </c>
      <c r="C15" s="33"/>
      <c r="D15" s="37">
        <f>IF( ISERROR(IND_rest_gas_kWh/1000),0,IND_rest_gas_kWh/1000)*0.903</f>
        <v>8.787086870112546</v>
      </c>
      <c r="E15" s="33">
        <f>C37*'E Balans VL '!I15/100/3.6*1000000</f>
        <v>1.4220878198146818E-2</v>
      </c>
      <c r="F15" s="33">
        <f>C37*'E Balans VL '!L15/100/3.6*1000000+C37*'E Balans VL '!N15/100/3.6*1000000</f>
        <v>4.5801771771682244E-2</v>
      </c>
      <c r="G15" s="34"/>
      <c r="H15" s="33"/>
      <c r="I15" s="33"/>
      <c r="J15" s="40">
        <f>C37*'E Balans VL '!D15/100/3.6*1000000+C37*'E Balans VL '!E15/100/3.6*1000000</f>
        <v>1.1518294883807168E-3</v>
      </c>
      <c r="K15" s="33"/>
      <c r="L15" s="33"/>
      <c r="M15" s="33"/>
      <c r="N15" s="33">
        <f>C37*'E Balans VL '!Y15/100/3.6*1000000</f>
        <v>9.5332815563850884E-3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477.84598173656593</v>
      </c>
      <c r="C18" s="21">
        <f>C5+C16</f>
        <v>0</v>
      </c>
      <c r="D18" s="21">
        <f>MAX((D5+D16),0)</f>
        <v>274.74291559337206</v>
      </c>
      <c r="E18" s="21">
        <f>MAX((E5+E16),0)</f>
        <v>1.3941622770905819</v>
      </c>
      <c r="F18" s="21">
        <f>MAX((F5+F16),0)</f>
        <v>188.984583267012</v>
      </c>
      <c r="G18" s="21"/>
      <c r="H18" s="21"/>
      <c r="I18" s="21"/>
      <c r="J18" s="21">
        <f>MAX((J5+J16),0)</f>
        <v>4.0078058464649111E-2</v>
      </c>
      <c r="K18" s="21"/>
      <c r="L18" s="21">
        <f>MAX((L5+L16),0)</f>
        <v>0</v>
      </c>
      <c r="M18" s="21"/>
      <c r="N18" s="21">
        <f>MAX((N5+N16),0)</f>
        <v>17.387292907032133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0.19694207397396898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94.107978683326607</v>
      </c>
      <c r="C22" s="23">
        <f ca="1">C18*C20</f>
        <v>0</v>
      </c>
      <c r="D22" s="23">
        <f>D18*D20</f>
        <v>55.498068949861157</v>
      </c>
      <c r="E22" s="23">
        <f>E18*E20</f>
        <v>0.31647483689956213</v>
      </c>
      <c r="F22" s="23">
        <f>F18*F20</f>
        <v>50.458883732292207</v>
      </c>
      <c r="G22" s="23"/>
      <c r="H22" s="23"/>
      <c r="I22" s="23"/>
      <c r="J22" s="23">
        <f>J18*J20</f>
        <v>1.4187632696485784E-2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43.9057910479914</v>
      </c>
      <c r="C30" s="39">
        <f>IF(ISERROR(B30*3.6/1000000/'E Balans VL '!Z18*100),0,B30*3.6/1000000/'E Balans VL '!Z18*100)</f>
        <v>2.1793845150010231E-3</v>
      </c>
      <c r="D30" s="233" t="s">
        <v>691</v>
      </c>
    </row>
    <row r="31" spans="1:18">
      <c r="A31" s="6" t="s">
        <v>32</v>
      </c>
      <c r="B31" s="37">
        <f>IF( ISERROR(IND_ander_ele_kWh/1000),0,IND_ander_ele_kWh/1000)</f>
        <v>300.20914178302695</v>
      </c>
      <c r="C31" s="39">
        <f>IF(ISERROR(B31*3.6/1000000/'E Balans VL '!Z19*100),0,B31*3.6/1000000/'E Balans VL '!Z19*100)</f>
        <v>1.0130520168348185E-2</v>
      </c>
      <c r="D31" s="233" t="s">
        <v>691</v>
      </c>
    </row>
    <row r="32" spans="1:18">
      <c r="A32" s="168" t="s">
        <v>40</v>
      </c>
      <c r="B32" s="37">
        <f>IF( ISERROR(IND_voed_ele_kWh/1000),0,IND_voed_ele_kWh/1000)</f>
        <v>133.16685788073198</v>
      </c>
      <c r="C32" s="39">
        <f>IF(ISERROR(B32*3.6/1000000/'E Balans VL '!Z20*100),0,B32*3.6/1000000/'E Balans VL '!Z20*100)</f>
        <v>3.1273321823890852E-3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0.56419102481560002</v>
      </c>
      <c r="C37" s="39">
        <f>IF(ISERROR(B37*3.6/1000000/'E Balans VL '!Z15*100),0,B37*3.6/1000000/'E Balans VL '!Z15*100)</f>
        <v>2.1143223413916433E-6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2503.1250428169901</v>
      </c>
      <c r="C5" s="17">
        <f>'Eigen informatie GS &amp; warmtenet'!B62</f>
        <v>0</v>
      </c>
      <c r="D5" s="30">
        <f>IF(ISERROR(SUM(LB_lb_gas_kWh,LB_rest_gas_kWh)/1000),0,SUM(LB_lb_gas_kWh,LB_rest_gas_kWh)/1000)*0.903</f>
        <v>7350.5935942581618</v>
      </c>
      <c r="E5" s="17">
        <f>B17*'E Balans VL '!I25/3.6*1000000/100</f>
        <v>93.349189359968193</v>
      </c>
      <c r="F5" s="17">
        <f>B17*('E Balans VL '!L25/3.6*1000000+'E Balans VL '!N25/3.6*1000000)/100</f>
        <v>8121.1048844886091</v>
      </c>
      <c r="G5" s="18"/>
      <c r="H5" s="17"/>
      <c r="I5" s="17"/>
      <c r="J5" s="17">
        <f>('E Balans VL '!D25+'E Balans VL '!E25)/3.6*1000000*landbouw!B17/100</f>
        <v>657.08268143534008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2503.1250428169901</v>
      </c>
      <c r="C8" s="21">
        <f>C5+C6</f>
        <v>0</v>
      </c>
      <c r="D8" s="21">
        <f>MAX((D5+D6),0)</f>
        <v>7350.5935942581618</v>
      </c>
      <c r="E8" s="21">
        <f>MAX((E5+E6),0)</f>
        <v>93.349189359968193</v>
      </c>
      <c r="F8" s="21">
        <f>MAX((F5+F6),0)</f>
        <v>8121.1048844886091</v>
      </c>
      <c r="G8" s="21"/>
      <c r="H8" s="21"/>
      <c r="I8" s="21"/>
      <c r="J8" s="21">
        <f>MAX((J5+J6),0)</f>
        <v>657.08268143534008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0.19694207397396898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492.97063734855794</v>
      </c>
      <c r="C12" s="23">
        <f ca="1">C8*C10</f>
        <v>0</v>
      </c>
      <c r="D12" s="23">
        <f>D8*D10</f>
        <v>1484.8199060401487</v>
      </c>
      <c r="E12" s="23">
        <f>E8*E10</f>
        <v>21.190265984712781</v>
      </c>
      <c r="F12" s="23">
        <f>F8*F10</f>
        <v>2168.3350041584586</v>
      </c>
      <c r="G12" s="23"/>
      <c r="H12" s="23"/>
      <c r="I12" s="23"/>
      <c r="J12" s="23">
        <f>J8*J10</f>
        <v>232.60726922811037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0.3437976926801718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277.22442503471535</v>
      </c>
      <c r="C26" s="243">
        <f>B26*'GWP N2O_CH4'!B5</f>
        <v>5821.7129257290226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112.93463893643597</v>
      </c>
      <c r="C27" s="243">
        <f>B27*'GWP N2O_CH4'!B5</f>
        <v>2371.6274176651555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4.4282762524056896</v>
      </c>
      <c r="C28" s="243">
        <f>B28*'GWP N2O_CH4'!B4</f>
        <v>1372.7656382457637</v>
      </c>
      <c r="D28" s="50"/>
    </row>
    <row r="29" spans="1:4">
      <c r="A29" s="41" t="s">
        <v>272</v>
      </c>
      <c r="B29" s="243">
        <f>B34*'ha_N2O bodem landbouw'!B4</f>
        <v>15.088115387687623</v>
      </c>
      <c r="C29" s="243">
        <f>B29*'GWP N2O_CH4'!B4</f>
        <v>4677.3157701831633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3.4386245856731223E-3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4.3579463287793358E-4</v>
      </c>
      <c r="C5" s="434" t="s">
        <v>210</v>
      </c>
      <c r="D5" s="419">
        <f>SUM(D6:D11)</f>
        <v>7.7167458408823131E-4</v>
      </c>
      <c r="E5" s="419">
        <f>SUM(E6:E11)</f>
        <v>4.5912508267996162E-4</v>
      </c>
      <c r="F5" s="432" t="s">
        <v>210</v>
      </c>
      <c r="G5" s="419">
        <f>SUM(G6:G11)</f>
        <v>0.24544354760675136</v>
      </c>
      <c r="H5" s="419">
        <f>SUM(H6:H11)</f>
        <v>4.7663273357379937E-2</v>
      </c>
      <c r="I5" s="434" t="s">
        <v>210</v>
      </c>
      <c r="J5" s="434" t="s">
        <v>210</v>
      </c>
      <c r="K5" s="434" t="s">
        <v>210</v>
      </c>
      <c r="L5" s="434" t="s">
        <v>210</v>
      </c>
      <c r="M5" s="419">
        <f>SUM(M6:M11)</f>
        <v>1.7132166139106696E-2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3.4768580044322894E-6</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6.0416860230870512E-6</v>
      </c>
      <c r="E6" s="885">
        <f>vkm_GW_PW*SUMIFS(TableVerdeelsleutelVkm[LPG],TableVerdeelsleutelVkm[Voertuigtype],"Lichte voertuigen")*SUMIFS(TableECFTransport[EnergieConsumptieFactor (PJ per km)],TableECFTransport[Index],CONCATENATE($A6,"_LPG_LPG"))</f>
        <v>3.359571546637133E-6</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1.0095831923793723E-3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3.6809740700840388E-4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8.2430035516322503E-5</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7.6852020091785854E-10</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3.1807128127504736E-5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3.2357921726156003E-10</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1.7907903507282387E-6</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1.9402984934950544E-4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4.3290817528194832E-4</v>
      </c>
      <c r="E8" s="422">
        <f>vkm_NGW_PW*SUMIFS(TableVerdeelsleutelVkm[LPG],TableVerdeelsleutelVkm[Voertuigtype],"Lichte voertuigen")*SUMIFS(TableECFTransport[EnergieConsumptieFactor (PJ per km)],TableECFTransport[Index],CONCATENATE($A8,"_LPG_LPG"))</f>
        <v>2.305659971344004E-4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6.3765087461917724E-2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2.6052528765277361E-2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5.4011659980084219E-3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5.3099580785999585E-7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2.8300725398261489E-2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2.6985649242052548E-7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1.59337321632222E-3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2.3543356027809991E-4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3.3272472278319599E-4</v>
      </c>
      <c r="E10" s="422">
        <f>vkm_SW_PW*SUMIFS(TableVerdeelsleutelVkm[LPG],TableVerdeelsleutelVkm[Voertuigtype],"Lichte voertuigen")*SUMIFS(TableECFTransport[EnergieConsumptieFactor (PJ per km)],TableECFTransport[Index],CONCATENATE($A10,"_LPG_LPG"))</f>
        <v>2.2519951399892405E-4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6.1523485248282259E-2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2.1241370466583011E-2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4.9404963726371641E-3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2.3226009178350113E-6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9.081285917778302E-2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1.0065384395289206E-6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5.112909726271841E-3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121.05406468831488</v>
      </c>
      <c r="C14" s="21"/>
      <c r="D14" s="21">
        <f t="shared" ref="D14:M14" si="0">((D5)*10^9/3600)+D12</f>
        <v>214.35405113561981</v>
      </c>
      <c r="E14" s="21">
        <f t="shared" si="0"/>
        <v>127.53474518887823</v>
      </c>
      <c r="F14" s="21"/>
      <c r="G14" s="21">
        <f t="shared" si="0"/>
        <v>68178.763224097595</v>
      </c>
      <c r="H14" s="21">
        <f t="shared" si="0"/>
        <v>13239.79815482776</v>
      </c>
      <c r="I14" s="21"/>
      <c r="J14" s="21"/>
      <c r="K14" s="21"/>
      <c r="L14" s="21"/>
      <c r="M14" s="21">
        <f t="shared" si="0"/>
        <v>4758.9350386407486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0.19694207397396898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23.840638562695737</v>
      </c>
      <c r="C18" s="23"/>
      <c r="D18" s="23">
        <f t="shared" ref="D18:M18" si="1">D14*D16</f>
        <v>43.299518329395205</v>
      </c>
      <c r="E18" s="23">
        <f t="shared" si="1"/>
        <v>28.950387157875358</v>
      </c>
      <c r="F18" s="23"/>
      <c r="G18" s="23">
        <f t="shared" si="1"/>
        <v>18203.729780834059</v>
      </c>
      <c r="H18" s="23">
        <f t="shared" si="1"/>
        <v>3296.7097405521122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3.2511715881029303E-5</v>
      </c>
      <c r="C50" s="315">
        <f t="shared" ref="C50:P50" si="2">SUM(C51:C52)</f>
        <v>0</v>
      </c>
      <c r="D50" s="315">
        <f t="shared" si="2"/>
        <v>0</v>
      </c>
      <c r="E50" s="315">
        <f t="shared" si="2"/>
        <v>0</v>
      </c>
      <c r="F50" s="315">
        <f t="shared" si="2"/>
        <v>0</v>
      </c>
      <c r="G50" s="315">
        <f t="shared" si="2"/>
        <v>2.3206276687072268E-3</v>
      </c>
      <c r="H50" s="315">
        <f t="shared" si="2"/>
        <v>0</v>
      </c>
      <c r="I50" s="315">
        <f t="shared" si="2"/>
        <v>0</v>
      </c>
      <c r="J50" s="315">
        <f t="shared" si="2"/>
        <v>0</v>
      </c>
      <c r="K50" s="315">
        <f t="shared" si="2"/>
        <v>0</v>
      </c>
      <c r="L50" s="315">
        <f t="shared" si="2"/>
        <v>0</v>
      </c>
      <c r="M50" s="315">
        <f t="shared" si="2"/>
        <v>1.281417967096779E-4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3.2511715881029303E-5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2.3206276687072268E-3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1.281417967096779E-4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9.0310321891748071</v>
      </c>
      <c r="C54" s="21">
        <f t="shared" ref="C54:P54" si="3">(C50)*10^9/3600</f>
        <v>0</v>
      </c>
      <c r="D54" s="21">
        <f t="shared" si="3"/>
        <v>0</v>
      </c>
      <c r="E54" s="21">
        <f t="shared" si="3"/>
        <v>0</v>
      </c>
      <c r="F54" s="21">
        <f t="shared" si="3"/>
        <v>0</v>
      </c>
      <c r="G54" s="21">
        <f t="shared" si="3"/>
        <v>644.61879686311852</v>
      </c>
      <c r="H54" s="21">
        <f t="shared" si="3"/>
        <v>0</v>
      </c>
      <c r="I54" s="21">
        <f t="shared" si="3"/>
        <v>0</v>
      </c>
      <c r="J54" s="21">
        <f t="shared" si="3"/>
        <v>0</v>
      </c>
      <c r="K54" s="21">
        <f t="shared" si="3"/>
        <v>0</v>
      </c>
      <c r="L54" s="21">
        <f t="shared" si="3"/>
        <v>0</v>
      </c>
      <c r="M54" s="21">
        <f t="shared" si="3"/>
        <v>35.594943530466082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0.19694207397396898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1.7785902094617598</v>
      </c>
      <c r="C58" s="23">
        <f t="shared" ref="C58:P58" ca="1" si="4">C54*C56</f>
        <v>0</v>
      </c>
      <c r="D58" s="23">
        <f t="shared" si="4"/>
        <v>0</v>
      </c>
      <c r="E58" s="23">
        <f t="shared" si="4"/>
        <v>0</v>
      </c>
      <c r="F58" s="23">
        <f t="shared" si="4"/>
        <v>0</v>
      </c>
      <c r="G58" s="23">
        <f t="shared" si="4"/>
        <v>172.11321876245265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2307.8214848176885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2307.8214848176885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2021-06-29T14:35:03Z</dcterms:modified>
</cp:coreProperties>
</file>