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B35" i="13"/>
  <c r="B32" i="13"/>
  <c r="B34" i="13"/>
  <c r="B33" i="13"/>
  <c r="B36" i="13"/>
  <c r="F5" i="13" s="1"/>
  <c r="F8" i="13" s="1"/>
  <c r="G11" i="14" s="1"/>
  <c r="C34" i="13"/>
  <c r="P5" i="13"/>
  <c r="P8" i="13" s="1"/>
  <c r="B37" i="13"/>
  <c r="B13" i="15"/>
  <c r="F6" i="17"/>
  <c r="C35" i="13"/>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49"/>
  <c r="C22" i="59"/>
  <c r="C29" i="20"/>
  <c r="C56" i="22"/>
  <c r="C58" i="22" s="1"/>
  <c r="D49" i="14" s="1"/>
  <c r="D52" i="14" s="1"/>
  <c r="C10" i="17"/>
  <c r="C12" i="17" s="1"/>
  <c r="D54" i="14" s="1"/>
  <c r="D56" i="14" s="1"/>
  <c r="C18" i="15"/>
  <c r="C20" i="15" s="1"/>
  <c r="D40" i="14" s="1"/>
  <c r="C10" i="13"/>
  <c r="C12" i="13" s="1"/>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<sst xmlns="http://schemas.openxmlformats.org/spreadsheetml/2006/main" count="2466" uniqueCount="892">
  <si>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</si>
  <si>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</si>
  <si>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</si>
  <si>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</si>
  <si>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</si>
  <si>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</si>
  <si>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</si>
  <si>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</si>
  <si>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</si>
  <si>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</si>
  <si>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</si>
  <si>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</si>
  <si>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</si>
  <si>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</si>
  <si>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</si>
  <si>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</si>
  <si>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</si>
  <si>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</si>
  <si>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</si>
  <si>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</si>
  <si>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</si>
  <si>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</si>
  <si>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</si>
  <si>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</si>
  <si>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</si>
  <si>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</si>
  <si>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</si>
  <si>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</si>
  <si>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</si>
  <si>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</si>
  <si>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</si>
  <si>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</si>
  <si>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</si>
  <si>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</si>
  <si>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</si>
  <si>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</si>
  <si>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</si>
  <si>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</si>
  <si>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</si>
  <si>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</si>
  <si>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</si>
  <si>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</si>
  <si>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</si>
  <si>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</si>
  <si>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</si>
  <si>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</si>
  <si>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</si>
  <si>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</si>
  <si>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</si>
  <si>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</si>
  <si>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</si>
  <si>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</si>
  <si>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</si>
  <si>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</si>
  <si>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</si>
  <si>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</si>
  <si>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</si>
  <si>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</si>
  <si>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</si>
  <si>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</si>
  <si>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</si>
  <si>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</si>
  <si>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</si>
  <si>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</si>
  <si>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</si>
  <si>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</si>
  <si>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</si>
  <si>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</si>
  <si>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</si>
  <si>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</si>
  <si>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</si>
  <si>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</si>
  <si>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</si>
  <si>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</si>
  <si>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</si>
  <si>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</si>
  <si>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</si>
  <si>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</si>
  <si>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</si>
  <si>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</si>
  <si>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</si>
  <si>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</si>
  <si>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</si>
  <si>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</si>
  <si>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</si>
  <si>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</si>
  <si>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</si>
  <si>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</si>
  <si>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</si>
  <si>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</si>
  <si>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</si>
  <si>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</si>
  <si>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</si>
  <si>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</si>
  <si>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</si>
  <si>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</si>
  <si>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</si>
  <si>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</si>
  <si>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</si>
  <si>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</si>
  <si>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</si>
  <si>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</si>
  <si>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</si>
  <si>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</si>
  <si>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</si>
  <si>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</si>
  <si>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</si>
  <si>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</si>
  <si>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</si>
  <si>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</si>
  <si>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</si>
  <si>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</si>
  <si>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</si>
  <si>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</si>
  <si>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</si>
  <si>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</si>
  <si>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</si>
  <si>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</si>
  <si>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</si>
  <si>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</si>
  <si>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</si>
  <si>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</si>
  <si>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</si>
  <si>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</si>
  <si>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</si>
  <si>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</si>
  <si>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</si>
  <si>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</si>
  <si>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</si>
  <si>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</si>
  <si>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</si>
  <si>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</si>
  <si>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</si>
  <si>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</si>
  <si>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</si>
  <si>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</si>
  <si>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</si>
  <si>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</si>
  <si>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</si>
  <si>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</si>
  <si>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</si>
  <si>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</si>
  <si>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</si>
  <si>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</si>
  <si>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</si>
  <si>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</si>
  <si>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</si>
  <si>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</si>
  <si>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</si>
  <si>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</si>
  <si>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</si>
  <si>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</si>
  <si>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</si>
  <si>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</si>
  <si>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</si>
  <si>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</si>
  <si>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</si>
  <si>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</si>
  <si>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</si>
  <si>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</si>
  <si>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</si>
  <si>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</si>
  <si>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</si>
  <si>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</si>
  <si>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</si>
  <si>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</si>
  <si>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</si>
  <si>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</si>
  <si>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</si>
  <si>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</si>
  <si>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</si>
  <si>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</si>
  <si>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</si>
  <si>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</si>
  <si>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</si>
  <si>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</si>
  <si>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</si>
  <si>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</si>
  <si>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</si>
  <si>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</si>
  <si>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</si>
  <si>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</si>
  <si>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</si>
  <si>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</si>
  <si>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</si>
  <si>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</si>
  <si>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</si>
  <si>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</si>
  <si>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</si>
  <si>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</si>
  <si>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</si>
  <si>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</si>
  <si>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</si>
  <si>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</si>
  <si>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</si>
  <si>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</si>
  <si>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</si>
  <si>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</si>
  <si>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</si>
  <si>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</si>
  <si>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</si>
  <si>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</si>
  <si>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</si>
  <si>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</si>
  <si>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</si>
  <si>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</si>
  <si>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</si>
  <si>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</si>
  <si>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</si>
  <si>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</si>
  <si>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</si>
  <si>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</si>
  <si>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</si>
  <si>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</si>
  <si>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</si>
  <si>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</si>
  <si>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</si>
  <si>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</si>
  <si>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</si>
  <si>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</si>
  <si>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</si>
  <si>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</si>
  <si>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</si>
  <si>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</si>
  <si>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</si>
  <si>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</si>
  <si>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</si>
  <si>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</si>
  <si>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</si>
  <si>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</si>
  <si>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</si>
  <si>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</si>
  <si>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</si>
  <si>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</si>
  <si>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</si>
  <si>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</si>
  <si>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</si>
  <si>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</si>
  <si>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</si>
  <si>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</si>
  <si>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</si>
  <si>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</si>
  <si>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</si>
  <si>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</si>
  <si>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</si>
  <si>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</si>
  <si>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</si>
  <si>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</si>
  <si>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</si>
  <si>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</si>
  <si>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</si>
  <si>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</si>
  <si>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</si>
  <si>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</si>
  <si>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</si>
  <si>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</si>
  <si>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</si>
  <si>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</si>
  <si>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</si>
  <si>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</si>
  <si>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</si>
  <si>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</si>
  <si>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</si>
  <si>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</si>
  <si>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</si>
  <si>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</si>
  <si>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</si>
  <si>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</si>
  <si>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</si>
  <si>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</si>
  <si>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</si>
  <si>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</si>
  <si>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</si>
  <si>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</si>
  <si>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</si>
  <si>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</si>
  <si>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</si>
  <si>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</si>
  <si>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</si>
  <si>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</si>
  <si>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</si>
  <si>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</si>
  <si>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</si>
  <si>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</si>
  <si>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</si>
  <si>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</si>
  <si>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</si>
  <si>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</si>
  <si>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</si>
  <si>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</si>
  <si>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</si>
  <si>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</si>
  <si>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</si>
  <si>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</si>
  <si>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</si>
  <si>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</si>
  <si>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</si>
  <si>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</si>
  <si>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</si>
  <si>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</si>
  <si>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</si>
  <si>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</si>
  <si>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</si>
  <si>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</si>
  <si>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</si>
  <si>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</si>
  <si>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</si>
  <si>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</si>
  <si>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</si>
  <si>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</si>
  <si>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</si>
  <si>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</si>
  <si>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</si>
  <si>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</si>
  <si>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</si>
  <si>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</si>
  <si>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</si>
  <si>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</si>
  <si>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</si>
  <si>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</si>
  <si>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</si>
  <si>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</si>
  <si>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</si>
  <si>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</si>
  <si>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</si>
  <si>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</si>
  <si>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</si>
  <si>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</si>
  <si>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</si>
  <si>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</si>
  <si>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</si>
  <si>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</si>
  <si>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</si>
  <si>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</si>
  <si>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</si>
  <si>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</si>
  <si>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</si>
  <si>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</si>
  <si>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</si>
  <si>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</si>
  <si>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</si>
  <si>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</si>
  <si>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</si>
  <si>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</si>
  <si>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</si>
  <si>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</si>
  <si>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</si>
  <si>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</si>
  <si>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</si>
  <si>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</si>
  <si>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</si>
  <si>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</si>
  <si>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</si>
  <si>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</si>
  <si>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</si>
  <si>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</si>
  <si>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</si>
  <si>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</si>
  <si>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</si>
  <si>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</si>
  <si>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</si>
  <si>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</si>
  <si>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</si>
  <si>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</si>
  <si>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</si>
  <si>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</si>
  <si>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</si>
  <si>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</si>
  <si>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</si>
  <si>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</si>
  <si>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</si>
  <si>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</si>
  <si>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</si>
  <si>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</si>
  <si>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</si>
  <si>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</si>
  <si>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</si>
  <si>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</si>
  <si>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</si>
  <si>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</si>
  <si>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</si>
  <si>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</si>
  <si>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</si>
  <si>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</si>
  <si>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</si>
  <si>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</si>
  <si>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</si>
  <si>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</si>
  <si>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</si>
  <si>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</si>
  <si>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</si>
  <si>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</si>
  <si>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</si>
  <si>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</si>
  <si>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</si>
  <si>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</si>
  <si>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</si>
  <si>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</si>
  <si>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</si>
  <si>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</si>
  <si>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</si>
  <si>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</si>
  <si>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</si>
  <si>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</si>
  <si>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</si>
  <si>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</si>
  <si>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</si>
  <si>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</si>
  <si>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</si>
  <si>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</si>
  <si>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</si>
  <si>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</si>
  <si>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</si>
  <si>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</si>
  <si>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</si>
  <si>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</si>
  <si>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</si>
  <si>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</si>
  <si>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</si>
  <si>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</si>
  <si>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</si>
  <si>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</si>
  <si>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</si>
  <si>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</si>
  <si>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</si>
  <si>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</si>
  <si>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</si>
  <si>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</si>
  <si>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</si>
  <si>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</si>
  <si>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</si>
  <si>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</si>
  <si>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</si>
  <si>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</si>
  <si>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</si>
  <si>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</si>
  <si>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</si>
  <si>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</si>
  <si>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</si>
  <si>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</si>
  <si>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</si>
  <si>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</si>
  <si>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</si>
  <si>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</si>
  <si>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</si>
  <si>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</si>
  <si>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</si>
  <si>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</si>
  <si>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</si>
  <si>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</si>
  <si>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</si>
  <si>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</si>
  <si>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</si>
  <si>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</si>
  <si>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</si>
  <si>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</si>
  <si>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</si>
  <si>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</si>
  <si>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</si>
  <si>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</si>
  <si>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</si>
  <si>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</si>
  <si>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</si>
  <si>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</si>
  <si>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</si>
  <si>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</si>
  <si>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</si>
  <si>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</si>
  <si>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</si>
  <si>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</si>
  <si>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</si>
  <si>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</si>
  <si>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</si>
  <si>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</si>
  <si>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</si>
  <si>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</si>
  <si>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</si>
  <si>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</si>
  <si>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</si>
  <si>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</si>
  <si>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</si>
  <si>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</si>
  <si>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</si>
  <si>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</si>
  <si>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</si>
  <si>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</si>
  <si>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</si>
  <si>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</si>
  <si>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</si>
  <si>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</si>
  <si>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</si>
  <si>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</si>
  <si>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</si>
  <si>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</si>
  <si>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</si>
  <si>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</si>
  <si>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</si>
  <si>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</si>
  <si>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</si>
  <si>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</si>
  <si>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</si>
  <si>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</si>
  <si>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</si>
  <si>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</si>
  <si>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</si>
  <si>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</si>
  <si>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</si>
  <si>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</si>
  <si>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</si>
  <si>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</si>
  <si>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</si>
  <si>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</si>
  <si>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</si>
  <si>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</si>
  <si>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</si>
  <si>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</si>
  <si>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</si>
  <si>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</si>
  <si>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</si>
  <si>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</si>
  <si>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</si>
  <si>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</si>
  <si>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</si>
  <si>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</si>
  <si>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</si>
  <si>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</si>
  <si>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</si>
  <si>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</si>
  <si>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</si>
  <si>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</si>
  <si>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</si>
  <si>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</si>
  <si>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</si>
  <si>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</si>
  <si>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</si>
  <si>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</si>
  <si>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</si>
  <si>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</si>
  <si>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</si>
  <si>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</si>
  <si>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</si>
  <si>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</si>
  <si>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</si>
  <si>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</si>
  <si>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</si>
  <si>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</si>
  <si>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</si>
  <si>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</si>
  <si>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</si>
  <si>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</si>
  <si>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</si>
  <si>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</si>
  <si>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</si>
  <si>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</si>
  <si>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</si>
  <si>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</si>
  <si>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</si>
  <si>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</si>
  <si>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</si>
  <si>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</si>
  <si>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</si>
  <si>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</si>
  <si>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</si>
  <si>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</si>
  <si>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</si>
  <si>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</si>
  <si>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</si>
  <si>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</si>
  <si>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</si>
  <si>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</si>
  <si>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</si>
  <si>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</si>
  <si>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</si>
  <si>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</si>
  <si>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</si>
  <si>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</si>
  <si>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</si>
  <si>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</si>
  <si>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</si>
  <si>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</si>
  <si>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</si>
  <si>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</si>
  <si>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</si>
  <si>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</si>
  <si>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</si>
  <si>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</si>
  <si>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</si>
  <si>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</si>
  <si>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</si>
  <si>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</si>
  <si>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</si>
  <si>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</si>
  <si>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</si>
  <si>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</si>
  <si>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</si>
  <si>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</si>
  <si>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</si>
  <si>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</si>
  <si>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</si>
  <si>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</si>
  <si>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</si>
  <si>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</si>
  <si>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</si>
  <si>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</si>
  <si>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</si>
  <si>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</si>
  <si>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</si>
  <si>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</si>
  <si>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</si>
  <si>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</si>
  <si>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</si>
  <si>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</si>
  <si>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</si>
  <si>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</si>
  <si>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</si>
  <si>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</si>
  <si>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</si>
  <si>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</si>
  <si>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</si>
  <si>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</si>
  <si>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</si>
  <si>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</si>
  <si>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</si>
  <si>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</si>
  <si>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</si>
  <si>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</si>
  <si>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</si>
  <si>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</si>
  <si>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</si>
  <si>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</si>
  <si>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</si>
  <si>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</si>
  <si>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</si>
  <si>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</si>
  <si>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</si>
  <si>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</si>
  <si>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</si>
  <si>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</si>
  <si>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</si>
  <si>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</si>
  <si>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</si>
  <si>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</si>
  <si>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</si>
  <si>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</si>
  <si>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</si>
  <si>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</si>
  <si>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</si>
  <si>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</si>
  <si>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</si>
  <si>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</si>
  <si>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</si>
  <si>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</si>
  <si>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</si>
  <si>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</si>
  <si>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</si>
  <si>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</si>
  <si>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</si>
  <si>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</si>
  <si>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</si>
  <si>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</si>
  <si>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</si>
  <si>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</si>
  <si>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</si>
  <si>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</si>
  <si>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</si>
  <si>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</si>
  <si>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</si>
  <si>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</si>
  <si>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</si>
  <si>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</si>
  <si>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</si>
  <si>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</si>
  <si>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</si>
  <si>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</si>
  <si>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</si>
  <si>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</si>
  <si>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</si>
  <si>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</si>
  <si>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</si>
  <si>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</si>
  <si>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</si>
  <si>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</si>
  <si>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</si>
  <si>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</si>
  <si>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</si>
  <si>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</si>
  <si>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</si>
  <si>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</si>
  <si>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</si>
  <si>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</si>
  <si>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</si>
  <si>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</si>
  <si>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</si>
  <si>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</si>
  <si>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</si>
  <si>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</si>
  <si>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</si>
  <si>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</si>
  <si>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</si>
  <si>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</si>
  <si>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</si>
  <si>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</si>
  <si>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</si>
  <si>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</si>
  <si>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</si>
  <si>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</si>
  <si>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</si>
  <si>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</si>
  <si>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</si>
  <si>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</si>
  <si>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</si>
  <si>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</si>
  <si>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</si>
  <si>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</si>
  <si>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</si>
  <si>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</si>
  <si>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</si>
  <si>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</si>
  <si>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</si>
  <si>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</si>
  <si>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</si>
  <si>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</si>
  <si>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</si>
  <si>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</si>
  <si>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</si>
  <si>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</si>
  <si>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</si>
  <si>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</si>
  <si>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</si>
  <si>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</si>
  <si>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</si>
  <si>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</si>
  <si>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</si>
  <si>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</si>
  <si>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</si>
  <si>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</si>
  <si>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</si>
  <si>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</si>
  <si>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</si>
  <si>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</si>
  <si>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</si>
  <si>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</si>
  <si>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</si>
  <si>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</si>
  <si>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</si>
  <si>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</si>
  <si>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</si>
  <si>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</si>
  <si>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</si>
  <si>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</si>
  <si>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</si>
  <si>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</si>
  <si>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</si>
  <si>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</si>
  <si>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</si>
  <si>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</si>
  <si>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</si>
  <si>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</si>
  <si>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</si>
  <si>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</si>
  <si>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</si>
  <si>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</si>
  <si>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</si>
  <si>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</si>
  <si>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</si>
  <si>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</si>
  <si>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</si>
  <si>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</si>
  <si>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</si>
  <si>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</si>
  <si>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</si>
  <si>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</si>
  <si>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</si>
  <si>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</si>
  <si>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</si>
  <si>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</si>
  <si>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</si>
  <si>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</si>
  <si>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</si>
  <si>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</si>
  <si>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</si>
  <si>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</si>
  <si>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</si>
  <si>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</si>
  <si>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</si>
  <si>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</si>
  <si>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</si>
  <si>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</si>
  <si>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</si>
  <si>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</si>
  <si>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</si>
  <si>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</si>
  <si>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</si>
  <si>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</si>
  <si>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</si>
  <si>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</si>
  <si>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</si>
  <si>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</si>
  <si>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</si>
  <si>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</si>
  <si>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</si>
  <si>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</si>
  <si>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</si>
  <si>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</si>
  <si>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</si>
  <si>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</si>
  <si>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</si>
  <si>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</si>
  <si>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</si>
  <si>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</si>
  <si>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</si>
  <si>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</si>
  <si>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</si>
  <si>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</si>
  <si>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</si>
  <si>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</si>
  <si>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</si>
  <si>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</si>
  <si>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</si>
  <si>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</si>
  <si>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</si>
  <si>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</si>
  <si>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</si>
  <si>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</si>
  <si>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</si>
  <si>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</si>
  <si>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</si>
  <si>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</si>
  <si>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</si>
  <si>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</si>
  <si>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</si>
  <si>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</si>
  <si>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</si>
  <si>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</si>
  <si>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</si>
  <si>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</si>
  <si>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</si>
  <si>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</si>
  <si>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</si>
  <si>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</si>
  <si>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</si>
  <si>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</si>
  <si>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</si>
  <si>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</si>
  <si>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</si>
  <si>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</si>
  <si>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</si>
  <si>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</si>
  <si>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</si>
  <si>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</si>
  <si>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</si>
  <si>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</si>
  <si>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</si>
  <si>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</si>
  <si>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</si>
  <si>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</si>
  <si>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</si>
  <si>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</si>
  <si>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</si>
  <si>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</si>
  <si>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</si>
  <si>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</si>
  <si>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</si>
  <si>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</si>
  <si>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</si>
  <si>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</si>
  <si>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</si>
  <si>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</si>
  <si>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</si>
  <si>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</si>
  <si>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</si>
  <si>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</si>
  <si>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</si>
  <si>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</si>
  <si>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</si>
  <si>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</si>
  <si>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</si>
  <si>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</si>
  <si>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</si>
  <si>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44029</t>
  </si>
  <si>
    <t>KNESSELARE</t>
  </si>
  <si>
    <t>referentietaak LNE (2017); Jaarverslag De Lijn</t>
  </si>
  <si>
    <t>waterkracht</t>
  </si>
  <si>
    <t>Jan Clement</t>
  </si>
  <si>
    <t>Langedonkstraat 17 , 9910 Knesselare</t>
  </si>
  <si>
    <t>WKK-0463 Jan Clement</t>
  </si>
  <si>
    <t>interne verbrandingsmotor</t>
  </si>
  <si>
    <t>WKK interne verbrandinsgmotor (gas)</t>
  </si>
  <si>
    <t>IMEWO</t>
  </si>
  <si>
    <t>DB Fourage bvba</t>
  </si>
  <si>
    <t>Geuzestraat 48 , 9910 Knesselare</t>
  </si>
  <si>
    <t>WKK-0565 DB Fourage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</si>
</sst>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71334.400179694581</c:v>
                </c:pt>
                <c:pt idx="1">
                  <c:v>22585.402110046849</c:v>
                </c:pt>
                <c:pt idx="2">
                  <c:v>578.66899999999998</c:v>
                </c:pt>
                <c:pt idx="3">
                  <c:v>13902.261201981364</c:v>
                </c:pt>
                <c:pt idx="4">
                  <c:v>14291.067502003338</c:v>
                </c:pt>
                <c:pt idx="5">
                  <c:v>55254.859856044182</c:v>
                </c:pt>
                <c:pt idx="6">
                  <c:v>525.35230019430003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71334.400179694581</c:v>
                </c:pt>
                <c:pt idx="1">
                  <c:v>22585.402110046849</c:v>
                </c:pt>
                <c:pt idx="2">
                  <c:v>578.66899999999998</c:v>
                </c:pt>
                <c:pt idx="3">
                  <c:v>13902.261201981364</c:v>
                </c:pt>
                <c:pt idx="4">
                  <c:v>14291.067502003338</c:v>
                </c:pt>
                <c:pt idx="5">
                  <c:v>55254.859856044182</c:v>
                </c:pt>
                <c:pt idx="6">
                  <c:v>525.35230019430003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15173.818779951516</c:v>
                </c:pt>
                <c:pt idx="1">
                  <c:v>4529.3053267757959</c:v>
                </c:pt>
                <c:pt idx="2">
                  <c:v>118.59632442649544</c:v>
                </c:pt>
                <c:pt idx="3">
                  <c:v>3497.1986216517835</c:v>
                </c:pt>
                <c:pt idx="4">
                  <c:v>2941.5829304212621</c:v>
                </c:pt>
                <c:pt idx="5">
                  <c:v>13739.672302734456</c:v>
                </c:pt>
                <c:pt idx="6">
                  <c:v>132.59794398809709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15173.818779951516</c:v>
                </c:pt>
                <c:pt idx="1">
                  <c:v>4529.3053267757959</c:v>
                </c:pt>
                <c:pt idx="2">
                  <c:v>118.59632442649544</c:v>
                </c:pt>
                <c:pt idx="3">
                  <c:v>3497.1986216517835</c:v>
                </c:pt>
                <c:pt idx="4">
                  <c:v>2941.5829304212621</c:v>
                </c:pt>
                <c:pt idx="5">
                  <c:v>13739.672302734456</c:v>
                </c:pt>
                <c:pt idx="6">
                  <c:v>132.59794398809709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44029</v>
      </c>
      <c r="B6" s="386"/>
      <c r="C6" s="387"/>
    </row>
    <row r="7" spans="1:7" s="384" customFormat="1" ht="15.75" customHeight="1">
      <c r="A7" s="388" t="str">
        <f>txtMunicipality</f>
        <v>KNESSELARE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7775.4033921467199</v>
      </c>
      <c r="D10" s="682">
        <f ca="1">tertiair!C16</f>
        <v>0</v>
      </c>
      <c r="E10" s="682">
        <f ca="1">tertiair!D16</f>
        <v>12762.535149107494</v>
      </c>
      <c r="F10" s="682">
        <f>tertiair!E16</f>
        <v>40.576445244473831</v>
      </c>
      <c r="G10" s="682">
        <f ca="1">tertiair!F16</f>
        <v>1749.4668469331543</v>
      </c>
      <c r="H10" s="682">
        <f>tertiair!G16</f>
        <v>0</v>
      </c>
      <c r="I10" s="682">
        <f>tertiair!H16</f>
        <v>0</v>
      </c>
      <c r="J10" s="682">
        <f>tertiair!I16</f>
        <v>0</v>
      </c>
      <c r="K10" s="682">
        <f>tertiair!J16</f>
        <v>2.1133836726950534E-2</v>
      </c>
      <c r="L10" s="682">
        <f>tertiair!K16</f>
        <v>0</v>
      </c>
      <c r="M10" s="682">
        <f ca="1">tertiair!L16</f>
        <v>0</v>
      </c>
      <c r="N10" s="682">
        <f>tertiair!M16</f>
        <v>0</v>
      </c>
      <c r="O10" s="682">
        <f ca="1">tertiair!N16</f>
        <v>768.83722217425577</v>
      </c>
      <c r="P10" s="682">
        <f>tertiair!O16</f>
        <v>14.691782297523464</v>
      </c>
      <c r="Q10" s="683">
        <f>tertiair!P16</f>
        <v>52.539138306495019</v>
      </c>
      <c r="R10" s="685">
        <f ca="1">SUM(C10:Q10)</f>
        <v>23164.071110046847</v>
      </c>
      <c r="S10" s="67"/>
    </row>
    <row r="11" spans="1:19" s="445" customFormat="1">
      <c r="A11" s="803" t="s">
        <v>220</v>
      </c>
      <c r="B11" s="808"/>
      <c r="C11" s="682">
        <f>huishoudens!B8</f>
        <v>16370.84435711434</v>
      </c>
      <c r="D11" s="682">
        <f>huishoudens!C8</f>
        <v>0</v>
      </c>
      <c r="E11" s="682">
        <f>huishoudens!D8</f>
        <v>20025.320203446863</v>
      </c>
      <c r="F11" s="682">
        <f>huishoudens!E8</f>
        <v>1227.6940348199653</v>
      </c>
      <c r="G11" s="682">
        <f>huishoudens!F8</f>
        <v>27885.695727082504</v>
      </c>
      <c r="H11" s="682">
        <f>huishoudens!G8</f>
        <v>0</v>
      </c>
      <c r="I11" s="682">
        <f>huishoudens!H8</f>
        <v>0</v>
      </c>
      <c r="J11" s="682">
        <f>huishoudens!I8</f>
        <v>0</v>
      </c>
      <c r="K11" s="682">
        <f>huishoudens!J8</f>
        <v>139.50743086554246</v>
      </c>
      <c r="L11" s="682">
        <f>huishoudens!K8</f>
        <v>0</v>
      </c>
      <c r="M11" s="682">
        <f>huishoudens!L8</f>
        <v>0</v>
      </c>
      <c r="N11" s="682">
        <f>huishoudens!M8</f>
        <v>0</v>
      </c>
      <c r="O11" s="682">
        <f>huishoudens!N8</f>
        <v>5042.1079945230958</v>
      </c>
      <c r="P11" s="682">
        <f>huishoudens!O8</f>
        <v>295.6097746886677</v>
      </c>
      <c r="Q11" s="683">
        <f>huishoudens!P8</f>
        <v>347.62065715360575</v>
      </c>
      <c r="R11" s="685">
        <f>SUM(C11:Q11)</f>
        <v>71334.400179694581</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11692.600006624412</v>
      </c>
      <c r="D13" s="682">
        <f>industrie!C18</f>
        <v>0</v>
      </c>
      <c r="E13" s="682">
        <f>industrie!D18</f>
        <v>1520.3206803321648</v>
      </c>
      <c r="F13" s="682">
        <f>industrie!E18</f>
        <v>11.657567165012399</v>
      </c>
      <c r="G13" s="682">
        <f>industrie!F18</f>
        <v>881.43505545519565</v>
      </c>
      <c r="H13" s="682">
        <f>industrie!G18</f>
        <v>0</v>
      </c>
      <c r="I13" s="682">
        <f>industrie!H18</f>
        <v>0</v>
      </c>
      <c r="J13" s="682">
        <f>industrie!I18</f>
        <v>0</v>
      </c>
      <c r="K13" s="682">
        <f>industrie!J18</f>
        <v>0.3629529585124463</v>
      </c>
      <c r="L13" s="682">
        <f>industrie!K18</f>
        <v>0</v>
      </c>
      <c r="M13" s="682">
        <f>industrie!L18</f>
        <v>0</v>
      </c>
      <c r="N13" s="682">
        <f>industrie!M18</f>
        <v>0</v>
      </c>
      <c r="O13" s="682">
        <f>industrie!N18</f>
        <v>184.69123946804055</v>
      </c>
      <c r="P13" s="682">
        <f>industrie!O18</f>
        <v>0</v>
      </c>
      <c r="Q13" s="683">
        <f>industrie!P18</f>
        <v>0</v>
      </c>
      <c r="R13" s="685">
        <f>SUM(C13:Q13)</f>
        <v>14291.067502003338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35838.847755885472</v>
      </c>
      <c r="D16" s="718">
        <f t="shared" ref="D16:R16" ca="1" si="0">SUM(D9:D15)</f>
        <v>0</v>
      </c>
      <c r="E16" s="718">
        <f t="shared" ca="1" si="0"/>
        <v>34308.17603288652</v>
      </c>
      <c r="F16" s="718">
        <f t="shared" si="0"/>
        <v>1279.9280472294515</v>
      </c>
      <c r="G16" s="718">
        <f t="shared" ca="1" si="0"/>
        <v>30516.597629470856</v>
      </c>
      <c r="H16" s="718">
        <f t="shared" si="0"/>
        <v>0</v>
      </c>
      <c r="I16" s="718">
        <f t="shared" si="0"/>
        <v>0</v>
      </c>
      <c r="J16" s="718">
        <f t="shared" si="0"/>
        <v>0</v>
      </c>
      <c r="K16" s="718">
        <f t="shared" si="0"/>
        <v>139.89151766078186</v>
      </c>
      <c r="L16" s="718">
        <f t="shared" si="0"/>
        <v>0</v>
      </c>
      <c r="M16" s="718">
        <f t="shared" ca="1" si="0"/>
        <v>0</v>
      </c>
      <c r="N16" s="718">
        <f t="shared" si="0"/>
        <v>0</v>
      </c>
      <c r="O16" s="718">
        <f t="shared" ca="1" si="0"/>
        <v>5995.6364561653918</v>
      </c>
      <c r="P16" s="718">
        <f t="shared" si="0"/>
        <v>310.30155698619114</v>
      </c>
      <c r="Q16" s="718">
        <f t="shared" si="0"/>
        <v>400.15979546010078</v>
      </c>
      <c r="R16" s="718">
        <f t="shared" ca="1" si="0"/>
        <v>108789.53879174477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6.8835829047104857</v>
      </c>
      <c r="D19" s="682">
        <f>transport!C54</f>
        <v>0</v>
      </c>
      <c r="E19" s="682">
        <f>transport!D54</f>
        <v>0</v>
      </c>
      <c r="F19" s="682">
        <f>transport!E54</f>
        <v>0</v>
      </c>
      <c r="G19" s="682">
        <f>transport!F54</f>
        <v>0</v>
      </c>
      <c r="H19" s="682">
        <f>transport!G54</f>
        <v>491.33773827767226</v>
      </c>
      <c r="I19" s="682">
        <f>transport!H54</f>
        <v>0</v>
      </c>
      <c r="J19" s="682">
        <f>transport!I54</f>
        <v>0</v>
      </c>
      <c r="K19" s="682">
        <f>transport!J54</f>
        <v>0</v>
      </c>
      <c r="L19" s="682">
        <f>transport!K54</f>
        <v>0</v>
      </c>
      <c r="M19" s="682">
        <f>transport!L54</f>
        <v>0</v>
      </c>
      <c r="N19" s="682">
        <f>transport!M54</f>
        <v>27.130979011917326</v>
      </c>
      <c r="O19" s="682">
        <f>transport!N54</f>
        <v>0</v>
      </c>
      <c r="P19" s="682">
        <f>transport!O54</f>
        <v>0</v>
      </c>
      <c r="Q19" s="683">
        <f>transport!P54</f>
        <v>0</v>
      </c>
      <c r="R19" s="685">
        <f>SUM(C19:Q19)</f>
        <v>525.35230019430003</v>
      </c>
      <c r="S19" s="67"/>
    </row>
    <row r="20" spans="1:19" s="445" customFormat="1">
      <c r="A20" s="803" t="s">
        <v>302</v>
      </c>
      <c r="B20" s="808"/>
      <c r="C20" s="682">
        <f>transport!B14</f>
        <v>91.73638044936699</v>
      </c>
      <c r="D20" s="682">
        <f>transport!C14</f>
        <v>0</v>
      </c>
      <c r="E20" s="682">
        <f>transport!D14</f>
        <v>163.32087341657376</v>
      </c>
      <c r="F20" s="682">
        <f>transport!E14</f>
        <v>90.335192963791371</v>
      </c>
      <c r="G20" s="682">
        <f>transport!F14</f>
        <v>0</v>
      </c>
      <c r="H20" s="682">
        <f>transport!G14</f>
        <v>41923.101201964251</v>
      </c>
      <c r="I20" s="682">
        <f>transport!H14</f>
        <v>9935.3666850185127</v>
      </c>
      <c r="J20" s="682">
        <f>transport!I14</f>
        <v>0</v>
      </c>
      <c r="K20" s="682">
        <f>transport!J14</f>
        <v>0</v>
      </c>
      <c r="L20" s="682">
        <f>transport!K14</f>
        <v>0</v>
      </c>
      <c r="M20" s="682">
        <f>transport!L14</f>
        <v>0</v>
      </c>
      <c r="N20" s="682">
        <f>transport!M14</f>
        <v>3050.9995222316834</v>
      </c>
      <c r="O20" s="682">
        <f>transport!N14</f>
        <v>0</v>
      </c>
      <c r="P20" s="682">
        <f>transport!O14</f>
        <v>0</v>
      </c>
      <c r="Q20" s="683">
        <f>transport!P14</f>
        <v>0</v>
      </c>
      <c r="R20" s="685">
        <f>SUM(C20:Q20)</f>
        <v>55254.859856044182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98.61996335407747</v>
      </c>
      <c r="D22" s="806">
        <f t="shared" ref="D22:R22" si="1">SUM(D18:D21)</f>
        <v>0</v>
      </c>
      <c r="E22" s="806">
        <f t="shared" si="1"/>
        <v>163.32087341657376</v>
      </c>
      <c r="F22" s="806">
        <f t="shared" si="1"/>
        <v>90.335192963791371</v>
      </c>
      <c r="G22" s="806">
        <f t="shared" si="1"/>
        <v>0</v>
      </c>
      <c r="H22" s="806">
        <f t="shared" si="1"/>
        <v>42414.438940241926</v>
      </c>
      <c r="I22" s="806">
        <f t="shared" si="1"/>
        <v>9935.3666850185127</v>
      </c>
      <c r="J22" s="806">
        <f t="shared" si="1"/>
        <v>0</v>
      </c>
      <c r="K22" s="806">
        <f t="shared" si="1"/>
        <v>0</v>
      </c>
      <c r="L22" s="806">
        <f t="shared" si="1"/>
        <v>0</v>
      </c>
      <c r="M22" s="806">
        <f t="shared" si="1"/>
        <v>0</v>
      </c>
      <c r="N22" s="806">
        <f t="shared" si="1"/>
        <v>3078.1305012436005</v>
      </c>
      <c r="O22" s="806">
        <f t="shared" si="1"/>
        <v>0</v>
      </c>
      <c r="P22" s="806">
        <f t="shared" si="1"/>
        <v>0</v>
      </c>
      <c r="Q22" s="806">
        <f t="shared" si="1"/>
        <v>0</v>
      </c>
      <c r="R22" s="806">
        <f t="shared" si="1"/>
        <v>55780.212156238485</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2246.3351569750598</v>
      </c>
      <c r="D24" s="682">
        <f>+landbouw!C8</f>
        <v>3694.4999999999991</v>
      </c>
      <c r="E24" s="682">
        <f>+landbouw!D8</f>
        <v>0</v>
      </c>
      <c r="F24" s="682">
        <f>+landbouw!E8</f>
        <v>83.772709052693514</v>
      </c>
      <c r="G24" s="682">
        <f>+landbouw!F8</f>
        <v>7287.9792672995982</v>
      </c>
      <c r="H24" s="682">
        <f>+landbouw!G8</f>
        <v>0</v>
      </c>
      <c r="I24" s="682">
        <f>+landbouw!H8</f>
        <v>0</v>
      </c>
      <c r="J24" s="682">
        <f>+landbouw!I8</f>
        <v>0</v>
      </c>
      <c r="K24" s="682">
        <f>+landbouw!J8</f>
        <v>589.67406865401404</v>
      </c>
      <c r="L24" s="682">
        <f>+landbouw!K8</f>
        <v>0</v>
      </c>
      <c r="M24" s="682">
        <f>+landbouw!L8</f>
        <v>0</v>
      </c>
      <c r="N24" s="682">
        <f>+landbouw!M8</f>
        <v>0</v>
      </c>
      <c r="O24" s="682">
        <f>+landbouw!N8</f>
        <v>0</v>
      </c>
      <c r="P24" s="682">
        <f>+landbouw!O8</f>
        <v>0</v>
      </c>
      <c r="Q24" s="683">
        <f>+landbouw!P8</f>
        <v>0</v>
      </c>
      <c r="R24" s="685">
        <f>SUM(C24:Q24)</f>
        <v>13902.261201981364</v>
      </c>
      <c r="S24" s="67"/>
    </row>
    <row r="25" spans="1:19" s="445" customFormat="1" ht="15" thickBot="1">
      <c r="A25" s="825" t="s">
        <v>703</v>
      </c>
      <c r="B25" s="938"/>
      <c r="C25" s="939">
        <f>IF(Onbekend_ele_kWh="---",0,Onbekend_ele_kWh)/1000+IF(REST_rest_ele_kWh="---",0,REST_rest_ele_kWh)/1000</f>
        <v>470.655235473603</v>
      </c>
      <c r="D25" s="939"/>
      <c r="E25" s="939">
        <f>IF(onbekend_gas_kWh="---",0,onbekend_gas_kWh)/1000+IF(REST_rest_gas_kWh="---",0,REST_rest_gas_kWh)/1000</f>
        <v>350.27282036232697</v>
      </c>
      <c r="F25" s="939"/>
      <c r="G25" s="939"/>
      <c r="H25" s="939"/>
      <c r="I25" s="939"/>
      <c r="J25" s="939"/>
      <c r="K25" s="939"/>
      <c r="L25" s="939"/>
      <c r="M25" s="939"/>
      <c r="N25" s="939"/>
      <c r="O25" s="939"/>
      <c r="P25" s="939"/>
      <c r="Q25" s="940"/>
      <c r="R25" s="685">
        <f>SUM(C25:Q25)</f>
        <v>820.92805583592997</v>
      </c>
      <c r="S25" s="67"/>
    </row>
    <row r="26" spans="1:19" s="445" customFormat="1" ht="15.75" thickBot="1">
      <c r="A26" s="690" t="s">
        <v>704</v>
      </c>
      <c r="B26" s="811"/>
      <c r="C26" s="806">
        <f>SUM(C24:C25)</f>
        <v>2716.990392448663</v>
      </c>
      <c r="D26" s="806">
        <f t="shared" ref="D26:R26" si="2">SUM(D24:D25)</f>
        <v>3694.4999999999991</v>
      </c>
      <c r="E26" s="806">
        <f t="shared" si="2"/>
        <v>350.27282036232697</v>
      </c>
      <c r="F26" s="806">
        <f t="shared" si="2"/>
        <v>83.772709052693514</v>
      </c>
      <c r="G26" s="806">
        <f t="shared" si="2"/>
        <v>7287.9792672995982</v>
      </c>
      <c r="H26" s="806">
        <f t="shared" si="2"/>
        <v>0</v>
      </c>
      <c r="I26" s="806">
        <f t="shared" si="2"/>
        <v>0</v>
      </c>
      <c r="J26" s="806">
        <f t="shared" si="2"/>
        <v>0</v>
      </c>
      <c r="K26" s="806">
        <f t="shared" si="2"/>
        <v>589.67406865401404</v>
      </c>
      <c r="L26" s="806">
        <f t="shared" si="2"/>
        <v>0</v>
      </c>
      <c r="M26" s="806">
        <f t="shared" si="2"/>
        <v>0</v>
      </c>
      <c r="N26" s="806">
        <f t="shared" si="2"/>
        <v>0</v>
      </c>
      <c r="O26" s="806">
        <f t="shared" si="2"/>
        <v>0</v>
      </c>
      <c r="P26" s="806">
        <f t="shared" si="2"/>
        <v>0</v>
      </c>
      <c r="Q26" s="806">
        <f t="shared" si="2"/>
        <v>0</v>
      </c>
      <c r="R26" s="806">
        <f t="shared" si="2"/>
        <v>14723.189257817294</v>
      </c>
      <c r="S26" s="67"/>
    </row>
    <row r="27" spans="1:19" s="445" customFormat="1" ht="17.25" thickTop="1" thickBot="1">
      <c r="A27" s="691" t="s">
        <v>115</v>
      </c>
      <c r="B27" s="798"/>
      <c r="C27" s="692">
        <f ca="1">C22+C16+C26</f>
        <v>38654.458111688211</v>
      </c>
      <c r="D27" s="692">
        <f t="shared" ref="D27:R27" ca="1" si="3">D22+D16+D26</f>
        <v>3694.4999999999991</v>
      </c>
      <c r="E27" s="692">
        <f t="shared" ca="1" si="3"/>
        <v>34821.769726665421</v>
      </c>
      <c r="F27" s="692">
        <f t="shared" si="3"/>
        <v>1454.0359492459363</v>
      </c>
      <c r="G27" s="692">
        <f t="shared" ca="1" si="3"/>
        <v>37804.576896770457</v>
      </c>
      <c r="H27" s="692">
        <f t="shared" si="3"/>
        <v>42414.438940241926</v>
      </c>
      <c r="I27" s="692">
        <f t="shared" si="3"/>
        <v>9935.3666850185127</v>
      </c>
      <c r="J27" s="692">
        <f t="shared" si="3"/>
        <v>0</v>
      </c>
      <c r="K27" s="692">
        <f t="shared" si="3"/>
        <v>729.56558631479584</v>
      </c>
      <c r="L27" s="692">
        <f t="shared" si="3"/>
        <v>0</v>
      </c>
      <c r="M27" s="692">
        <f t="shared" ca="1" si="3"/>
        <v>0</v>
      </c>
      <c r="N27" s="692">
        <f t="shared" si="3"/>
        <v>3078.1305012436005</v>
      </c>
      <c r="O27" s="692">
        <f t="shared" ca="1" si="3"/>
        <v>5995.6364561653918</v>
      </c>
      <c r="P27" s="692">
        <f t="shared" si="3"/>
        <v>310.30155698619114</v>
      </c>
      <c r="Q27" s="692">
        <f t="shared" si="3"/>
        <v>400.15979546010078</v>
      </c>
      <c r="R27" s="692">
        <f t="shared" ca="1" si="3"/>
        <v>179292.94020580052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1593.5435685027287</v>
      </c>
      <c r="D40" s="682">
        <f ca="1">tertiair!C20</f>
        <v>0</v>
      </c>
      <c r="E40" s="682">
        <f ca="1">tertiair!D20</f>
        <v>2578.032100119714</v>
      </c>
      <c r="F40" s="682">
        <f>tertiair!E20</f>
        <v>9.2108530704955598</v>
      </c>
      <c r="G40" s="682">
        <f ca="1">tertiair!F20</f>
        <v>467.10764813115225</v>
      </c>
      <c r="H40" s="682">
        <f>tertiair!G20</f>
        <v>0</v>
      </c>
      <c r="I40" s="682">
        <f>tertiair!H20</f>
        <v>0</v>
      </c>
      <c r="J40" s="682">
        <f>tertiair!I20</f>
        <v>0</v>
      </c>
      <c r="K40" s="682">
        <f>tertiair!J20</f>
        <v>7.4813782013404889E-3</v>
      </c>
      <c r="L40" s="682">
        <f>tertiair!K20</f>
        <v>0</v>
      </c>
      <c r="M40" s="682">
        <f ca="1">tertiair!L20</f>
        <v>0</v>
      </c>
      <c r="N40" s="682">
        <f>tertiair!M20</f>
        <v>0</v>
      </c>
      <c r="O40" s="682">
        <f ca="1">tertiair!N20</f>
        <v>0</v>
      </c>
      <c r="P40" s="682">
        <f>tertiair!O20</f>
        <v>0</v>
      </c>
      <c r="Q40" s="765">
        <f>tertiair!P20</f>
        <v>0</v>
      </c>
      <c r="R40" s="844">
        <f t="shared" ca="1" si="4"/>
        <v>4647.9016512022918</v>
      </c>
    </row>
    <row r="41" spans="1:18">
      <c r="A41" s="816" t="s">
        <v>220</v>
      </c>
      <c r="B41" s="823"/>
      <c r="C41" s="682">
        <f ca="1">huishoudens!B12</f>
        <v>3355.1511632936872</v>
      </c>
      <c r="D41" s="682">
        <f ca="1">huishoudens!C12</f>
        <v>0</v>
      </c>
      <c r="E41" s="682">
        <f>huishoudens!D12</f>
        <v>4045.1146810962664</v>
      </c>
      <c r="F41" s="682">
        <f>huishoudens!E12</f>
        <v>278.68654590413212</v>
      </c>
      <c r="G41" s="682">
        <f>huishoudens!F12</f>
        <v>7445.4807591310291</v>
      </c>
      <c r="H41" s="682">
        <f>huishoudens!G12</f>
        <v>0</v>
      </c>
      <c r="I41" s="682">
        <f>huishoudens!H12</f>
        <v>0</v>
      </c>
      <c r="J41" s="682">
        <f>huishoudens!I12</f>
        <v>0</v>
      </c>
      <c r="K41" s="682">
        <f>huishoudens!J12</f>
        <v>49.385630526402025</v>
      </c>
      <c r="L41" s="682">
        <f>huishoudens!K12</f>
        <v>0</v>
      </c>
      <c r="M41" s="682">
        <f>huishoudens!L12</f>
        <v>0</v>
      </c>
      <c r="N41" s="682">
        <f>huishoudens!M12</f>
        <v>0</v>
      </c>
      <c r="O41" s="682">
        <f>huishoudens!N12</f>
        <v>0</v>
      </c>
      <c r="P41" s="682">
        <f>huishoudens!O12</f>
        <v>0</v>
      </c>
      <c r="Q41" s="765">
        <f>huishoudens!P12</f>
        <v>0</v>
      </c>
      <c r="R41" s="844">
        <f t="shared" ca="1" si="4"/>
        <v>15173.818779951516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2396.3602400938562</v>
      </c>
      <c r="D43" s="682">
        <f ca="1">industrie!C22</f>
        <v>0</v>
      </c>
      <c r="E43" s="682">
        <f>industrie!D22</f>
        <v>307.1047774270973</v>
      </c>
      <c r="F43" s="682">
        <f>industrie!E22</f>
        <v>2.6462677464578146</v>
      </c>
      <c r="G43" s="682">
        <f>industrie!F22</f>
        <v>235.34315980653724</v>
      </c>
      <c r="H43" s="682">
        <f>industrie!G22</f>
        <v>0</v>
      </c>
      <c r="I43" s="682">
        <f>industrie!H22</f>
        <v>0</v>
      </c>
      <c r="J43" s="682">
        <f>industrie!I22</f>
        <v>0</v>
      </c>
      <c r="K43" s="682">
        <f>industrie!J22</f>
        <v>0.128485347313406</v>
      </c>
      <c r="L43" s="682">
        <f>industrie!K22</f>
        <v>0</v>
      </c>
      <c r="M43" s="682">
        <f>industrie!L22</f>
        <v>0</v>
      </c>
      <c r="N43" s="682">
        <f>industrie!M22</f>
        <v>0</v>
      </c>
      <c r="O43" s="682">
        <f>industrie!N22</f>
        <v>0</v>
      </c>
      <c r="P43" s="682">
        <f>industrie!O22</f>
        <v>0</v>
      </c>
      <c r="Q43" s="765">
        <f>industrie!P22</f>
        <v>0</v>
      </c>
      <c r="R43" s="843">
        <f t="shared" ca="1" si="4"/>
        <v>2941.5829304212621</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7345.0549718902721</v>
      </c>
      <c r="D46" s="718">
        <f t="shared" ref="D46:Q46" ca="1" si="5">SUM(D39:D45)</f>
        <v>0</v>
      </c>
      <c r="E46" s="718">
        <f t="shared" ca="1" si="5"/>
        <v>6930.2515586430782</v>
      </c>
      <c r="F46" s="718">
        <f t="shared" si="5"/>
        <v>290.54366672108546</v>
      </c>
      <c r="G46" s="718">
        <f t="shared" ca="1" si="5"/>
        <v>8147.9315670687183</v>
      </c>
      <c r="H46" s="718">
        <f t="shared" si="5"/>
        <v>0</v>
      </c>
      <c r="I46" s="718">
        <f t="shared" si="5"/>
        <v>0</v>
      </c>
      <c r="J46" s="718">
        <f t="shared" si="5"/>
        <v>0</v>
      </c>
      <c r="K46" s="718">
        <f t="shared" si="5"/>
        <v>49.521597251916774</v>
      </c>
      <c r="L46" s="718">
        <f t="shared" si="5"/>
        <v>0</v>
      </c>
      <c r="M46" s="718">
        <f t="shared" ca="1" si="5"/>
        <v>0</v>
      </c>
      <c r="N46" s="718">
        <f t="shared" si="5"/>
        <v>0</v>
      </c>
      <c r="O46" s="718">
        <f t="shared" ca="1" si="5"/>
        <v>0</v>
      </c>
      <c r="P46" s="718">
        <f t="shared" si="5"/>
        <v>0</v>
      </c>
      <c r="Q46" s="718">
        <f t="shared" si="5"/>
        <v>0</v>
      </c>
      <c r="R46" s="718">
        <f ca="1">SUM(R39:R45)</f>
        <v>22763.303361575068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1.4107678679585784</v>
      </c>
      <c r="D49" s="682">
        <f ca="1">transport!C58</f>
        <v>0</v>
      </c>
      <c r="E49" s="682">
        <f>transport!D58</f>
        <v>0</v>
      </c>
      <c r="F49" s="682">
        <f>transport!E58</f>
        <v>0</v>
      </c>
      <c r="G49" s="682">
        <f>transport!F58</f>
        <v>0</v>
      </c>
      <c r="H49" s="682">
        <f>transport!G58</f>
        <v>131.1871761201385</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132.59794398809709</v>
      </c>
    </row>
    <row r="50" spans="1:18">
      <c r="A50" s="819" t="s">
        <v>302</v>
      </c>
      <c r="B50" s="829"/>
      <c r="C50" s="688">
        <f ca="1">transport!B18</f>
        <v>18.801072007461158</v>
      </c>
      <c r="D50" s="688">
        <f>transport!C18</f>
        <v>0</v>
      </c>
      <c r="E50" s="688">
        <f>transport!D18</f>
        <v>32.990816430147902</v>
      </c>
      <c r="F50" s="688">
        <f>transport!E18</f>
        <v>20.506088802780642</v>
      </c>
      <c r="G50" s="688">
        <f>transport!F18</f>
        <v>0</v>
      </c>
      <c r="H50" s="688">
        <f>transport!G18</f>
        <v>11193.468020924456</v>
      </c>
      <c r="I50" s="688">
        <f>transport!H18</f>
        <v>2473.9063045696098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13739.672302734456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20.211839875419738</v>
      </c>
      <c r="D52" s="718">
        <f t="shared" ref="D52:Q52" ca="1" si="6">SUM(D48:D51)</f>
        <v>0</v>
      </c>
      <c r="E52" s="718">
        <f t="shared" si="6"/>
        <v>32.990816430147902</v>
      </c>
      <c r="F52" s="718">
        <f t="shared" si="6"/>
        <v>20.506088802780642</v>
      </c>
      <c r="G52" s="718">
        <f t="shared" si="6"/>
        <v>0</v>
      </c>
      <c r="H52" s="718">
        <f t="shared" si="6"/>
        <v>11324.655197044594</v>
      </c>
      <c r="I52" s="718">
        <f t="shared" si="6"/>
        <v>2473.9063045696098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13872.270246722554</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460.37906479741747</v>
      </c>
      <c r="D54" s="688">
        <f ca="1">+landbouw!C12</f>
        <v>863.16806722689068</v>
      </c>
      <c r="E54" s="688">
        <f>+landbouw!D12</f>
        <v>0</v>
      </c>
      <c r="F54" s="688">
        <f>+landbouw!E12</f>
        <v>19.016404954961427</v>
      </c>
      <c r="G54" s="688">
        <f>+landbouw!F12</f>
        <v>1945.8904643689928</v>
      </c>
      <c r="H54" s="688">
        <f>+landbouw!G12</f>
        <v>0</v>
      </c>
      <c r="I54" s="688">
        <f>+landbouw!H12</f>
        <v>0</v>
      </c>
      <c r="J54" s="688">
        <f>+landbouw!I12</f>
        <v>0</v>
      </c>
      <c r="K54" s="688">
        <f>+landbouw!J12</f>
        <v>208.74462030352095</v>
      </c>
      <c r="L54" s="688">
        <f>+landbouw!K12</f>
        <v>0</v>
      </c>
      <c r="M54" s="688">
        <f>+landbouw!L12</f>
        <v>0</v>
      </c>
      <c r="N54" s="688">
        <f>+landbouw!M12</f>
        <v>0</v>
      </c>
      <c r="O54" s="688">
        <f>+landbouw!N12</f>
        <v>0</v>
      </c>
      <c r="P54" s="688">
        <f>+landbouw!O12</f>
        <v>0</v>
      </c>
      <c r="Q54" s="689">
        <f>+landbouw!P12</f>
        <v>0</v>
      </c>
      <c r="R54" s="717">
        <f ca="1">SUM(C54:Q54)</f>
        <v>3497.1986216517835</v>
      </c>
    </row>
    <row r="55" spans="1:18" ht="15" thickBot="1">
      <c r="A55" s="819" t="s">
        <v>703</v>
      </c>
      <c r="B55" s="829"/>
      <c r="C55" s="688">
        <f ca="1">C25*'EF ele_warmte'!B12</f>
        <v>96.459255635356357</v>
      </c>
      <c r="D55" s="688"/>
      <c r="E55" s="688">
        <f>E25*EF_CO2_aardgas</f>
        <v>70.755109713190052</v>
      </c>
      <c r="F55" s="688"/>
      <c r="G55" s="688"/>
      <c r="H55" s="688"/>
      <c r="I55" s="688"/>
      <c r="J55" s="688"/>
      <c r="K55" s="688"/>
      <c r="L55" s="688"/>
      <c r="M55" s="688"/>
      <c r="N55" s="688"/>
      <c r="O55" s="688"/>
      <c r="P55" s="688"/>
      <c r="Q55" s="689"/>
      <c r="R55" s="717">
        <f ca="1">SUM(C55:Q55)</f>
        <v>167.21436534854641</v>
      </c>
    </row>
    <row r="56" spans="1:18" ht="15.75" thickBot="1">
      <c r="A56" s="817" t="s">
        <v>704</v>
      </c>
      <c r="B56" s="830"/>
      <c r="C56" s="718">
        <f ca="1">SUM(C54:C55)</f>
        <v>556.8383204327738</v>
      </c>
      <c r="D56" s="718">
        <f t="shared" ref="D56:Q56" ca="1" si="7">SUM(D54:D55)</f>
        <v>863.16806722689068</v>
      </c>
      <c r="E56" s="718">
        <f t="shared" si="7"/>
        <v>70.755109713190052</v>
      </c>
      <c r="F56" s="718">
        <f t="shared" si="7"/>
        <v>19.016404954961427</v>
      </c>
      <c r="G56" s="718">
        <f t="shared" si="7"/>
        <v>1945.8904643689928</v>
      </c>
      <c r="H56" s="718">
        <f t="shared" si="7"/>
        <v>0</v>
      </c>
      <c r="I56" s="718">
        <f t="shared" si="7"/>
        <v>0</v>
      </c>
      <c r="J56" s="718">
        <f t="shared" si="7"/>
        <v>0</v>
      </c>
      <c r="K56" s="718">
        <f t="shared" si="7"/>
        <v>208.74462030352095</v>
      </c>
      <c r="L56" s="718">
        <f t="shared" si="7"/>
        <v>0</v>
      </c>
      <c r="M56" s="718">
        <f t="shared" si="7"/>
        <v>0</v>
      </c>
      <c r="N56" s="718">
        <f t="shared" si="7"/>
        <v>0</v>
      </c>
      <c r="O56" s="718">
        <f t="shared" si="7"/>
        <v>0</v>
      </c>
      <c r="P56" s="718">
        <f t="shared" si="7"/>
        <v>0</v>
      </c>
      <c r="Q56" s="719">
        <f t="shared" si="7"/>
        <v>0</v>
      </c>
      <c r="R56" s="720">
        <f ca="1">SUM(R54:R55)</f>
        <v>3664.4129870003298</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7922.105132198466</v>
      </c>
      <c r="D61" s="726">
        <f t="shared" ref="D61:Q61" ca="1" si="8">D46+D52+D56</f>
        <v>863.16806722689068</v>
      </c>
      <c r="E61" s="726">
        <f t="shared" ca="1" si="8"/>
        <v>7033.997484786416</v>
      </c>
      <c r="F61" s="726">
        <f t="shared" si="8"/>
        <v>330.06616047882756</v>
      </c>
      <c r="G61" s="726">
        <f t="shared" ca="1" si="8"/>
        <v>10093.82203143771</v>
      </c>
      <c r="H61" s="726">
        <f t="shared" si="8"/>
        <v>11324.655197044594</v>
      </c>
      <c r="I61" s="726">
        <f t="shared" si="8"/>
        <v>2473.9063045696098</v>
      </c>
      <c r="J61" s="726">
        <f t="shared" si="8"/>
        <v>0</v>
      </c>
      <c r="K61" s="726">
        <f t="shared" si="8"/>
        <v>258.26621755543772</v>
      </c>
      <c r="L61" s="726">
        <f t="shared" si="8"/>
        <v>0</v>
      </c>
      <c r="M61" s="726">
        <f t="shared" ca="1" si="8"/>
        <v>0</v>
      </c>
      <c r="N61" s="726">
        <f t="shared" si="8"/>
        <v>0</v>
      </c>
      <c r="O61" s="726">
        <f t="shared" ca="1" si="8"/>
        <v>0</v>
      </c>
      <c r="P61" s="726">
        <f t="shared" si="8"/>
        <v>0</v>
      </c>
      <c r="Q61" s="726">
        <f t="shared" si="8"/>
        <v>0</v>
      </c>
      <c r="R61" s="726">
        <f ca="1">R46+R52+R56</f>
        <v>40299.986595297953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0.20494673885501982</v>
      </c>
      <c r="D63" s="772">
        <f t="shared" ca="1" si="9"/>
        <v>0.23363596352060925</v>
      </c>
      <c r="E63" s="964">
        <f t="shared" ca="1" si="9"/>
        <v>0.20200000000000001</v>
      </c>
      <c r="F63" s="772">
        <f t="shared" si="9"/>
        <v>0.22700000000000001</v>
      </c>
      <c r="G63" s="772">
        <f t="shared" ca="1" si="9"/>
        <v>0.26699999999999996</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2955.6950567577092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43.649999999999991</v>
      </c>
      <c r="C76" s="739">
        <f>'lokale energieproductie'!B8*IFERROR(SUM(D76:H76)/SUM(D76:O76),0)</f>
        <v>2542.4999999999995</v>
      </c>
      <c r="D76" s="947">
        <f>'lokale energieproductie'!C8</f>
        <v>2991.1764705882351</v>
      </c>
      <c r="E76" s="948">
        <f>'lokale energieproductie'!D8</f>
        <v>0</v>
      </c>
      <c r="F76" s="948">
        <f>'lokale energieproductie'!E8</f>
        <v>0</v>
      </c>
      <c r="G76" s="948">
        <f>'lokale energieproductie'!F8</f>
        <v>0</v>
      </c>
      <c r="H76" s="948">
        <f>'lokale energieproductie'!G8</f>
        <v>0</v>
      </c>
      <c r="I76" s="948">
        <f>'lokale energieproductie'!I8</f>
        <v>0</v>
      </c>
      <c r="J76" s="948">
        <f>'lokale energieproductie'!J8</f>
        <v>51.352941176470587</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604.21764705882356</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2999.3450567577092</v>
      </c>
      <c r="C78" s="744">
        <f>SUM(C72:C77)</f>
        <v>2542.4999999999995</v>
      </c>
      <c r="D78" s="745">
        <f t="shared" ref="D78:H78" si="10">SUM(D76:D77)</f>
        <v>2991.1764705882351</v>
      </c>
      <c r="E78" s="745">
        <f t="shared" si="10"/>
        <v>0</v>
      </c>
      <c r="F78" s="745">
        <f t="shared" si="10"/>
        <v>0</v>
      </c>
      <c r="G78" s="745">
        <f t="shared" si="10"/>
        <v>0</v>
      </c>
      <c r="H78" s="745">
        <f t="shared" si="10"/>
        <v>0</v>
      </c>
      <c r="I78" s="745">
        <f>SUM(I76:I77)</f>
        <v>0</v>
      </c>
      <c r="J78" s="745">
        <f>SUM(J76:J77)</f>
        <v>51.352941176470587</v>
      </c>
      <c r="K78" s="745">
        <f t="shared" ref="K78:L78" si="11">SUM(K76:K77)</f>
        <v>0</v>
      </c>
      <c r="L78" s="745">
        <f t="shared" si="11"/>
        <v>0</v>
      </c>
      <c r="M78" s="745">
        <f>SUM(M76:M77)</f>
        <v>0</v>
      </c>
      <c r="N78" s="745">
        <f>SUM(N76:N77)</f>
        <v>0</v>
      </c>
      <c r="O78" s="854">
        <f>SUM(O76:O77)</f>
        <v>0</v>
      </c>
      <c r="P78" s="746">
        <v>0</v>
      </c>
      <c r="Q78" s="746">
        <f>SUM(Q76:Q77)</f>
        <v>604.21764705882356</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62.35714285714284</v>
      </c>
      <c r="C87" s="757">
        <f>'lokale energieproductie'!B17*IFERROR(SUM(D87:H87)/SUM(D87:O87),0)</f>
        <v>3632.1428571428564</v>
      </c>
      <c r="D87" s="768">
        <f>'lokale energieproductie'!C17</f>
        <v>4273.1092436974786</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73.361344537815114</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863.16806722689068</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62.35714285714284</v>
      </c>
      <c r="C90" s="744">
        <f>SUM(C87:C89)</f>
        <v>3632.1428571428564</v>
      </c>
      <c r="D90" s="744">
        <f t="shared" ref="D90:H90" si="12">SUM(D87:D89)</f>
        <v>4273.1092436974786</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863.16806722689068</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16370.84435711434</v>
      </c>
      <c r="C4" s="449">
        <f>huishoudens!C8</f>
        <v>0</v>
      </c>
      <c r="D4" s="449">
        <f>huishoudens!D8</f>
        <v>20025.320203446863</v>
      </c>
      <c r="E4" s="449">
        <f>huishoudens!E8</f>
        <v>1227.6940348199653</v>
      </c>
      <c r="F4" s="449">
        <f>huishoudens!F8</f>
        <v>27885.695727082504</v>
      </c>
      <c r="G4" s="449">
        <f>huishoudens!G8</f>
        <v>0</v>
      </c>
      <c r="H4" s="449">
        <f>huishoudens!H8</f>
        <v>0</v>
      </c>
      <c r="I4" s="449">
        <f>huishoudens!I8</f>
        <v>0</v>
      </c>
      <c r="J4" s="449">
        <f>huishoudens!J8</f>
        <v>139.50743086554246</v>
      </c>
      <c r="K4" s="449">
        <f>huishoudens!K8</f>
        <v>0</v>
      </c>
      <c r="L4" s="449">
        <f>huishoudens!L8</f>
        <v>0</v>
      </c>
      <c r="M4" s="449">
        <f>huishoudens!M8</f>
        <v>0</v>
      </c>
      <c r="N4" s="449">
        <f>huishoudens!N8</f>
        <v>5042.1079945230958</v>
      </c>
      <c r="O4" s="449">
        <f>huishoudens!O8</f>
        <v>295.6097746886677</v>
      </c>
      <c r="P4" s="450">
        <f>huishoudens!P8</f>
        <v>347.62065715360575</v>
      </c>
      <c r="Q4" s="451">
        <f>SUM(B4:P4)</f>
        <v>71334.400179694581</v>
      </c>
    </row>
    <row r="5" spans="1:17">
      <c r="A5" s="448" t="s">
        <v>155</v>
      </c>
      <c r="B5" s="449">
        <f ca="1">tertiair!B16</f>
        <v>7196.73439214672</v>
      </c>
      <c r="C5" s="449">
        <f ca="1">tertiair!C16</f>
        <v>0</v>
      </c>
      <c r="D5" s="449">
        <f ca="1">tertiair!D16</f>
        <v>12762.535149107494</v>
      </c>
      <c r="E5" s="449">
        <f>tertiair!E16</f>
        <v>40.576445244473831</v>
      </c>
      <c r="F5" s="449">
        <f ca="1">tertiair!F16</f>
        <v>1749.4668469331543</v>
      </c>
      <c r="G5" s="449">
        <f>tertiair!G16</f>
        <v>0</v>
      </c>
      <c r="H5" s="449">
        <f>tertiair!H16</f>
        <v>0</v>
      </c>
      <c r="I5" s="449">
        <f>tertiair!I16</f>
        <v>0</v>
      </c>
      <c r="J5" s="449">
        <f>tertiair!J16</f>
        <v>2.1133836726950534E-2</v>
      </c>
      <c r="K5" s="449">
        <f>tertiair!K16</f>
        <v>0</v>
      </c>
      <c r="L5" s="449">
        <f ca="1">tertiair!L16</f>
        <v>0</v>
      </c>
      <c r="M5" s="449">
        <f>tertiair!M16</f>
        <v>0</v>
      </c>
      <c r="N5" s="449">
        <f ca="1">tertiair!N16</f>
        <v>768.83722217425577</v>
      </c>
      <c r="O5" s="449">
        <f>tertiair!O16</f>
        <v>14.691782297523464</v>
      </c>
      <c r="P5" s="450">
        <f>tertiair!P16</f>
        <v>52.539138306495019</v>
      </c>
      <c r="Q5" s="448">
        <f t="shared" ref="Q5:Q14" ca="1" si="0">SUM(B5:P5)</f>
        <v>22585.402110046849</v>
      </c>
    </row>
    <row r="6" spans="1:17">
      <c r="A6" s="448" t="s">
        <v>193</v>
      </c>
      <c r="B6" s="449">
        <f>'openbare verlichting'!B8</f>
        <v>578.66899999999998</v>
      </c>
      <c r="C6" s="449"/>
      <c r="D6" s="449"/>
      <c r="E6" s="449"/>
      <c r="F6" s="449"/>
      <c r="G6" s="449"/>
      <c r="H6" s="449"/>
      <c r="I6" s="449"/>
      <c r="J6" s="449"/>
      <c r="K6" s="449"/>
      <c r="L6" s="449"/>
      <c r="M6" s="449"/>
      <c r="N6" s="449"/>
      <c r="O6" s="449"/>
      <c r="P6" s="450"/>
      <c r="Q6" s="448">
        <f t="shared" si="0"/>
        <v>578.66899999999998</v>
      </c>
    </row>
    <row r="7" spans="1:17">
      <c r="A7" s="448" t="s">
        <v>111</v>
      </c>
      <c r="B7" s="449">
        <f>landbouw!B8</f>
        <v>2246.3351569750598</v>
      </c>
      <c r="C7" s="449">
        <f>landbouw!C8</f>
        <v>3694.4999999999991</v>
      </c>
      <c r="D7" s="449">
        <f>landbouw!D8</f>
        <v>0</v>
      </c>
      <c r="E7" s="449">
        <f>landbouw!E8</f>
        <v>83.772709052693514</v>
      </c>
      <c r="F7" s="449">
        <f>landbouw!F8</f>
        <v>7287.9792672995982</v>
      </c>
      <c r="G7" s="449">
        <f>landbouw!G8</f>
        <v>0</v>
      </c>
      <c r="H7" s="449">
        <f>landbouw!H8</f>
        <v>0</v>
      </c>
      <c r="I7" s="449">
        <f>landbouw!I8</f>
        <v>0</v>
      </c>
      <c r="J7" s="449">
        <f>landbouw!J8</f>
        <v>589.67406865401404</v>
      </c>
      <c r="K7" s="449">
        <f>landbouw!K8</f>
        <v>0</v>
      </c>
      <c r="L7" s="449">
        <f>landbouw!L8</f>
        <v>0</v>
      </c>
      <c r="M7" s="449">
        <f>landbouw!M8</f>
        <v>0</v>
      </c>
      <c r="N7" s="449">
        <f>landbouw!N8</f>
        <v>0</v>
      </c>
      <c r="O7" s="449">
        <f>landbouw!O8</f>
        <v>0</v>
      </c>
      <c r="P7" s="450">
        <f>landbouw!P8</f>
        <v>0</v>
      </c>
      <c r="Q7" s="448">
        <f t="shared" si="0"/>
        <v>13902.261201981364</v>
      </c>
    </row>
    <row r="8" spans="1:17">
      <c r="A8" s="448" t="s">
        <v>618</v>
      </c>
      <c r="B8" s="449">
        <f>industrie!B18</f>
        <v>11692.600006624412</v>
      </c>
      <c r="C8" s="449">
        <f>industrie!C18</f>
        <v>0</v>
      </c>
      <c r="D8" s="449">
        <f>industrie!D18</f>
        <v>1520.3206803321648</v>
      </c>
      <c r="E8" s="449">
        <f>industrie!E18</f>
        <v>11.657567165012399</v>
      </c>
      <c r="F8" s="449">
        <f>industrie!F18</f>
        <v>881.43505545519565</v>
      </c>
      <c r="G8" s="449">
        <f>industrie!G18</f>
        <v>0</v>
      </c>
      <c r="H8" s="449">
        <f>industrie!H18</f>
        <v>0</v>
      </c>
      <c r="I8" s="449">
        <f>industrie!I18</f>
        <v>0</v>
      </c>
      <c r="J8" s="449">
        <f>industrie!J18</f>
        <v>0.3629529585124463</v>
      </c>
      <c r="K8" s="449">
        <f>industrie!K18</f>
        <v>0</v>
      </c>
      <c r="L8" s="449">
        <f>industrie!L18</f>
        <v>0</v>
      </c>
      <c r="M8" s="449">
        <f>industrie!M18</f>
        <v>0</v>
      </c>
      <c r="N8" s="449">
        <f>industrie!N18</f>
        <v>184.69123946804055</v>
      </c>
      <c r="O8" s="449">
        <f>industrie!O18</f>
        <v>0</v>
      </c>
      <c r="P8" s="450">
        <f>industrie!P18</f>
        <v>0</v>
      </c>
      <c r="Q8" s="448">
        <f t="shared" si="0"/>
        <v>14291.067502003338</v>
      </c>
    </row>
    <row r="9" spans="1:17" s="454" customFormat="1">
      <c r="A9" s="452" t="s">
        <v>544</v>
      </c>
      <c r="B9" s="453">
        <f>transport!B14</f>
        <v>91.73638044936699</v>
      </c>
      <c r="C9" s="453">
        <f>transport!C14</f>
        <v>0</v>
      </c>
      <c r="D9" s="453">
        <f>transport!D14</f>
        <v>163.32087341657376</v>
      </c>
      <c r="E9" s="453">
        <f>transport!E14</f>
        <v>90.335192963791371</v>
      </c>
      <c r="F9" s="453">
        <f>transport!F14</f>
        <v>0</v>
      </c>
      <c r="G9" s="453">
        <f>transport!G14</f>
        <v>41923.101201964251</v>
      </c>
      <c r="H9" s="453">
        <f>transport!H14</f>
        <v>9935.3666850185127</v>
      </c>
      <c r="I9" s="453">
        <f>transport!I14</f>
        <v>0</v>
      </c>
      <c r="J9" s="453">
        <f>transport!J14</f>
        <v>0</v>
      </c>
      <c r="K9" s="453">
        <f>transport!K14</f>
        <v>0</v>
      </c>
      <c r="L9" s="453">
        <f>transport!L14</f>
        <v>0</v>
      </c>
      <c r="M9" s="453">
        <f>transport!M14</f>
        <v>3050.9995222316834</v>
      </c>
      <c r="N9" s="453">
        <f>transport!N14</f>
        <v>0</v>
      </c>
      <c r="O9" s="453">
        <f>transport!O14</f>
        <v>0</v>
      </c>
      <c r="P9" s="453">
        <f>transport!P14</f>
        <v>0</v>
      </c>
      <c r="Q9" s="452">
        <f>SUM(B9:P9)</f>
        <v>55254.859856044182</v>
      </c>
    </row>
    <row r="10" spans="1:17">
      <c r="A10" s="448" t="s">
        <v>534</v>
      </c>
      <c r="B10" s="449">
        <f>transport!B54</f>
        <v>6.8835829047104857</v>
      </c>
      <c r="C10" s="449">
        <f>transport!C54</f>
        <v>0</v>
      </c>
      <c r="D10" s="449">
        <f>transport!D54</f>
        <v>0</v>
      </c>
      <c r="E10" s="449">
        <f>transport!E54</f>
        <v>0</v>
      </c>
      <c r="F10" s="449">
        <f>transport!F54</f>
        <v>0</v>
      </c>
      <c r="G10" s="449">
        <f>transport!G54</f>
        <v>491.33773827767226</v>
      </c>
      <c r="H10" s="449">
        <f>transport!H54</f>
        <v>0</v>
      </c>
      <c r="I10" s="449">
        <f>transport!I54</f>
        <v>0</v>
      </c>
      <c r="J10" s="449">
        <f>transport!J54</f>
        <v>0</v>
      </c>
      <c r="K10" s="449">
        <f>transport!K54</f>
        <v>0</v>
      </c>
      <c r="L10" s="449">
        <f>transport!L54</f>
        <v>0</v>
      </c>
      <c r="M10" s="449">
        <f>transport!M54</f>
        <v>27.130979011917326</v>
      </c>
      <c r="N10" s="449">
        <f>transport!N54</f>
        <v>0</v>
      </c>
      <c r="O10" s="449">
        <f>transport!O54</f>
        <v>0</v>
      </c>
      <c r="P10" s="450">
        <f>transport!P54</f>
        <v>0</v>
      </c>
      <c r="Q10" s="448">
        <f t="shared" si="0"/>
        <v>525.35230019430003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470.655235473603</v>
      </c>
      <c r="C14" s="456"/>
      <c r="D14" s="456">
        <f>'SEAP template'!E25</f>
        <v>350.27282036232697</v>
      </c>
      <c r="E14" s="456"/>
      <c r="F14" s="456"/>
      <c r="G14" s="456"/>
      <c r="H14" s="456"/>
      <c r="I14" s="456"/>
      <c r="J14" s="456"/>
      <c r="K14" s="456"/>
      <c r="L14" s="456"/>
      <c r="M14" s="456"/>
      <c r="N14" s="456"/>
      <c r="O14" s="456"/>
      <c r="P14" s="457"/>
      <c r="Q14" s="448">
        <f t="shared" si="0"/>
        <v>820.92805583592997</v>
      </c>
    </row>
    <row r="15" spans="1:17" s="460" customFormat="1">
      <c r="A15" s="458" t="s">
        <v>538</v>
      </c>
      <c r="B15" s="459">
        <f ca="1">SUM(B4:B14)</f>
        <v>38654.458111688211</v>
      </c>
      <c r="C15" s="459">
        <f t="shared" ref="C15:Q15" ca="1" si="1">SUM(C4:C14)</f>
        <v>3694.4999999999991</v>
      </c>
      <c r="D15" s="459">
        <f t="shared" ca="1" si="1"/>
        <v>34821.769726665421</v>
      </c>
      <c r="E15" s="459">
        <f t="shared" si="1"/>
        <v>1454.0359492459363</v>
      </c>
      <c r="F15" s="459">
        <f t="shared" ca="1" si="1"/>
        <v>37804.57689677045</v>
      </c>
      <c r="G15" s="459">
        <f t="shared" si="1"/>
        <v>42414.438940241926</v>
      </c>
      <c r="H15" s="459">
        <f t="shared" si="1"/>
        <v>9935.3666850185127</v>
      </c>
      <c r="I15" s="459">
        <f t="shared" si="1"/>
        <v>0</v>
      </c>
      <c r="J15" s="459">
        <f t="shared" si="1"/>
        <v>729.56558631479595</v>
      </c>
      <c r="K15" s="459">
        <f t="shared" si="1"/>
        <v>0</v>
      </c>
      <c r="L15" s="459">
        <f t="shared" ca="1" si="1"/>
        <v>0</v>
      </c>
      <c r="M15" s="459">
        <f t="shared" si="1"/>
        <v>3078.1305012436005</v>
      </c>
      <c r="N15" s="459">
        <f t="shared" ca="1" si="1"/>
        <v>5995.6364561653918</v>
      </c>
      <c r="O15" s="459">
        <f t="shared" si="1"/>
        <v>310.30155698619114</v>
      </c>
      <c r="P15" s="459">
        <f t="shared" si="1"/>
        <v>400.15979546010078</v>
      </c>
      <c r="Q15" s="459">
        <f t="shared" ca="1" si="1"/>
        <v>179292.94020580052</v>
      </c>
    </row>
    <row r="17" spans="1:17">
      <c r="A17" s="461" t="s">
        <v>539</v>
      </c>
      <c r="B17" s="777">
        <f ca="1">huishoudens!B10</f>
        <v>0.20494673885501979</v>
      </c>
      <c r="C17" s="777">
        <f ca="1">huishoudens!C10</f>
        <v>0.23363596352060925</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3355.1511632936872</v>
      </c>
      <c r="C22" s="449">
        <f t="shared" ref="C22:C32" ca="1" si="3">C4*$C$17</f>
        <v>0</v>
      </c>
      <c r="D22" s="449">
        <f t="shared" ref="D22:D32" si="4">D4*$D$17</f>
        <v>4045.1146810962664</v>
      </c>
      <c r="E22" s="449">
        <f t="shared" ref="E22:E32" si="5">E4*$E$17</f>
        <v>278.68654590413212</v>
      </c>
      <c r="F22" s="449">
        <f t="shared" ref="F22:F32" si="6">F4*$F$17</f>
        <v>7445.4807591310291</v>
      </c>
      <c r="G22" s="449">
        <f t="shared" ref="G22:G32" si="7">G4*$G$17</f>
        <v>0</v>
      </c>
      <c r="H22" s="449">
        <f t="shared" ref="H22:H32" si="8">H4*$H$17</f>
        <v>0</v>
      </c>
      <c r="I22" s="449">
        <f t="shared" ref="I22:I32" si="9">I4*$I$17</f>
        <v>0</v>
      </c>
      <c r="J22" s="449">
        <f t="shared" ref="J22:J32" si="10">J4*$J$17</f>
        <v>49.385630526402025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15173.818779951516</v>
      </c>
    </row>
    <row r="23" spans="1:17">
      <c r="A23" s="448" t="s">
        <v>155</v>
      </c>
      <c r="B23" s="449">
        <f t="shared" ca="1" si="2"/>
        <v>1474.9472440762333</v>
      </c>
      <c r="C23" s="449">
        <f t="shared" ca="1" si="3"/>
        <v>0</v>
      </c>
      <c r="D23" s="449">
        <f t="shared" ca="1" si="4"/>
        <v>2578.032100119714</v>
      </c>
      <c r="E23" s="449">
        <f t="shared" si="5"/>
        <v>9.2108530704955598</v>
      </c>
      <c r="F23" s="449">
        <f t="shared" ca="1" si="6"/>
        <v>467.10764813115225</v>
      </c>
      <c r="G23" s="449">
        <f t="shared" si="7"/>
        <v>0</v>
      </c>
      <c r="H23" s="449">
        <f t="shared" si="8"/>
        <v>0</v>
      </c>
      <c r="I23" s="449">
        <f t="shared" si="9"/>
        <v>0</v>
      </c>
      <c r="J23" s="449">
        <f t="shared" si="10"/>
        <v>7.4813782013404889E-3</v>
      </c>
      <c r="K23" s="449">
        <f t="shared" si="11"/>
        <v>0</v>
      </c>
      <c r="L23" s="449">
        <f t="shared" ca="1" si="12"/>
        <v>0</v>
      </c>
      <c r="M23" s="449">
        <f t="shared" si="13"/>
        <v>0</v>
      </c>
      <c r="N23" s="449">
        <f t="shared" ca="1" si="14"/>
        <v>0</v>
      </c>
      <c r="O23" s="449">
        <f t="shared" si="15"/>
        <v>0</v>
      </c>
      <c r="P23" s="450">
        <f t="shared" si="16"/>
        <v>0</v>
      </c>
      <c r="Q23" s="448">
        <f t="shared" ref="Q23:Q31" ca="1" si="17">SUM(B23:P23)</f>
        <v>4529.3053267757959</v>
      </c>
    </row>
    <row r="24" spans="1:17">
      <c r="A24" s="448" t="s">
        <v>193</v>
      </c>
      <c r="B24" s="449">
        <f t="shared" ca="1" si="2"/>
        <v>118.59632442649544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118.59632442649544</v>
      </c>
    </row>
    <row r="25" spans="1:17">
      <c r="A25" s="448" t="s">
        <v>111</v>
      </c>
      <c r="B25" s="449">
        <f t="shared" ca="1" si="2"/>
        <v>460.37906479741747</v>
      </c>
      <c r="C25" s="449">
        <f t="shared" ca="1" si="3"/>
        <v>863.16806722689068</v>
      </c>
      <c r="D25" s="449">
        <f t="shared" si="4"/>
        <v>0</v>
      </c>
      <c r="E25" s="449">
        <f t="shared" si="5"/>
        <v>19.016404954961427</v>
      </c>
      <c r="F25" s="449">
        <f t="shared" si="6"/>
        <v>1945.8904643689928</v>
      </c>
      <c r="G25" s="449">
        <f t="shared" si="7"/>
        <v>0</v>
      </c>
      <c r="H25" s="449">
        <f t="shared" si="8"/>
        <v>0</v>
      </c>
      <c r="I25" s="449">
        <f t="shared" si="9"/>
        <v>0</v>
      </c>
      <c r="J25" s="449">
        <f t="shared" si="10"/>
        <v>208.74462030352095</v>
      </c>
      <c r="K25" s="449">
        <f t="shared" si="11"/>
        <v>0</v>
      </c>
      <c r="L25" s="449">
        <f t="shared" si="12"/>
        <v>0</v>
      </c>
      <c r="M25" s="449">
        <f t="shared" si="13"/>
        <v>0</v>
      </c>
      <c r="N25" s="449">
        <f t="shared" si="14"/>
        <v>0</v>
      </c>
      <c r="O25" s="449">
        <f t="shared" si="15"/>
        <v>0</v>
      </c>
      <c r="P25" s="450">
        <f t="shared" si="16"/>
        <v>0</v>
      </c>
      <c r="Q25" s="448">
        <f t="shared" ca="1" si="17"/>
        <v>3497.1986216517835</v>
      </c>
    </row>
    <row r="26" spans="1:17">
      <c r="A26" s="448" t="s">
        <v>618</v>
      </c>
      <c r="B26" s="449">
        <f t="shared" ca="1" si="2"/>
        <v>2396.3602400938562</v>
      </c>
      <c r="C26" s="449">
        <f t="shared" ca="1" si="3"/>
        <v>0</v>
      </c>
      <c r="D26" s="449">
        <f t="shared" si="4"/>
        <v>307.1047774270973</v>
      </c>
      <c r="E26" s="449">
        <f t="shared" si="5"/>
        <v>2.6462677464578146</v>
      </c>
      <c r="F26" s="449">
        <f t="shared" si="6"/>
        <v>235.34315980653724</v>
      </c>
      <c r="G26" s="449">
        <f t="shared" si="7"/>
        <v>0</v>
      </c>
      <c r="H26" s="449">
        <f t="shared" si="8"/>
        <v>0</v>
      </c>
      <c r="I26" s="449">
        <f t="shared" si="9"/>
        <v>0</v>
      </c>
      <c r="J26" s="449">
        <f t="shared" si="10"/>
        <v>0.128485347313406</v>
      </c>
      <c r="K26" s="449">
        <f t="shared" si="11"/>
        <v>0</v>
      </c>
      <c r="L26" s="449">
        <f t="shared" si="12"/>
        <v>0</v>
      </c>
      <c r="M26" s="449">
        <f t="shared" si="13"/>
        <v>0</v>
      </c>
      <c r="N26" s="449">
        <f t="shared" si="14"/>
        <v>0</v>
      </c>
      <c r="O26" s="449">
        <f t="shared" si="15"/>
        <v>0</v>
      </c>
      <c r="P26" s="450">
        <f t="shared" si="16"/>
        <v>0</v>
      </c>
      <c r="Q26" s="448">
        <f t="shared" ca="1" si="17"/>
        <v>2941.5829304212621</v>
      </c>
    </row>
    <row r="27" spans="1:17" s="454" customFormat="1">
      <c r="A27" s="452" t="s">
        <v>544</v>
      </c>
      <c r="B27" s="771">
        <f t="shared" ca="1" si="2"/>
        <v>18.801072007461158</v>
      </c>
      <c r="C27" s="453">
        <f t="shared" ca="1" si="3"/>
        <v>0</v>
      </c>
      <c r="D27" s="453">
        <f t="shared" si="4"/>
        <v>32.990816430147902</v>
      </c>
      <c r="E27" s="453">
        <f t="shared" si="5"/>
        <v>20.506088802780642</v>
      </c>
      <c r="F27" s="453">
        <f t="shared" si="6"/>
        <v>0</v>
      </c>
      <c r="G27" s="453">
        <f t="shared" si="7"/>
        <v>11193.468020924456</v>
      </c>
      <c r="H27" s="453">
        <f t="shared" si="8"/>
        <v>2473.9063045696098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13739.672302734456</v>
      </c>
    </row>
    <row r="28" spans="1:17" ht="16.5" customHeight="1">
      <c r="A28" s="448" t="s">
        <v>534</v>
      </c>
      <c r="B28" s="449">
        <f t="shared" ca="1" si="2"/>
        <v>1.4107678679585784</v>
      </c>
      <c r="C28" s="449">
        <f t="shared" ca="1" si="3"/>
        <v>0</v>
      </c>
      <c r="D28" s="449">
        <f t="shared" si="4"/>
        <v>0</v>
      </c>
      <c r="E28" s="449">
        <f t="shared" si="5"/>
        <v>0</v>
      </c>
      <c r="F28" s="449">
        <f t="shared" si="6"/>
        <v>0</v>
      </c>
      <c r="G28" s="449">
        <f t="shared" si="7"/>
        <v>131.1871761201385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132.59794398809709</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96.459255635356357</v>
      </c>
      <c r="C32" s="449">
        <f t="shared" ca="1" si="3"/>
        <v>0</v>
      </c>
      <c r="D32" s="449">
        <f t="shared" si="4"/>
        <v>70.755109713190052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167.21436534854641</v>
      </c>
    </row>
    <row r="33" spans="1:17" s="460" customFormat="1">
      <c r="A33" s="458" t="s">
        <v>538</v>
      </c>
      <c r="B33" s="459">
        <f ca="1">SUM(B22:B32)</f>
        <v>7922.1051321984651</v>
      </c>
      <c r="C33" s="459">
        <f t="shared" ref="C33:Q33" ca="1" si="19">SUM(C22:C32)</f>
        <v>863.16806722689068</v>
      </c>
      <c r="D33" s="459">
        <f t="shared" ca="1" si="19"/>
        <v>7033.997484786416</v>
      </c>
      <c r="E33" s="459">
        <f t="shared" si="19"/>
        <v>330.06616047882756</v>
      </c>
      <c r="F33" s="459">
        <f t="shared" ca="1" si="19"/>
        <v>10093.822031437712</v>
      </c>
      <c r="G33" s="459">
        <f t="shared" si="19"/>
        <v>11324.655197044594</v>
      </c>
      <c r="H33" s="459">
        <f t="shared" si="19"/>
        <v>2473.9063045696098</v>
      </c>
      <c r="I33" s="459">
        <f t="shared" si="19"/>
        <v>0</v>
      </c>
      <c r="J33" s="459">
        <f t="shared" si="19"/>
        <v>258.26621755543772</v>
      </c>
      <c r="K33" s="459">
        <f t="shared" si="19"/>
        <v>0</v>
      </c>
      <c r="L33" s="459">
        <f t="shared" ca="1" si="19"/>
        <v>0</v>
      </c>
      <c r="M33" s="459">
        <f t="shared" si="19"/>
        <v>0</v>
      </c>
      <c r="N33" s="459">
        <f t="shared" ca="1" si="19"/>
        <v>0</v>
      </c>
      <c r="O33" s="459">
        <f t="shared" si="19"/>
        <v>0</v>
      </c>
      <c r="P33" s="459">
        <f t="shared" si="19"/>
        <v>0</v>
      </c>
      <c r="Q33" s="459">
        <f t="shared" ca="1" si="19"/>
        <v>40299.986595297953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2955.6950567577092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43.649999999999991</v>
      </c>
      <c r="C8" s="1015">
        <f>'SEAP template'!C76</f>
        <v>2542.4999999999995</v>
      </c>
      <c r="D8" s="1015">
        <f>'SEAP template'!D76</f>
        <v>2991.1764705882351</v>
      </c>
      <c r="E8" s="1015">
        <f>'SEAP template'!E76</f>
        <v>0</v>
      </c>
      <c r="F8" s="1015">
        <f>'SEAP template'!F76</f>
        <v>0</v>
      </c>
      <c r="G8" s="1015">
        <f>'SEAP template'!G76</f>
        <v>0</v>
      </c>
      <c r="H8" s="1015">
        <f>'SEAP template'!H76</f>
        <v>0</v>
      </c>
      <c r="I8" s="1015">
        <f>'SEAP template'!I76</f>
        <v>0</v>
      </c>
      <c r="J8" s="1015">
        <f>'SEAP template'!J76</f>
        <v>51.352941176470587</v>
      </c>
      <c r="K8" s="1015">
        <f>'SEAP template'!K76</f>
        <v>0</v>
      </c>
      <c r="L8" s="1015">
        <f>'SEAP template'!L76</f>
        <v>0</v>
      </c>
      <c r="M8" s="1015">
        <f>'SEAP template'!M76</f>
        <v>0</v>
      </c>
      <c r="N8" s="1015">
        <f>'SEAP template'!N76</f>
        <v>0</v>
      </c>
      <c r="O8" s="1015">
        <f>'SEAP template'!O76</f>
        <v>0</v>
      </c>
      <c r="P8" s="1016">
        <f>'SEAP template'!Q76</f>
        <v>604.21764705882356</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2999.3450567577092</v>
      </c>
      <c r="C10" s="1017">
        <f>SUM(C4:C9)</f>
        <v>2542.4999999999995</v>
      </c>
      <c r="D10" s="1017">
        <f t="shared" ref="D10:H10" si="0">SUM(D8:D9)</f>
        <v>2991.1764705882351</v>
      </c>
      <c r="E10" s="1017">
        <f t="shared" si="0"/>
        <v>0</v>
      </c>
      <c r="F10" s="1017">
        <f t="shared" si="0"/>
        <v>0</v>
      </c>
      <c r="G10" s="1017">
        <f t="shared" si="0"/>
        <v>0</v>
      </c>
      <c r="H10" s="1017">
        <f t="shared" si="0"/>
        <v>0</v>
      </c>
      <c r="I10" s="1017">
        <f>SUM(I8:I9)</f>
        <v>0</v>
      </c>
      <c r="J10" s="1017">
        <f>SUM(J8:J9)</f>
        <v>51.352941176470587</v>
      </c>
      <c r="K10" s="1017">
        <f t="shared" ref="K10:L10" si="1">SUM(K8:K9)</f>
        <v>0</v>
      </c>
      <c r="L10" s="1017">
        <f t="shared" si="1"/>
        <v>0</v>
      </c>
      <c r="M10" s="1017">
        <f>SUM(M8:M9)</f>
        <v>0</v>
      </c>
      <c r="N10" s="1017">
        <f>SUM(N8:N9)</f>
        <v>0</v>
      </c>
      <c r="O10" s="1017">
        <f>SUM(O8:O9)</f>
        <v>0</v>
      </c>
      <c r="P10" s="1017">
        <f>SUM(P8:P9)</f>
        <v>604.21764705882356</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0.20494673885501979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62.35714285714284</v>
      </c>
      <c r="C17" s="1018">
        <f>'SEAP template'!C87</f>
        <v>3632.1428571428564</v>
      </c>
      <c r="D17" s="1016">
        <f>'SEAP template'!D87</f>
        <v>4273.1092436974786</v>
      </c>
      <c r="E17" s="1016">
        <f>'SEAP template'!E87</f>
        <v>0</v>
      </c>
      <c r="F17" s="1016">
        <f>'SEAP template'!F87</f>
        <v>0</v>
      </c>
      <c r="G17" s="1016">
        <f>'SEAP template'!G87</f>
        <v>0</v>
      </c>
      <c r="H17" s="1016">
        <f>'SEAP template'!H87</f>
        <v>0</v>
      </c>
      <c r="I17" s="1016">
        <f>'SEAP template'!I87</f>
        <v>0</v>
      </c>
      <c r="J17" s="1016">
        <f>'SEAP template'!J87</f>
        <v>73.361344537815114</v>
      </c>
      <c r="K17" s="1016">
        <f>'SEAP template'!K87</f>
        <v>0</v>
      </c>
      <c r="L17" s="1016">
        <f>'SEAP template'!L87</f>
        <v>0</v>
      </c>
      <c r="M17" s="1016">
        <f>'SEAP template'!M87</f>
        <v>0</v>
      </c>
      <c r="N17" s="1016">
        <f>'SEAP template'!N87</f>
        <v>0</v>
      </c>
      <c r="O17" s="1016">
        <f>'SEAP template'!O87</f>
        <v>0</v>
      </c>
      <c r="P17" s="1016">
        <f>'SEAP template'!Q87</f>
        <v>863.16806722689068</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62.35714285714284</v>
      </c>
      <c r="C20" s="1017">
        <f>SUM(C17:C19)</f>
        <v>3632.1428571428564</v>
      </c>
      <c r="D20" s="1017">
        <f t="shared" ref="D20:H20" si="2">SUM(D17:D19)</f>
        <v>4273.1092436974786</v>
      </c>
      <c r="E20" s="1017">
        <f t="shared" si="2"/>
        <v>0</v>
      </c>
      <c r="F20" s="1017">
        <f t="shared" si="2"/>
        <v>0</v>
      </c>
      <c r="G20" s="1017">
        <f t="shared" si="2"/>
        <v>0</v>
      </c>
      <c r="H20" s="1017">
        <f t="shared" si="2"/>
        <v>0</v>
      </c>
      <c r="I20" s="1017">
        <f>SUM(I17:I19)</f>
        <v>0</v>
      </c>
      <c r="J20" s="1017">
        <f>SUM(J17:J19)</f>
        <v>73.361344537815114</v>
      </c>
      <c r="K20" s="1017">
        <f t="shared" ref="K20:L20" si="3">SUM(K17:K19)</f>
        <v>0</v>
      </c>
      <c r="L20" s="1017">
        <f t="shared" si="3"/>
        <v>0</v>
      </c>
      <c r="M20" s="1017">
        <f>SUM(M17:M19)</f>
        <v>0</v>
      </c>
      <c r="N20" s="1017">
        <f>SUM(N17:N19)</f>
        <v>0</v>
      </c>
      <c r="O20" s="1017">
        <f>SUM(O17:O19)</f>
        <v>0</v>
      </c>
      <c r="P20" s="1017">
        <f>SUM(P17:P19)</f>
        <v>863.16806722689068</v>
      </c>
    </row>
    <row r="21" spans="1:16">
      <c r="B21" s="882"/>
    </row>
    <row r="22" spans="1:16">
      <c r="A22" s="461" t="s">
        <v>762</v>
      </c>
      <c r="B22" s="777" t="s">
        <v>760</v>
      </c>
      <c r="C22" s="777">
        <f ca="1">'EF ele_warmte'!B22</f>
        <v>0.23363596352060925</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0.20494673885501979</v>
      </c>
      <c r="C17" s="497">
        <f ca="1">'EF ele_warmte'!B22</f>
        <v>0.23363596352060925</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1</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52.539138306495019</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0.20494673885501979</v>
      </c>
      <c r="C17" s="497">
        <f ca="1">'EF ele_warmte'!B22</f>
        <v>0.23363596352060925</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0.20494673885501979</v>
      </c>
      <c r="C29" s="498">
        <f ca="1">'EF ele_warmte'!B22</f>
        <v>0.23363596352060925</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3490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2328.6699348210464</v>
      </c>
      <c r="C14" s="326"/>
      <c r="D14" s="326"/>
      <c r="E14" s="326"/>
      <c r="F14" s="326"/>
    </row>
    <row r="15" spans="1:6">
      <c r="A15" s="1307" t="s">
        <v>183</v>
      </c>
      <c r="B15" s="1308">
        <v>565.09707241910633</v>
      </c>
      <c r="C15" s="326"/>
      <c r="D15" s="326"/>
      <c r="E15" s="326"/>
      <c r="F15" s="326"/>
    </row>
    <row r="16" spans="1:6">
      <c r="A16" s="1307" t="s">
        <v>6</v>
      </c>
      <c r="B16" s="1308">
        <v>1355.7850125216721</v>
      </c>
      <c r="C16" s="326"/>
      <c r="D16" s="326"/>
      <c r="E16" s="326"/>
      <c r="F16" s="326"/>
    </row>
    <row r="17" spans="1:6">
      <c r="A17" s="1307" t="s">
        <v>7</v>
      </c>
      <c r="B17" s="1308">
        <v>426.94986807387863</v>
      </c>
      <c r="C17" s="326"/>
      <c r="D17" s="326"/>
      <c r="E17" s="326"/>
      <c r="F17" s="326"/>
    </row>
    <row r="18" spans="1:6">
      <c r="A18" s="1307" t="s">
        <v>8</v>
      </c>
      <c r="B18" s="1308">
        <v>1220.6811279826463</v>
      </c>
      <c r="C18" s="326"/>
      <c r="D18" s="326"/>
      <c r="E18" s="326"/>
      <c r="F18" s="326"/>
    </row>
    <row r="19" spans="1:6">
      <c r="A19" s="1307" t="s">
        <v>9</v>
      </c>
      <c r="B19" s="1308">
        <v>1297.6028352312342</v>
      </c>
      <c r="C19" s="326"/>
      <c r="D19" s="326"/>
      <c r="E19" s="326"/>
      <c r="F19" s="326"/>
    </row>
    <row r="20" spans="1:6">
      <c r="A20" s="1307" t="s">
        <v>10</v>
      </c>
      <c r="B20" s="1308">
        <v>844.70588235294122</v>
      </c>
      <c r="C20" s="326"/>
      <c r="D20" s="326"/>
      <c r="E20" s="326"/>
      <c r="F20" s="326"/>
    </row>
    <row r="21" spans="1:6">
      <c r="A21" s="1307" t="s">
        <v>11</v>
      </c>
      <c r="B21" s="1308">
        <v>11246.433239343174</v>
      </c>
      <c r="C21" s="326"/>
      <c r="D21" s="326"/>
      <c r="E21" s="326"/>
      <c r="F21" s="326"/>
    </row>
    <row r="22" spans="1:6">
      <c r="A22" s="1307" t="s">
        <v>12</v>
      </c>
      <c r="B22" s="1308">
        <v>27342.441952394045</v>
      </c>
      <c r="C22" s="326"/>
      <c r="D22" s="326"/>
      <c r="E22" s="326"/>
      <c r="F22" s="326"/>
    </row>
    <row r="23" spans="1:6">
      <c r="A23" s="1307" t="s">
        <v>13</v>
      </c>
      <c r="B23" s="1308">
        <v>546.2361111111112</v>
      </c>
      <c r="C23" s="326"/>
      <c r="D23" s="326"/>
      <c r="E23" s="326"/>
      <c r="F23" s="326"/>
    </row>
    <row r="24" spans="1:6">
      <c r="A24" s="1307" t="s">
        <v>14</v>
      </c>
      <c r="B24" s="1308">
        <v>11.441860465116278</v>
      </c>
      <c r="C24" s="326"/>
      <c r="D24" s="326"/>
      <c r="E24" s="326"/>
      <c r="F24" s="326"/>
    </row>
    <row r="25" spans="1:6">
      <c r="A25" s="1307" t="s">
        <v>15</v>
      </c>
      <c r="B25" s="1308">
        <v>2289.2066213420039</v>
      </c>
      <c r="C25" s="326"/>
      <c r="D25" s="326"/>
      <c r="E25" s="326"/>
      <c r="F25" s="326"/>
    </row>
    <row r="26" spans="1:6">
      <c r="A26" s="1307" t="s">
        <v>16</v>
      </c>
      <c r="B26" s="1308">
        <v>332.1562952243126</v>
      </c>
      <c r="C26" s="326"/>
      <c r="D26" s="326"/>
      <c r="E26" s="326"/>
      <c r="F26" s="326"/>
    </row>
    <row r="27" spans="1:6">
      <c r="A27" s="1307" t="s">
        <v>17</v>
      </c>
      <c r="B27" s="1308">
        <v>1143.9000000000001</v>
      </c>
      <c r="C27" s="326"/>
      <c r="D27" s="326"/>
      <c r="E27" s="326"/>
      <c r="F27" s="326"/>
    </row>
    <row r="28" spans="1:6" s="43" customFormat="1">
      <c r="A28" s="1309" t="s">
        <v>18</v>
      </c>
      <c r="B28" s="1310">
        <v>98248.449524867334</v>
      </c>
      <c r="C28" s="332"/>
      <c r="D28" s="332"/>
      <c r="E28" s="332"/>
      <c r="F28" s="332"/>
    </row>
    <row r="29" spans="1:6">
      <c r="A29" s="1309" t="s">
        <v>688</v>
      </c>
      <c r="B29" s="1310">
        <v>164.42159383033419</v>
      </c>
      <c r="C29" s="332"/>
      <c r="D29" s="332"/>
      <c r="E29" s="332"/>
      <c r="F29" s="332"/>
    </row>
    <row r="30" spans="1:6">
      <c r="A30" s="1302" t="s">
        <v>689</v>
      </c>
      <c r="B30" s="1311">
        <v>66.810344827586206</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1558</v>
      </c>
      <c r="D39" s="1308">
        <v>22176434.3338282</v>
      </c>
      <c r="E39" s="1308">
        <v>3268</v>
      </c>
      <c r="F39" s="1308">
        <v>13867907.7476044</v>
      </c>
    </row>
    <row r="40" spans="1:6">
      <c r="A40" s="1307" t="s">
        <v>29</v>
      </c>
      <c r="B40" s="1307" t="s">
        <v>28</v>
      </c>
      <c r="C40" s="1308">
        <v>0</v>
      </c>
      <c r="D40" s="1308">
        <v>0</v>
      </c>
      <c r="E40" s="1308">
        <v>0</v>
      </c>
      <c r="F40" s="1308">
        <v>0</v>
      </c>
    </row>
    <row r="41" spans="1:6">
      <c r="A41" s="1307" t="s">
        <v>31</v>
      </c>
      <c r="B41" s="1307" t="s">
        <v>32</v>
      </c>
      <c r="C41" s="1308">
        <v>48</v>
      </c>
      <c r="D41" s="1308">
        <v>1014955.9818463</v>
      </c>
      <c r="E41" s="1308">
        <v>126</v>
      </c>
      <c r="F41" s="1308">
        <v>1308655.0824773</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4</v>
      </c>
      <c r="D44" s="1308">
        <v>29409.352110913998</v>
      </c>
      <c r="E44" s="1308">
        <v>23</v>
      </c>
      <c r="F44" s="1308">
        <v>213783.84924929301</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4</v>
      </c>
      <c r="F47" s="1308">
        <v>6149106.4892602004</v>
      </c>
    </row>
    <row r="48" spans="1:6">
      <c r="A48" s="1307" t="s">
        <v>31</v>
      </c>
      <c r="B48" s="1307" t="s">
        <v>28</v>
      </c>
      <c r="C48" s="1308">
        <v>1</v>
      </c>
      <c r="D48" s="1308">
        <v>38329.097726016596</v>
      </c>
      <c r="E48" s="1308">
        <v>1</v>
      </c>
      <c r="F48" s="1308">
        <v>1948.5740568374999</v>
      </c>
    </row>
    <row r="49" spans="1:6">
      <c r="A49" s="1307" t="s">
        <v>31</v>
      </c>
      <c r="B49" s="1307" t="s">
        <v>39</v>
      </c>
      <c r="C49" s="1308">
        <v>0</v>
      </c>
      <c r="D49" s="1308">
        <v>0</v>
      </c>
      <c r="E49" s="1308">
        <v>0</v>
      </c>
      <c r="F49" s="1308">
        <v>0</v>
      </c>
    </row>
    <row r="50" spans="1:6">
      <c r="A50" s="1307" t="s">
        <v>31</v>
      </c>
      <c r="B50" s="1307" t="s">
        <v>40</v>
      </c>
      <c r="C50" s="1308">
        <v>8</v>
      </c>
      <c r="D50" s="1308">
        <v>600938.65838561195</v>
      </c>
      <c r="E50" s="1308">
        <v>14</v>
      </c>
      <c r="F50" s="1308">
        <v>4019106.0115807801</v>
      </c>
    </row>
    <row r="51" spans="1:6">
      <c r="A51" s="1307" t="s">
        <v>41</v>
      </c>
      <c r="B51" s="1307" t="s">
        <v>42</v>
      </c>
      <c r="C51" s="1308">
        <v>4</v>
      </c>
      <c r="D51" s="1308">
        <v>57213.248434551599</v>
      </c>
      <c r="E51" s="1308">
        <v>106</v>
      </c>
      <c r="F51" s="1308">
        <v>2246335.1569750598</v>
      </c>
    </row>
    <row r="52" spans="1:6">
      <c r="A52" s="1307" t="s">
        <v>41</v>
      </c>
      <c r="B52" s="1307" t="s">
        <v>28</v>
      </c>
      <c r="C52" s="1308">
        <v>0</v>
      </c>
      <c r="D52" s="1308">
        <v>0</v>
      </c>
      <c r="E52" s="1308">
        <v>0</v>
      </c>
      <c r="F52" s="1308">
        <v>0</v>
      </c>
    </row>
    <row r="53" spans="1:6">
      <c r="A53" s="1307" t="s">
        <v>43</v>
      </c>
      <c r="B53" s="1307" t="s">
        <v>44</v>
      </c>
      <c r="C53" s="1308">
        <v>32</v>
      </c>
      <c r="D53" s="1308">
        <v>350272.82036232698</v>
      </c>
      <c r="E53" s="1308">
        <v>117</v>
      </c>
      <c r="F53" s="1308">
        <v>470655.23547360301</v>
      </c>
    </row>
    <row r="54" spans="1:6">
      <c r="A54" s="1307" t="s">
        <v>45</v>
      </c>
      <c r="B54" s="1307" t="s">
        <v>46</v>
      </c>
      <c r="C54" s="1308">
        <v>0</v>
      </c>
      <c r="D54" s="1308">
        <v>0</v>
      </c>
      <c r="E54" s="1308">
        <v>1</v>
      </c>
      <c r="F54" s="1308">
        <v>578669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31</v>
      </c>
      <c r="D57" s="1308">
        <v>1600552.9375458199</v>
      </c>
      <c r="E57" s="1308">
        <v>93</v>
      </c>
      <c r="F57" s="1308">
        <v>2139957.6437947601</v>
      </c>
    </row>
    <row r="58" spans="1:6">
      <c r="A58" s="1307" t="s">
        <v>48</v>
      </c>
      <c r="B58" s="1307" t="s">
        <v>50</v>
      </c>
      <c r="C58" s="1308">
        <v>13</v>
      </c>
      <c r="D58" s="1308">
        <v>1316446.9367533501</v>
      </c>
      <c r="E58" s="1308">
        <v>23</v>
      </c>
      <c r="F58" s="1308">
        <v>421294.69004528702</v>
      </c>
    </row>
    <row r="59" spans="1:6">
      <c r="A59" s="1307" t="s">
        <v>48</v>
      </c>
      <c r="B59" s="1307" t="s">
        <v>51</v>
      </c>
      <c r="C59" s="1308">
        <v>42</v>
      </c>
      <c r="D59" s="1308">
        <v>7613415.3666197099</v>
      </c>
      <c r="E59" s="1308">
        <v>130</v>
      </c>
      <c r="F59" s="1308">
        <v>2741536.6573969801</v>
      </c>
    </row>
    <row r="60" spans="1:6">
      <c r="A60" s="1307" t="s">
        <v>48</v>
      </c>
      <c r="B60" s="1307" t="s">
        <v>52</v>
      </c>
      <c r="C60" s="1308">
        <v>25</v>
      </c>
      <c r="D60" s="1308">
        <v>1275718.1980054399</v>
      </c>
      <c r="E60" s="1308">
        <v>37</v>
      </c>
      <c r="F60" s="1308">
        <v>615005.07994353701</v>
      </c>
    </row>
    <row r="61" spans="1:6">
      <c r="A61" s="1307" t="s">
        <v>48</v>
      </c>
      <c r="B61" s="1307" t="s">
        <v>53</v>
      </c>
      <c r="C61" s="1308">
        <v>75</v>
      </c>
      <c r="D61" s="1308">
        <v>2307387.6748666102</v>
      </c>
      <c r="E61" s="1308">
        <v>155</v>
      </c>
      <c r="F61" s="1308">
        <v>1221011.52090391</v>
      </c>
    </row>
    <row r="62" spans="1:6">
      <c r="A62" s="1307" t="s">
        <v>48</v>
      </c>
      <c r="B62" s="1307" t="s">
        <v>54</v>
      </c>
      <c r="C62" s="1308">
        <v>0</v>
      </c>
      <c r="D62" s="1308">
        <v>0</v>
      </c>
      <c r="E62" s="1308">
        <v>5</v>
      </c>
      <c r="F62" s="1308">
        <v>57928.800062245602</v>
      </c>
    </row>
    <row r="63" spans="1:6">
      <c r="A63" s="1307" t="s">
        <v>48</v>
      </c>
      <c r="B63" s="1307" t="s">
        <v>28</v>
      </c>
      <c r="C63" s="1308">
        <v>2</v>
      </c>
      <c r="D63" s="1308">
        <v>19961.886328109202</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35182.883840129398</v>
      </c>
      <c r="E65" s="1308">
        <v>0</v>
      </c>
      <c r="F65" s="1308">
        <v>0</v>
      </c>
    </row>
    <row r="66" spans="1:6">
      <c r="A66" s="1307" t="s">
        <v>55</v>
      </c>
      <c r="B66" s="1307" t="s">
        <v>57</v>
      </c>
      <c r="C66" s="1308">
        <v>0</v>
      </c>
      <c r="D66" s="1308">
        <v>0</v>
      </c>
      <c r="E66" s="1308">
        <v>6</v>
      </c>
      <c r="F66" s="1308">
        <v>128995.91821413999</v>
      </c>
    </row>
    <row r="67" spans="1:6">
      <c r="A67" s="1309" t="s">
        <v>55</v>
      </c>
      <c r="B67" s="1309" t="s">
        <v>58</v>
      </c>
      <c r="C67" s="1308">
        <v>0</v>
      </c>
      <c r="D67" s="1308">
        <v>0</v>
      </c>
      <c r="E67" s="1308">
        <v>0</v>
      </c>
      <c r="F67" s="1308">
        <v>0</v>
      </c>
    </row>
    <row r="68" spans="1:6">
      <c r="A68" s="1302" t="s">
        <v>55</v>
      </c>
      <c r="B68" s="1302" t="s">
        <v>59</v>
      </c>
      <c r="C68" s="1311">
        <v>0</v>
      </c>
      <c r="D68" s="1311">
        <v>0</v>
      </c>
      <c r="E68" s="1311">
        <v>8</v>
      </c>
      <c r="F68" s="1311">
        <v>69658.3163647076</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59266861</v>
      </c>
      <c r="E73" s="447"/>
      <c r="F73" s="326"/>
    </row>
    <row r="74" spans="1:6">
      <c r="A74" s="1307" t="s">
        <v>63</v>
      </c>
      <c r="B74" s="1307" t="s">
        <v>639</v>
      </c>
      <c r="C74" s="1321" t="s">
        <v>641</v>
      </c>
      <c r="D74" s="1322">
        <v>5573416.1071046684</v>
      </c>
      <c r="E74" s="447"/>
      <c r="F74" s="326"/>
    </row>
    <row r="75" spans="1:6">
      <c r="A75" s="1307" t="s">
        <v>64</v>
      </c>
      <c r="B75" s="1307" t="s">
        <v>638</v>
      </c>
      <c r="C75" s="1321" t="s">
        <v>642</v>
      </c>
      <c r="D75" s="1322">
        <v>5011207</v>
      </c>
      <c r="E75" s="447"/>
      <c r="F75" s="326"/>
    </row>
    <row r="76" spans="1:6">
      <c r="A76" s="1307" t="s">
        <v>64</v>
      </c>
      <c r="B76" s="1307" t="s">
        <v>639</v>
      </c>
      <c r="C76" s="1321" t="s">
        <v>643</v>
      </c>
      <c r="D76" s="1322">
        <v>60183.107104668496</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145497.78579066301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2502.9366095099385</v>
      </c>
      <c r="C91" s="326"/>
      <c r="D91" s="326"/>
      <c r="E91" s="326"/>
      <c r="F91" s="326"/>
    </row>
    <row r="92" spans="1:6">
      <c r="A92" s="1302" t="s">
        <v>68</v>
      </c>
      <c r="B92" s="1303">
        <v>452.75844724777073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574</v>
      </c>
      <c r="C97" s="326"/>
      <c r="D97" s="326"/>
      <c r="E97" s="326"/>
      <c r="F97" s="326"/>
    </row>
    <row r="98" spans="1:6">
      <c r="A98" s="1307" t="s">
        <v>71</v>
      </c>
      <c r="B98" s="1308">
        <v>0</v>
      </c>
      <c r="C98" s="326"/>
      <c r="D98" s="326"/>
      <c r="E98" s="326"/>
      <c r="F98" s="326"/>
    </row>
    <row r="99" spans="1:6">
      <c r="A99" s="1307" t="s">
        <v>72</v>
      </c>
      <c r="B99" s="1308">
        <v>84</v>
      </c>
      <c r="C99" s="326"/>
      <c r="D99" s="326"/>
      <c r="E99" s="326"/>
      <c r="F99" s="326"/>
    </row>
    <row r="100" spans="1:6">
      <c r="A100" s="1307" t="s">
        <v>73</v>
      </c>
      <c r="B100" s="1308">
        <v>427</v>
      </c>
      <c r="C100" s="326"/>
      <c r="D100" s="326"/>
      <c r="E100" s="326"/>
      <c r="F100" s="326"/>
    </row>
    <row r="101" spans="1:6">
      <c r="A101" s="1307" t="s">
        <v>74</v>
      </c>
      <c r="B101" s="1308">
        <v>129</v>
      </c>
      <c r="C101" s="326"/>
      <c r="D101" s="326"/>
      <c r="E101" s="326"/>
      <c r="F101" s="326"/>
    </row>
    <row r="102" spans="1:6">
      <c r="A102" s="1307" t="s">
        <v>75</v>
      </c>
      <c r="B102" s="1308">
        <v>100</v>
      </c>
      <c r="C102" s="326"/>
      <c r="D102" s="326"/>
      <c r="E102" s="326"/>
      <c r="F102" s="326"/>
    </row>
    <row r="103" spans="1:6">
      <c r="A103" s="1307" t="s">
        <v>76</v>
      </c>
      <c r="B103" s="1308">
        <v>166</v>
      </c>
      <c r="C103" s="326"/>
      <c r="D103" s="326"/>
      <c r="E103" s="326"/>
      <c r="F103" s="326"/>
    </row>
    <row r="104" spans="1:6">
      <c r="A104" s="1307" t="s">
        <v>77</v>
      </c>
      <c r="B104" s="1308">
        <v>1598</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1</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17</v>
      </c>
      <c r="C123" s="1308">
        <v>22</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127</v>
      </c>
      <c r="C129" s="326"/>
      <c r="D129" s="326"/>
      <c r="E129" s="326"/>
      <c r="F129" s="326"/>
    </row>
    <row r="130" spans="1:6">
      <c r="A130" s="1307" t="s">
        <v>290</v>
      </c>
      <c r="B130" s="1308">
        <v>3</v>
      </c>
      <c r="C130" s="326"/>
      <c r="D130" s="326"/>
      <c r="E130" s="326"/>
      <c r="F130" s="326"/>
    </row>
    <row r="131" spans="1:6">
      <c r="A131" s="1307" t="s">
        <v>291</v>
      </c>
      <c r="B131" s="1308">
        <v>1</v>
      </c>
      <c r="C131" s="326"/>
      <c r="D131" s="326"/>
      <c r="E131" s="326"/>
      <c r="F131" s="326"/>
    </row>
    <row r="132" spans="1:6">
      <c r="A132" s="1302" t="s">
        <v>292</v>
      </c>
      <c r="B132" s="1303">
        <v>16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38654.458111688211</v>
      </c>
      <c r="C3" s="43" t="s">
        <v>169</v>
      </c>
      <c r="D3" s="43"/>
      <c r="E3" s="154"/>
      <c r="F3" s="43"/>
      <c r="G3" s="43"/>
      <c r="H3" s="43"/>
      <c r="I3" s="43"/>
      <c r="J3" s="43"/>
      <c r="K3" s="96"/>
    </row>
    <row r="4" spans="1:11">
      <c r="A4" s="354" t="s">
        <v>170</v>
      </c>
      <c r="B4" s="49">
        <f>IF(ISERROR('SEAP template'!B78+'SEAP template'!C78),0,'SEAP template'!B78+'SEAP template'!C78)</f>
        <v>5541.8450567577092</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604.21764705882356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0.20494673885501979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863.16806722689068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3694.4999999999991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0.23363596352060925</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578.66899999999998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578.66899999999998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0.20494673885501979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118.59632442649544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13867.9077476044</v>
      </c>
      <c r="C5" s="17">
        <f>IF(ISERROR('Eigen informatie GS &amp; warmtenet'!B59),0,'Eigen informatie GS &amp; warmtenet'!B59)</f>
        <v>0</v>
      </c>
      <c r="D5" s="30">
        <f>(SUM(HH_hh_gas_kWh,HH_rest_gas_kWh)/1000)*0.903</f>
        <v>20025.320203446863</v>
      </c>
      <c r="E5" s="17">
        <f>B32*B41</f>
        <v>1227.6940348199653</v>
      </c>
      <c r="F5" s="17">
        <f>B36*B45</f>
        <v>27885.695727082504</v>
      </c>
      <c r="G5" s="18"/>
      <c r="H5" s="17"/>
      <c r="I5" s="17"/>
      <c r="J5" s="17">
        <f>B35*B44+C35*C44</f>
        <v>139.50743086554246</v>
      </c>
      <c r="K5" s="17"/>
      <c r="L5" s="17"/>
      <c r="M5" s="17"/>
      <c r="N5" s="17">
        <f>B34*B43+C34*C43</f>
        <v>5042.1079945230958</v>
      </c>
      <c r="O5" s="17">
        <f>B52*B53*B54</f>
        <v>295.6097746886677</v>
      </c>
      <c r="P5" s="17">
        <f>B60*B61*B62/1000-B60*B61*B62/1000/B63</f>
        <v>347.62065715360575</v>
      </c>
    </row>
    <row r="6" spans="1:16">
      <c r="A6" s="16" t="s">
        <v>604</v>
      </c>
      <c r="B6" s="779">
        <f>kWh_PV_kleiner_dan_10kW</f>
        <v>2502.9366095099385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16370.84435711434</v>
      </c>
      <c r="C8" s="21">
        <f>C5</f>
        <v>0</v>
      </c>
      <c r="D8" s="21">
        <f>D5</f>
        <v>20025.320203446863</v>
      </c>
      <c r="E8" s="21">
        <f>E5</f>
        <v>1227.6940348199653</v>
      </c>
      <c r="F8" s="21">
        <f>F5</f>
        <v>27885.695727082504</v>
      </c>
      <c r="G8" s="21"/>
      <c r="H8" s="21"/>
      <c r="I8" s="21"/>
      <c r="J8" s="21">
        <f>J5</f>
        <v>139.50743086554246</v>
      </c>
      <c r="K8" s="21"/>
      <c r="L8" s="21">
        <f>L5</f>
        <v>0</v>
      </c>
      <c r="M8" s="21">
        <f>M5</f>
        <v>0</v>
      </c>
      <c r="N8" s="21">
        <f>N5</f>
        <v>5042.1079945230958</v>
      </c>
      <c r="O8" s="21">
        <f>O5</f>
        <v>295.6097746886677</v>
      </c>
      <c r="P8" s="21">
        <f>P5</f>
        <v>347.62065715360575</v>
      </c>
    </row>
    <row r="9" spans="1:16">
      <c r="B9" s="19"/>
      <c r="C9" s="19"/>
      <c r="D9" s="254"/>
      <c r="E9" s="19"/>
      <c r="F9" s="19"/>
      <c r="G9" s="19"/>
      <c r="H9" s="19"/>
      <c r="I9" s="19"/>
      <c r="J9" s="19"/>
      <c r="K9" s="19"/>
      <c r="L9" s="19"/>
      <c r="M9" s="19"/>
      <c r="N9" s="19"/>
      <c r="O9" s="19"/>
      <c r="P9" s="19"/>
    </row>
    <row r="10" spans="1:16">
      <c r="A10" s="24" t="s">
        <v>213</v>
      </c>
      <c r="B10" s="25">
        <f ca="1">'EF ele_warmte'!B12</f>
        <v>0.20494673885501979</v>
      </c>
      <c r="C10" s="25">
        <f ca="1">'EF ele_warmte'!B22</f>
        <v>0.23363596352060925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3355.1511632936872</v>
      </c>
      <c r="C12" s="23">
        <f ca="1">C10*C8</f>
        <v>0</v>
      </c>
      <c r="D12" s="23">
        <f>D8*D10</f>
        <v>4045.1146810962664</v>
      </c>
      <c r="E12" s="23">
        <f>E10*E8</f>
        <v>278.68654590413212</v>
      </c>
      <c r="F12" s="23">
        <f>F10*F8</f>
        <v>7445.4807591310291</v>
      </c>
      <c r="G12" s="23"/>
      <c r="H12" s="23"/>
      <c r="I12" s="23"/>
      <c r="J12" s="23">
        <f>J10*J8</f>
        <v>49.385630526402025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3490</v>
      </c>
      <c r="C26" s="36"/>
      <c r="D26" s="225"/>
    </row>
    <row r="27" spans="1:5" s="15" customFormat="1">
      <c r="A27" s="227" t="s">
        <v>817</v>
      </c>
      <c r="B27" s="37">
        <f>SUM(HH_hh_gas_aantal,HH_rest_gas_aantal)</f>
        <v>1558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1480.1</v>
      </c>
      <c r="C31" s="34" t="s">
        <v>110</v>
      </c>
      <c r="D31" s="171"/>
    </row>
    <row r="32" spans="1:5">
      <c r="A32" s="168" t="s">
        <v>72</v>
      </c>
      <c r="B32" s="33">
        <f>IF((B21*($B$26-($B$27-0.05*$B$27)-$B$60))&lt;0,0,B21*($B$26-($B$27-0.05*$B$27)-$B$60))</f>
        <v>30.427177639642501</v>
      </c>
      <c r="C32" s="34" t="s">
        <v>110</v>
      </c>
      <c r="D32" s="171"/>
    </row>
    <row r="33" spans="1:6">
      <c r="A33" s="168" t="s">
        <v>73</v>
      </c>
      <c r="B33" s="33">
        <f>IF((B22*($B$26-($B$27-0.05*$B$27)-$B$60))&lt;0,0,B22*($B$26-($B$27-0.05*$B$27)-$B$60))</f>
        <v>494.07710318105342</v>
      </c>
      <c r="C33" s="34" t="s">
        <v>110</v>
      </c>
      <c r="D33" s="171"/>
    </row>
    <row r="34" spans="1:6">
      <c r="A34" s="168" t="s">
        <v>74</v>
      </c>
      <c r="B34" s="33">
        <f>IF((B24*($B$26-($B$27-0.05*$B$27)-$B$60))&lt;0,0,B24*($B$26-($B$27-0.05*$B$27)-$B$60))</f>
        <v>94.639563308706741</v>
      </c>
      <c r="C34" s="33">
        <f>B26*C24</f>
        <v>714.66091145971131</v>
      </c>
      <c r="D34" s="230"/>
    </row>
    <row r="35" spans="1:6">
      <c r="A35" s="168" t="s">
        <v>76</v>
      </c>
      <c r="B35" s="33">
        <f>IF((B19*($B$26-($B$27-0.05*$B$27)-$B$60))&lt;0,0,B19*($B$26-($B$27-0.05*$B$27)-$B$60))</f>
        <v>13.226621579575573</v>
      </c>
      <c r="C35" s="33">
        <f>B35/2</f>
        <v>6.6133107897877865</v>
      </c>
      <c r="D35" s="230"/>
    </row>
    <row r="36" spans="1:6">
      <c r="A36" s="168" t="s">
        <v>77</v>
      </c>
      <c r="B36" s="33">
        <f>IF((B18*($B$26-($B$27-0.05*$B$27)-$B$60))&lt;0,0,B18*($B$26-($B$27-0.05*$B$27)-$B$60))</f>
        <v>1344.5295342910213</v>
      </c>
      <c r="C36" s="34" t="s">
        <v>110</v>
      </c>
      <c r="D36" s="171"/>
    </row>
    <row r="37" spans="1:6">
      <c r="A37" s="168" t="s">
        <v>78</v>
      </c>
      <c r="B37" s="33">
        <f>B60</f>
        <v>33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149</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7196.73439214672</v>
      </c>
      <c r="C5" s="17">
        <f>IF(ISERROR('Eigen informatie GS &amp; warmtenet'!B60),0,'Eigen informatie GS &amp; warmtenet'!B60)</f>
        <v>0</v>
      </c>
      <c r="D5" s="30">
        <f>SUM(D6:D12)</f>
        <v>12762.535149107494</v>
      </c>
      <c r="E5" s="17">
        <f>SUM(E6:E12)</f>
        <v>40.576445244473831</v>
      </c>
      <c r="F5" s="17">
        <f>SUM(F6:F12)</f>
        <v>1749.4668469331543</v>
      </c>
      <c r="G5" s="18"/>
      <c r="H5" s="17"/>
      <c r="I5" s="17"/>
      <c r="J5" s="17">
        <f>SUM(J6:J12)</f>
        <v>2.1133836726950534E-2</v>
      </c>
      <c r="K5" s="17"/>
      <c r="L5" s="17"/>
      <c r="M5" s="17"/>
      <c r="N5" s="17">
        <f>SUM(N6:N12)</f>
        <v>768.83722217425577</v>
      </c>
      <c r="O5" s="17">
        <f>B38*B39*B40</f>
        <v>14.691782297523464</v>
      </c>
      <c r="P5" s="17">
        <f>B46*B47*B48/1000-B46*B47*B48/1000/B49</f>
        <v>52.539138306495019</v>
      </c>
      <c r="R5" s="32"/>
    </row>
    <row r="6" spans="1:18">
      <c r="A6" s="32" t="s">
        <v>53</v>
      </c>
      <c r="B6" s="37">
        <f>B26</f>
        <v>1221.01152090391</v>
      </c>
      <c r="C6" s="33"/>
      <c r="D6" s="37">
        <f>IF(ISERROR(TER_kantoor_gas_kWh/1000),0,TER_kantoor_gas_kWh/1000)*0.903</f>
        <v>2083.5710704045491</v>
      </c>
      <c r="E6" s="33">
        <f>$C$26*'E Balans VL '!I12/100/3.6*1000000</f>
        <v>0.29252533742988596</v>
      </c>
      <c r="F6" s="33">
        <f>$C$26*('E Balans VL '!L12+'E Balans VL '!N12)/100/3.6*1000000</f>
        <v>115.78708841097517</v>
      </c>
      <c r="G6" s="34"/>
      <c r="H6" s="33"/>
      <c r="I6" s="33"/>
      <c r="J6" s="33">
        <f>$C$26*('E Balans VL '!D12+'E Balans VL '!E12)/100/3.6*1000000</f>
        <v>0</v>
      </c>
      <c r="K6" s="33"/>
      <c r="L6" s="33"/>
      <c r="M6" s="33"/>
      <c r="N6" s="33">
        <f>$C$26*'E Balans VL '!Y12/100/3.6*1000000</f>
        <v>0.6202106973906798</v>
      </c>
      <c r="O6" s="33"/>
      <c r="P6" s="33"/>
      <c r="R6" s="32"/>
    </row>
    <row r="7" spans="1:18">
      <c r="A7" s="32" t="s">
        <v>52</v>
      </c>
      <c r="B7" s="37">
        <f t="shared" ref="B7:B12" si="0">B27</f>
        <v>615.005079943537</v>
      </c>
      <c r="C7" s="33"/>
      <c r="D7" s="37">
        <f>IF(ISERROR(TER_horeca_gas_kWh/1000),0,TER_horeca_gas_kWh/1000)*0.903</f>
        <v>1151.9735327989124</v>
      </c>
      <c r="E7" s="33">
        <f>$C$27*'E Balans VL '!I9/100/3.6*1000000</f>
        <v>0</v>
      </c>
      <c r="F7" s="33">
        <f>$C$27*('E Balans VL '!L9+'E Balans VL '!N9)/100/3.6*1000000</f>
        <v>50.42897086951016</v>
      </c>
      <c r="G7" s="34"/>
      <c r="H7" s="33"/>
      <c r="I7" s="33"/>
      <c r="J7" s="33">
        <f>$C$27*('E Balans VL '!D9+'E Balans VL '!E9)/100/3.6*1000000</f>
        <v>0</v>
      </c>
      <c r="K7" s="33"/>
      <c r="L7" s="33"/>
      <c r="M7" s="33"/>
      <c r="N7" s="33">
        <f>$C$27*'E Balans VL '!Y9/100/3.6*1000000</f>
        <v>0.18852376609479751</v>
      </c>
      <c r="O7" s="33"/>
      <c r="P7" s="33"/>
      <c r="R7" s="32"/>
    </row>
    <row r="8" spans="1:18">
      <c r="A8" s="6" t="s">
        <v>51</v>
      </c>
      <c r="B8" s="37">
        <f t="shared" si="0"/>
        <v>2741.53665739698</v>
      </c>
      <c r="C8" s="33"/>
      <c r="D8" s="37">
        <f>IF(ISERROR(TER_handel_gas_kWh/1000),0,TER_handel_gas_kWh/1000)*0.903</f>
        <v>6874.9140760575983</v>
      </c>
      <c r="E8" s="33">
        <f>$C$28*'E Balans VL '!I13/100/3.6*1000000</f>
        <v>9.6350029553850938</v>
      </c>
      <c r="F8" s="33">
        <f>$C$28*('E Balans VL '!L13+'E Balans VL '!N13)/100/3.6*1000000</f>
        <v>250.84568081146446</v>
      </c>
      <c r="G8" s="34"/>
      <c r="H8" s="33"/>
      <c r="I8" s="33"/>
      <c r="J8" s="33">
        <f>$C$28*('E Balans VL '!D13+'E Balans VL '!E13)/100/3.6*1000000</f>
        <v>0</v>
      </c>
      <c r="K8" s="33"/>
      <c r="L8" s="33"/>
      <c r="M8" s="33"/>
      <c r="N8" s="33">
        <f>$C$28*'E Balans VL '!Y13/100/3.6*1000000</f>
        <v>0.99286654973894639</v>
      </c>
      <c r="O8" s="33"/>
      <c r="P8" s="33"/>
      <c r="R8" s="32"/>
    </row>
    <row r="9" spans="1:18">
      <c r="A9" s="32" t="s">
        <v>50</v>
      </c>
      <c r="B9" s="37">
        <f t="shared" si="0"/>
        <v>421.29469004528704</v>
      </c>
      <c r="C9" s="33"/>
      <c r="D9" s="37">
        <f>IF(ISERROR(TER_gezond_gas_kWh/1000),0,TER_gezond_gas_kWh/1000)*0.903</f>
        <v>1188.751583888275</v>
      </c>
      <c r="E9" s="33">
        <f>$C$29*'E Balans VL '!I10/100/3.6*1000000</f>
        <v>0</v>
      </c>
      <c r="F9" s="33">
        <f>$C$29*('E Balans VL '!L10+'E Balans VL '!N10)/100/3.6*1000000</f>
        <v>51.642992786948355</v>
      </c>
      <c r="G9" s="34"/>
      <c r="H9" s="33"/>
      <c r="I9" s="33"/>
      <c r="J9" s="33">
        <f>$C$29*('E Balans VL '!D10+'E Balans VL '!E10)/100/3.6*1000000</f>
        <v>0</v>
      </c>
      <c r="K9" s="33"/>
      <c r="L9" s="33"/>
      <c r="M9" s="33"/>
      <c r="N9" s="33">
        <f>$C$29*'E Balans VL '!Y10/100/3.6*1000000</f>
        <v>3.1067547578421362</v>
      </c>
      <c r="O9" s="33"/>
      <c r="P9" s="33"/>
      <c r="R9" s="32"/>
    </row>
    <row r="10" spans="1:18">
      <c r="A10" s="32" t="s">
        <v>49</v>
      </c>
      <c r="B10" s="37">
        <f t="shared" si="0"/>
        <v>2139.9576437947603</v>
      </c>
      <c r="C10" s="33"/>
      <c r="D10" s="37">
        <f>IF(ISERROR(TER_ander_gas_kWh/1000),0,TER_ander_gas_kWh/1000)*0.903</f>
        <v>1445.2993026038755</v>
      </c>
      <c r="E10" s="33">
        <f>$C$30*'E Balans VL '!I14/100/3.6*1000000</f>
        <v>30.648916951658851</v>
      </c>
      <c r="F10" s="33">
        <f>$C$30*('E Balans VL '!L14+'E Balans VL '!N14)/100/3.6*1000000</f>
        <v>1273.9895474869163</v>
      </c>
      <c r="G10" s="34"/>
      <c r="H10" s="33"/>
      <c r="I10" s="33"/>
      <c r="J10" s="33">
        <f>$C$30*('E Balans VL '!D14+'E Balans VL '!E14)/100/3.6*1000000</f>
        <v>2.1133836726950534E-2</v>
      </c>
      <c r="K10" s="33"/>
      <c r="L10" s="33"/>
      <c r="M10" s="33"/>
      <c r="N10" s="33">
        <f>$C$30*'E Balans VL '!Y14/100/3.6*1000000</f>
        <v>763.7657455542485</v>
      </c>
      <c r="O10" s="33"/>
      <c r="P10" s="33"/>
      <c r="R10" s="32"/>
    </row>
    <row r="11" spans="1:18">
      <c r="A11" s="32" t="s">
        <v>54</v>
      </c>
      <c r="B11" s="37">
        <f t="shared" si="0"/>
        <v>57.9288000622456</v>
      </c>
      <c r="C11" s="33"/>
      <c r="D11" s="37">
        <f>IF(ISERROR(TER_onderwijs_gas_kWh/1000),0,TER_onderwijs_gas_kWh/1000)*0.903</f>
        <v>0</v>
      </c>
      <c r="E11" s="33">
        <f>$C$31*'E Balans VL '!I11/100/3.6*1000000</f>
        <v>0</v>
      </c>
      <c r="F11" s="33">
        <f>$C$31*('E Balans VL '!L11+'E Balans VL '!N11)/100/3.6*1000000</f>
        <v>6.7725665673399851</v>
      </c>
      <c r="G11" s="34"/>
      <c r="H11" s="33"/>
      <c r="I11" s="33"/>
      <c r="J11" s="33">
        <f>$C$31*('E Balans VL '!D11+'E Balans VL '!E11)/100/3.6*1000000</f>
        <v>0</v>
      </c>
      <c r="K11" s="33"/>
      <c r="L11" s="33"/>
      <c r="M11" s="33"/>
      <c r="N11" s="33">
        <f>$C$31*'E Balans VL '!Y11/100/3.6*1000000</f>
        <v>0.16312084894065629</v>
      </c>
      <c r="O11" s="33"/>
      <c r="P11" s="33"/>
      <c r="R11" s="32"/>
    </row>
    <row r="12" spans="1:18">
      <c r="A12" s="32" t="s">
        <v>255</v>
      </c>
      <c r="B12" s="37">
        <f t="shared" si="0"/>
        <v>0</v>
      </c>
      <c r="C12" s="33"/>
      <c r="D12" s="37">
        <f>IF(ISERROR(TER_rest_gas_kWh/1000),0,TER_rest_gas_kWh/1000)*0.903</f>
        <v>18.02558335428261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0</v>
      </c>
      <c r="C13" s="243">
        <f ca="1">'lokale energieproductie'!O39+'lokale energieproductie'!O32</f>
        <v>0</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7196.73439214672</v>
      </c>
      <c r="C16" s="21">
        <f t="shared" ca="1" si="1"/>
        <v>0</v>
      </c>
      <c r="D16" s="21">
        <f t="shared" ca="1" si="1"/>
        <v>12762.535149107494</v>
      </c>
      <c r="E16" s="21">
        <f t="shared" si="1"/>
        <v>40.576445244473831</v>
      </c>
      <c r="F16" s="21">
        <f t="shared" ca="1" si="1"/>
        <v>1749.4668469331543</v>
      </c>
      <c r="G16" s="21">
        <f t="shared" si="1"/>
        <v>0</v>
      </c>
      <c r="H16" s="21">
        <f t="shared" si="1"/>
        <v>0</v>
      </c>
      <c r="I16" s="21">
        <f t="shared" si="1"/>
        <v>0</v>
      </c>
      <c r="J16" s="21">
        <f t="shared" si="1"/>
        <v>2.1133836726950534E-2</v>
      </c>
      <c r="K16" s="21">
        <f t="shared" si="1"/>
        <v>0</v>
      </c>
      <c r="L16" s="21">
        <f t="shared" ca="1" si="1"/>
        <v>0</v>
      </c>
      <c r="M16" s="21">
        <f t="shared" si="1"/>
        <v>0</v>
      </c>
      <c r="N16" s="21">
        <f t="shared" ca="1" si="1"/>
        <v>768.83722217425577</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0.20494673885501979</v>
      </c>
      <c r="C18" s="25">
        <f ca="1">'EF ele_warmte'!B22</f>
        <v>0.23363596352060925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1474.9472440762333</v>
      </c>
      <c r="C20" s="23">
        <f t="shared" ref="C20:P20" ca="1" si="2">C16*C18</f>
        <v>0</v>
      </c>
      <c r="D20" s="23">
        <f t="shared" ca="1" si="2"/>
        <v>2578.032100119714</v>
      </c>
      <c r="E20" s="23">
        <f t="shared" si="2"/>
        <v>9.2108530704955598</v>
      </c>
      <c r="F20" s="23">
        <f t="shared" ca="1" si="2"/>
        <v>467.10764813115225</v>
      </c>
      <c r="G20" s="23">
        <f t="shared" si="2"/>
        <v>0</v>
      </c>
      <c r="H20" s="23">
        <f t="shared" si="2"/>
        <v>0</v>
      </c>
      <c r="I20" s="23">
        <f t="shared" si="2"/>
        <v>0</v>
      </c>
      <c r="J20" s="23">
        <f t="shared" si="2"/>
        <v>7.4813782013404889E-3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1221.01152090391</v>
      </c>
      <c r="C26" s="39">
        <f>IF(ISERROR(B26*3.6/1000000/'E Balans VL '!Z12*100),0,B26*3.6/1000000/'E Balans VL '!Z12*100)</f>
        <v>3.4435758291705351E-2</v>
      </c>
      <c r="D26" s="233" t="s">
        <v>691</v>
      </c>
      <c r="F26" s="6"/>
    </row>
    <row r="27" spans="1:18">
      <c r="A27" s="228" t="s">
        <v>52</v>
      </c>
      <c r="B27" s="33">
        <f>IF(ISERROR(TER_horeca_ele_kWh/1000),0,TER_horeca_ele_kWh/1000)</f>
        <v>615.005079943537</v>
      </c>
      <c r="C27" s="39">
        <f>IF(ISERROR(B27*3.6/1000000/'E Balans VL '!Z9*100),0,B27*3.6/1000000/'E Balans VL '!Z9*100)</f>
        <v>4.5595071538911153E-2</v>
      </c>
      <c r="D27" s="233" t="s">
        <v>691</v>
      </c>
      <c r="F27" s="6"/>
    </row>
    <row r="28" spans="1:18">
      <c r="A28" s="168" t="s">
        <v>51</v>
      </c>
      <c r="B28" s="33">
        <f>IF(ISERROR(TER_handel_ele_kWh/1000),0,TER_handel_ele_kWh/1000)</f>
        <v>2741.53665739698</v>
      </c>
      <c r="C28" s="39">
        <f>IF(ISERROR(B28*3.6/1000000/'E Balans VL '!Z13*100),0,B28*3.6/1000000/'E Balans VL '!Z13*100)</f>
        <v>8.2129920008846599E-2</v>
      </c>
      <c r="D28" s="233" t="s">
        <v>691</v>
      </c>
      <c r="F28" s="6"/>
    </row>
    <row r="29" spans="1:18">
      <c r="A29" s="228" t="s">
        <v>50</v>
      </c>
      <c r="B29" s="33">
        <f>IF(ISERROR(TER_gezond_ele_kWh/1000),0,TER_gezond_ele_kWh/1000)</f>
        <v>421.29469004528704</v>
      </c>
      <c r="C29" s="39">
        <f>IF(ISERROR(B29*3.6/1000000/'E Balans VL '!Z10*100),0,B29*3.6/1000000/'E Balans VL '!Z10*100)</f>
        <v>4.16577840773363E-2</v>
      </c>
      <c r="D29" s="233" t="s">
        <v>691</v>
      </c>
      <c r="F29" s="6"/>
    </row>
    <row r="30" spans="1:18">
      <c r="A30" s="228" t="s">
        <v>49</v>
      </c>
      <c r="B30" s="33">
        <f>IF(ISERROR(TER_ander_ele_kWh/1000),0,TER_ander_ele_kWh/1000)</f>
        <v>2139.9576437947603</v>
      </c>
      <c r="C30" s="39">
        <f>IF(ISERROR(B30*3.6/1000000/'E Balans VL '!Z14*100),0,B30*3.6/1000000/'E Balans VL '!Z14*100)</f>
        <v>8.6554962704234253E-2</v>
      </c>
      <c r="D30" s="233" t="s">
        <v>691</v>
      </c>
      <c r="F30" s="6"/>
    </row>
    <row r="31" spans="1:18">
      <c r="A31" s="228" t="s">
        <v>54</v>
      </c>
      <c r="B31" s="33">
        <f>IF(ISERROR(TER_onderwijs_ele_kWh/1000),0,TER_onderwijs_ele_kWh/1000)</f>
        <v>57.9288000622456</v>
      </c>
      <c r="C31" s="39">
        <f>IF(ISERROR(B31*3.6/1000000/'E Balans VL '!Z11*100),0,B31*3.6/1000000/'E Balans VL '!Z11*100)</f>
        <v>1.5915574872085732E-2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11692.600006624412</v>
      </c>
      <c r="C5" s="17">
        <f>IF(ISERROR('Eigen informatie GS &amp; warmtenet'!B61),0,'Eigen informatie GS &amp; warmtenet'!B61)</f>
        <v>0</v>
      </c>
      <c r="D5" s="30">
        <f>SUM(D6:D15)</f>
        <v>1520.3206803321648</v>
      </c>
      <c r="E5" s="17">
        <f>SUM(E6:E15)</f>
        <v>11.657567165012399</v>
      </c>
      <c r="F5" s="17">
        <f>SUM(F6:F15)</f>
        <v>881.43505545519565</v>
      </c>
      <c r="G5" s="18"/>
      <c r="H5" s="17"/>
      <c r="I5" s="17"/>
      <c r="J5" s="17">
        <f>SUM(J6:J15)</f>
        <v>0.3629529585124463</v>
      </c>
      <c r="K5" s="17"/>
      <c r="L5" s="17"/>
      <c r="M5" s="17"/>
      <c r="N5" s="17">
        <f>SUM(N6:N15)</f>
        <v>184.69123946804055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213.78384924929301</v>
      </c>
      <c r="C8" s="33"/>
      <c r="D8" s="37">
        <f>IF( ISERROR(IND_metaal_Gas_kWH/1000),0,IND_metaal_Gas_kWH/1000)*0.903</f>
        <v>26.556644956155342</v>
      </c>
      <c r="E8" s="33">
        <f>C30*'E Balans VL '!I18/100/3.6*1000000</f>
        <v>1.0779354687768212</v>
      </c>
      <c r="F8" s="33">
        <f>C30*'E Balans VL '!L18/100/3.6*1000000+C30*'E Balans VL '!N18/100/3.6*1000000</f>
        <v>14.606149437538056</v>
      </c>
      <c r="G8" s="34"/>
      <c r="H8" s="33"/>
      <c r="I8" s="33"/>
      <c r="J8" s="40">
        <f>C30*'E Balans VL '!D18/100/3.6*1000000+C30*'E Balans VL '!E18/100/3.6*1000000</f>
        <v>0.18953761835676408</v>
      </c>
      <c r="K8" s="33"/>
      <c r="L8" s="33"/>
      <c r="M8" s="33"/>
      <c r="N8" s="33">
        <f>C30*'E Balans VL '!Y18/100/3.6*1000000</f>
        <v>2.8411886252291918</v>
      </c>
      <c r="O8" s="33"/>
      <c r="P8" s="33"/>
      <c r="R8" s="32"/>
    </row>
    <row r="9" spans="1:18">
      <c r="A9" s="6" t="s">
        <v>32</v>
      </c>
      <c r="B9" s="37">
        <f t="shared" si="0"/>
        <v>1308.6550824772999</v>
      </c>
      <c r="C9" s="33"/>
      <c r="D9" s="37">
        <f>IF( ISERROR(IND_andere_gas_kWh/1000),0,IND_andere_gas_kWh/1000)*0.903</f>
        <v>916.50525160720895</v>
      </c>
      <c r="E9" s="33">
        <f>C31*'E Balans VL '!I19/100/3.6*1000000</f>
        <v>4.1251901118364298</v>
      </c>
      <c r="F9" s="33">
        <f>C31*'E Balans VL '!L19/100/3.6*1000000+C31*'E Balans VL '!N19/100/3.6*1000000</f>
        <v>801.1036011461598</v>
      </c>
      <c r="G9" s="34"/>
      <c r="H9" s="33"/>
      <c r="I9" s="33"/>
      <c r="J9" s="40">
        <f>C31*'E Balans VL '!D19/100/3.6*1000000+C31*'E Balans VL '!E19/100/3.6*1000000</f>
        <v>0</v>
      </c>
      <c r="K9" s="33"/>
      <c r="L9" s="33"/>
      <c r="M9" s="33"/>
      <c r="N9" s="33">
        <f>C31*'E Balans VL '!Y19/100/3.6*1000000</f>
        <v>54.873684527447331</v>
      </c>
      <c r="O9" s="33"/>
      <c r="P9" s="33"/>
      <c r="R9" s="32"/>
    </row>
    <row r="10" spans="1:18">
      <c r="A10" s="6" t="s">
        <v>40</v>
      </c>
      <c r="B10" s="37">
        <f t="shared" si="0"/>
        <v>4019.10601158078</v>
      </c>
      <c r="C10" s="33"/>
      <c r="D10" s="37">
        <f>IF( ISERROR(IND_voed_gas_kWh/1000),0,IND_voed_gas_kWh/1000)*0.903</f>
        <v>542.64760852220752</v>
      </c>
      <c r="E10" s="33">
        <f>C32*'E Balans VL '!I20/100/3.6*1000000</f>
        <v>6.40532624384333</v>
      </c>
      <c r="F10" s="33">
        <f>C32*'E Balans VL '!L20/100/3.6*1000000+C32*'E Balans VL '!N20/100/3.6*1000000</f>
        <v>65.300709172950874</v>
      </c>
      <c r="G10" s="34"/>
      <c r="H10" s="33"/>
      <c r="I10" s="33"/>
      <c r="J10" s="40">
        <f>C32*'E Balans VL '!D20/100/3.6*1000000+C32*'E Balans VL '!E20/100/3.6*1000000</f>
        <v>0</v>
      </c>
      <c r="K10" s="33"/>
      <c r="L10" s="33"/>
      <c r="M10" s="33"/>
      <c r="N10" s="33">
        <f>C32*'E Balans VL '!Y20/100/3.6*1000000</f>
        <v>126.94344075593429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6149.1064892602008</v>
      </c>
      <c r="C13" s="33"/>
      <c r="D13" s="37">
        <f>IF( ISERROR(IND_papier_gas_kWh/1000),0,IND_papier_gas_kWh/1000)*0.903</f>
        <v>0</v>
      </c>
      <c r="E13" s="33">
        <f>C35*'E Balans VL '!I23/100/3.6*1000000</f>
        <v>0</v>
      </c>
      <c r="F13" s="33">
        <f>C35*'E Balans VL '!L23/100/3.6*1000000+C35*'E Balans VL '!N23/100/3.6*1000000</f>
        <v>0.26640788572117496</v>
      </c>
      <c r="G13" s="34"/>
      <c r="H13" s="33"/>
      <c r="I13" s="33"/>
      <c r="J13" s="40">
        <f>C35*'E Balans VL '!D23/100/3.6*1000000+C35*'E Balans VL '!E23/100/3.6*1000000</f>
        <v>0.16943721047931479</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1.9485740568374998</v>
      </c>
      <c r="C15" s="33"/>
      <c r="D15" s="37">
        <f>IF( ISERROR(IND_rest_gas_kWh/1000),0,IND_rest_gas_kWh/1000)*0.903</f>
        <v>34.611175246592992</v>
      </c>
      <c r="E15" s="33">
        <f>C37*'E Balans VL '!I15/100/3.6*1000000</f>
        <v>4.9115340555819315E-2</v>
      </c>
      <c r="F15" s="33">
        <f>C37*'E Balans VL '!L15/100/3.6*1000000+C37*'E Balans VL '!N15/100/3.6*1000000</f>
        <v>0.15818781282573929</v>
      </c>
      <c r="G15" s="34"/>
      <c r="H15" s="33"/>
      <c r="I15" s="33"/>
      <c r="J15" s="40">
        <f>C37*'E Balans VL '!D15/100/3.6*1000000+C37*'E Balans VL '!E15/100/3.6*1000000</f>
        <v>3.9781296763674008E-3</v>
      </c>
      <c r="K15" s="33"/>
      <c r="L15" s="33"/>
      <c r="M15" s="33"/>
      <c r="N15" s="33">
        <f>C37*'E Balans VL '!Y15/100/3.6*1000000</f>
        <v>3.2925559429753205E-2</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11692.600006624412</v>
      </c>
      <c r="C18" s="21">
        <f>C5+C16</f>
        <v>0</v>
      </c>
      <c r="D18" s="21">
        <f>MAX((D5+D16),0)</f>
        <v>1520.3206803321648</v>
      </c>
      <c r="E18" s="21">
        <f>MAX((E5+E16),0)</f>
        <v>11.657567165012399</v>
      </c>
      <c r="F18" s="21">
        <f>MAX((F5+F16),0)</f>
        <v>881.43505545519565</v>
      </c>
      <c r="G18" s="21"/>
      <c r="H18" s="21"/>
      <c r="I18" s="21"/>
      <c r="J18" s="21">
        <f>MAX((J5+J16),0)</f>
        <v>0.3629529585124463</v>
      </c>
      <c r="K18" s="21"/>
      <c r="L18" s="21">
        <f>MAX((L5+L16),0)</f>
        <v>0</v>
      </c>
      <c r="M18" s="21"/>
      <c r="N18" s="21">
        <f>MAX((N5+N16),0)</f>
        <v>184.69123946804055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0.20494673885501979</v>
      </c>
      <c r="C20" s="25">
        <f ca="1">'EF ele_warmte'!B22</f>
        <v>0.23363596352060925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2396.3602400938562</v>
      </c>
      <c r="C22" s="23">
        <f ca="1">C18*C20</f>
        <v>0</v>
      </c>
      <c r="D22" s="23">
        <f>D18*D20</f>
        <v>307.1047774270973</v>
      </c>
      <c r="E22" s="23">
        <f>E18*E20</f>
        <v>2.6462677464578146</v>
      </c>
      <c r="F22" s="23">
        <f>F18*F20</f>
        <v>235.34315980653724</v>
      </c>
      <c r="G22" s="23"/>
      <c r="H22" s="23"/>
      <c r="I22" s="23"/>
      <c r="J22" s="23">
        <f>J18*J20</f>
        <v>0.128485347313406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213.78384924929301</v>
      </c>
      <c r="C30" s="39">
        <f>IF(ISERROR(B30*3.6/1000000/'E Balans VL '!Z18*100),0,B30*3.6/1000000/'E Balans VL '!Z18*100)</f>
        <v>1.0611748461653945E-2</v>
      </c>
      <c r="D30" s="233" t="s">
        <v>691</v>
      </c>
    </row>
    <row r="31" spans="1:18">
      <c r="A31" s="6" t="s">
        <v>32</v>
      </c>
      <c r="B31" s="37">
        <f>IF( ISERROR(IND_ander_ele_kWh/1000),0,IND_ander_ele_kWh/1000)</f>
        <v>1308.6550824772999</v>
      </c>
      <c r="C31" s="39">
        <f>IF(ISERROR(B31*3.6/1000000/'E Balans VL '!Z19*100),0,B31*3.6/1000000/'E Balans VL '!Z19*100)</f>
        <v>4.4160403070034632E-2</v>
      </c>
      <c r="D31" s="233" t="s">
        <v>691</v>
      </c>
    </row>
    <row r="32" spans="1:18">
      <c r="A32" s="168" t="s">
        <v>40</v>
      </c>
      <c r="B32" s="37">
        <f>IF( ISERROR(IND_voed_ele_kWh/1000),0,IND_voed_ele_kWh/1000)</f>
        <v>4019.10601158078</v>
      </c>
      <c r="C32" s="39">
        <f>IF(ISERROR(B32*3.6/1000000/'E Balans VL '!Z20*100),0,B32*3.6/1000000/'E Balans VL '!Z20*100)</f>
        <v>9.4385943878823333E-2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6149.1064892602008</v>
      </c>
      <c r="C35" s="39">
        <f>IF(ISERROR(B35*3.6/1000000/'E Balans VL '!Z22*100),0,B35*3.6/1000000/'E Balans VL '!Z22*100)</f>
        <v>0.87237840202972383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1.9485740568374998</v>
      </c>
      <c r="C37" s="39">
        <f>IF(ISERROR(B37*3.6/1000000/'E Balans VL '!Z15*100),0,B37*3.6/1000000/'E Balans VL '!Z15*100)</f>
        <v>7.3023381816012162E-6</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2246.3351569750598</v>
      </c>
      <c r="C5" s="17">
        <f>'Eigen informatie GS &amp; warmtenet'!B62</f>
        <v>0</v>
      </c>
      <c r="D5" s="30">
        <f>IF(ISERROR(SUM(LB_lb_gas_kWh,LB_rest_gas_kWh)/1000),0,SUM(LB_lb_gas_kWh,LB_rest_gas_kWh)/1000)*0.903</f>
        <v>51.663563336400095</v>
      </c>
      <c r="E5" s="17">
        <f>B17*'E Balans VL '!I25/3.6*1000000/100</f>
        <v>83.772709052693514</v>
      </c>
      <c r="F5" s="17">
        <f>B17*('E Balans VL '!L25/3.6*1000000+'E Balans VL '!N25/3.6*1000000)/100</f>
        <v>7287.9792672995982</v>
      </c>
      <c r="G5" s="18"/>
      <c r="H5" s="17"/>
      <c r="I5" s="17"/>
      <c r="J5" s="17">
        <f>('E Balans VL '!D25+'E Balans VL '!E25)/3.6*1000000*landbouw!B17/100</f>
        <v>589.67406865401404</v>
      </c>
      <c r="K5" s="17"/>
      <c r="L5" s="17">
        <f>L6*(-1)</f>
        <v>0</v>
      </c>
      <c r="M5" s="17"/>
      <c r="N5" s="17">
        <f>N6*(-1)</f>
        <v>124.71428571428569</v>
      </c>
      <c r="O5" s="17"/>
      <c r="P5" s="17"/>
      <c r="R5" s="32"/>
    </row>
    <row r="6" spans="1:18">
      <c r="A6" s="16" t="s">
        <v>473</v>
      </c>
      <c r="B6" s="17" t="s">
        <v>210</v>
      </c>
      <c r="C6" s="17">
        <f>'lokale energieproductie'!O40+'lokale energieproductie'!O33</f>
        <v>3694.4999999999991</v>
      </c>
      <c r="D6" s="304">
        <f>('lokale energieproductie'!P33+'lokale energieproductie'!P40)*(-1)</f>
        <v>-7264.2857142857138</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2246.3351569750598</v>
      </c>
      <c r="C8" s="21">
        <f>C5+C6</f>
        <v>3694.4999999999991</v>
      </c>
      <c r="D8" s="21">
        <f>MAX((D5+D6),0)</f>
        <v>0</v>
      </c>
      <c r="E8" s="21">
        <f>MAX((E5+E6),0)</f>
        <v>83.772709052693514</v>
      </c>
      <c r="F8" s="21">
        <f>MAX((F5+F6),0)</f>
        <v>7287.9792672995982</v>
      </c>
      <c r="G8" s="21"/>
      <c r="H8" s="21"/>
      <c r="I8" s="21"/>
      <c r="J8" s="21">
        <f>MAX((J5+J6),0)</f>
        <v>589.67406865401404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0.20494673885501979</v>
      </c>
      <c r="C10" s="31">
        <f ca="1">'EF ele_warmte'!B22</f>
        <v>0.23363596352060925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460.37906479741747</v>
      </c>
      <c r="C12" s="23">
        <f ca="1">C8*C10</f>
        <v>863.16806722689068</v>
      </c>
      <c r="D12" s="23">
        <f>D8*D10</f>
        <v>0</v>
      </c>
      <c r="E12" s="23">
        <f>E8*E10</f>
        <v>19.016404954961427</v>
      </c>
      <c r="F12" s="23">
        <f>F8*F10</f>
        <v>1945.8904643689928</v>
      </c>
      <c r="G12" s="23"/>
      <c r="H12" s="23"/>
      <c r="I12" s="23"/>
      <c r="J12" s="23">
        <f>J8*J10</f>
        <v>208.74462030352095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0.30852827195770288</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420.81106706397475</v>
      </c>
      <c r="C26" s="243">
        <f>B26*'GWP N2O_CH4'!B5</f>
        <v>8837.0324083434698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243.05728178766879</v>
      </c>
      <c r="C27" s="243">
        <f>B27*'GWP N2O_CH4'!B5</f>
        <v>5104.2029175410444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6.638868970391707</v>
      </c>
      <c r="C28" s="243">
        <f>B28*'GWP N2O_CH4'!B4</f>
        <v>2058.0493808214292</v>
      </c>
      <c r="D28" s="50"/>
    </row>
    <row r="29" spans="1:4">
      <c r="A29" s="41" t="s">
        <v>272</v>
      </c>
      <c r="B29" s="243">
        <f>B34*'ha_N2O bodem landbouw'!B4</f>
        <v>15.117002984407227</v>
      </c>
      <c r="C29" s="243">
        <f>B29*'GWP N2O_CH4'!B4</f>
        <v>4686.27092516624</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3.4452081514630621E-3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3.3025096961772116E-4</v>
      </c>
      <c r="C5" s="434" t="s">
        <v>210</v>
      </c>
      <c r="D5" s="419">
        <f>SUM(D6:D11)</f>
        <v>5.8795514429966556E-4</v>
      </c>
      <c r="E5" s="419">
        <f>SUM(E6:E11)</f>
        <v>3.2520669466964893E-4</v>
      </c>
      <c r="F5" s="432" t="s">
        <v>210</v>
      </c>
      <c r="G5" s="419">
        <f>SUM(G6:G11)</f>
        <v>0.15092316432707131</v>
      </c>
      <c r="H5" s="419">
        <f>SUM(H6:H11)</f>
        <v>3.5767320066066643E-2</v>
      </c>
      <c r="I5" s="434" t="s">
        <v>210</v>
      </c>
      <c r="J5" s="434" t="s">
        <v>210</v>
      </c>
      <c r="K5" s="434" t="s">
        <v>210</v>
      </c>
      <c r="L5" s="434" t="s">
        <v>210</v>
      </c>
      <c r="M5" s="419">
        <f>SUM(M6:M11)</f>
        <v>1.0983598280034059E-2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2.958155647509455E-4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5.1403444163927335E-4</v>
      </c>
      <c r="E6" s="885">
        <f>vkm_GW_PW*SUMIFS(TableVerdeelsleutelVkm[LPG],TableVerdeelsleutelVkm[Voertuigtype],"Lichte voertuigen")*SUMIFS(TableECFTransport[EnergieConsumptieFactor (PJ per km)],TableECFTransport[Index],CONCATENATE($A6,"_LPG_LPG"))</f>
        <v>2.858366816024008E-4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8.5896640540409672E-2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3.1318202296078325E-2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7.0132537703917345E-3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1.2901454416960567E-6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5.3395891634511097E-2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5.4320530765358431E-7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3.0062710196374653E-3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3.3131328119789265E-5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7.3920702660392162E-5</v>
      </c>
      <c r="E8" s="422">
        <f>vkm_NGW_PW*SUMIFS(TableVerdeelsleutelVkm[LPG],TableVerdeelsleutelVkm[Voertuigtype],"Lichte voertuigen")*SUMIFS(TableECFTransport[EnergieConsumptieFactor (PJ per km)],TableECFTransport[Index],CONCATENATE($A8,"_LPG_LPG"))</f>
        <v>3.9370013067248107E-5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1.0888129029479362E-2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4.448567484675277E-3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9.2226945240331509E-4</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1.3931305290343623E-8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7.4250312267119811E-4</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7.0800053876938897E-9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4.1804037601544154E-5</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91.73638044936699</v>
      </c>
      <c r="C14" s="21"/>
      <c r="D14" s="21">
        <f t="shared" ref="D14:M14" si="0">((D5)*10^9/3600)+D12</f>
        <v>163.32087341657376</v>
      </c>
      <c r="E14" s="21">
        <f t="shared" si="0"/>
        <v>90.335192963791371</v>
      </c>
      <c r="F14" s="21"/>
      <c r="G14" s="21">
        <f t="shared" si="0"/>
        <v>41923.101201964251</v>
      </c>
      <c r="H14" s="21">
        <f t="shared" si="0"/>
        <v>9935.3666850185127</v>
      </c>
      <c r="I14" s="21"/>
      <c r="J14" s="21"/>
      <c r="K14" s="21"/>
      <c r="L14" s="21"/>
      <c r="M14" s="21">
        <f t="shared" si="0"/>
        <v>3050.9995222316834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0.20494673885501979</v>
      </c>
      <c r="C16" s="56">
        <f ca="1">'EF ele_warmte'!B22</f>
        <v>0.23363596352060925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18.801072007461158</v>
      </c>
      <c r="C18" s="23"/>
      <c r="D18" s="23">
        <f t="shared" ref="D18:M18" si="1">D14*D16</f>
        <v>32.990816430147902</v>
      </c>
      <c r="E18" s="23">
        <f t="shared" si="1"/>
        <v>20.506088802780642</v>
      </c>
      <c r="F18" s="23"/>
      <c r="G18" s="23">
        <f t="shared" si="1"/>
        <v>11193.468020924456</v>
      </c>
      <c r="H18" s="23">
        <f t="shared" si="1"/>
        <v>2473.9063045696098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2.4780898456957747E-5</v>
      </c>
      <c r="C50" s="315">
        <f t="shared" ref="C50:P50" si="2">SUM(C51:C52)</f>
        <v>0</v>
      </c>
      <c r="D50" s="315">
        <f t="shared" si="2"/>
        <v>0</v>
      </c>
      <c r="E50" s="315">
        <f t="shared" si="2"/>
        <v>0</v>
      </c>
      <c r="F50" s="315">
        <f t="shared" si="2"/>
        <v>0</v>
      </c>
      <c r="G50" s="315">
        <f t="shared" si="2"/>
        <v>1.7688158577996202E-3</v>
      </c>
      <c r="H50" s="315">
        <f t="shared" si="2"/>
        <v>0</v>
      </c>
      <c r="I50" s="315">
        <f t="shared" si="2"/>
        <v>0</v>
      </c>
      <c r="J50" s="315">
        <f t="shared" si="2"/>
        <v>0</v>
      </c>
      <c r="K50" s="315">
        <f t="shared" si="2"/>
        <v>0</v>
      </c>
      <c r="L50" s="315">
        <f t="shared" si="2"/>
        <v>0</v>
      </c>
      <c r="M50" s="315">
        <f t="shared" si="2"/>
        <v>9.7671524442902375E-5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2.4780898456957747E-5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1.7688158577996202E-3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9.7671524442902375E-5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6.8835829047104857</v>
      </c>
      <c r="C54" s="21">
        <f t="shared" ref="C54:P54" si="3">(C50)*10^9/3600</f>
        <v>0</v>
      </c>
      <c r="D54" s="21">
        <f t="shared" si="3"/>
        <v>0</v>
      </c>
      <c r="E54" s="21">
        <f t="shared" si="3"/>
        <v>0</v>
      </c>
      <c r="F54" s="21">
        <f t="shared" si="3"/>
        <v>0</v>
      </c>
      <c r="G54" s="21">
        <f t="shared" si="3"/>
        <v>491.33773827767226</v>
      </c>
      <c r="H54" s="21">
        <f t="shared" si="3"/>
        <v>0</v>
      </c>
      <c r="I54" s="21">
        <f t="shared" si="3"/>
        <v>0</v>
      </c>
      <c r="J54" s="21">
        <f t="shared" si="3"/>
        <v>0</v>
      </c>
      <c r="K54" s="21">
        <f t="shared" si="3"/>
        <v>0</v>
      </c>
      <c r="L54" s="21">
        <f t="shared" si="3"/>
        <v>0</v>
      </c>
      <c r="M54" s="21">
        <f t="shared" si="3"/>
        <v>27.130979011917326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0.20494673885501979</v>
      </c>
      <c r="C56" s="56">
        <f ca="1">'EF ele_warmte'!B22</f>
        <v>0.23363596352060925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1.4107678679585784</v>
      </c>
      <c r="C58" s="23">
        <f t="shared" ref="C58:P58" ca="1" si="4">C54*C56</f>
        <v>0</v>
      </c>
      <c r="D58" s="23">
        <f t="shared" si="4"/>
        <v>0</v>
      </c>
      <c r="E58" s="23">
        <f t="shared" si="4"/>
        <v>0</v>
      </c>
      <c r="F58" s="23">
        <f t="shared" si="4"/>
        <v>0</v>
      </c>
      <c r="G58" s="23">
        <f t="shared" si="4"/>
        <v>131.1871761201385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2955.6950567577092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2586.1499999999996</v>
      </c>
      <c r="C8" s="544">
        <f>B49</f>
        <v>2991.1764705882351</v>
      </c>
      <c r="D8" s="545"/>
      <c r="E8" s="545">
        <f>E49</f>
        <v>0</v>
      </c>
      <c r="F8" s="546"/>
      <c r="G8" s="547"/>
      <c r="H8" s="545">
        <f>I49</f>
        <v>0</v>
      </c>
      <c r="I8" s="545">
        <f>G49+F49</f>
        <v>0</v>
      </c>
      <c r="J8" s="545">
        <f>H49+D49+C49</f>
        <v>51.352941176470587</v>
      </c>
      <c r="K8" s="545"/>
      <c r="L8" s="545"/>
      <c r="M8" s="545"/>
      <c r="N8" s="548"/>
      <c r="O8" s="549">
        <f>C8*$C$12+D8*$D$12+E8*$E$12+F8*$F$12+G8*$G$12+H8*$H$12+I8*$I$12+J8*$J$12</f>
        <v>604.21764705882356</v>
      </c>
      <c r="P8" s="1253"/>
      <c r="Q8" s="1254"/>
      <c r="S8" s="539"/>
      <c r="T8" s="1241"/>
      <c r="U8" s="1241"/>
    </row>
    <row r="9" spans="1:21" s="530" customFormat="1" ht="17.45" customHeight="1" thickBot="1">
      <c r="A9" s="550" t="s">
        <v>243</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5541.8450567577092</v>
      </c>
      <c r="C10" s="559">
        <f t="shared" ref="C10:L10" si="0">SUM(C8:C9)</f>
        <v>2991.1764705882351</v>
      </c>
      <c r="D10" s="559">
        <f t="shared" si="0"/>
        <v>0</v>
      </c>
      <c r="E10" s="559">
        <f t="shared" si="0"/>
        <v>0</v>
      </c>
      <c r="F10" s="559">
        <f t="shared" si="0"/>
        <v>0</v>
      </c>
      <c r="G10" s="559">
        <f t="shared" si="0"/>
        <v>0</v>
      </c>
      <c r="H10" s="559">
        <f t="shared" si="0"/>
        <v>0</v>
      </c>
      <c r="I10" s="559">
        <f t="shared" si="0"/>
        <v>0</v>
      </c>
      <c r="J10" s="559">
        <f t="shared" si="0"/>
        <v>51.352941176470587</v>
      </c>
      <c r="K10" s="559">
        <f t="shared" si="0"/>
        <v>0</v>
      </c>
      <c r="L10" s="559">
        <f t="shared" si="0"/>
        <v>0</v>
      </c>
      <c r="M10" s="960"/>
      <c r="N10" s="960"/>
      <c r="O10" s="560">
        <f>SUM(O4:O9)</f>
        <v>604.21764705882356</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3694.4999999999991</v>
      </c>
      <c r="C17" s="575">
        <f>B50</f>
        <v>4273.1092436974786</v>
      </c>
      <c r="D17" s="576"/>
      <c r="E17" s="576">
        <f>E50</f>
        <v>0</v>
      </c>
      <c r="F17" s="577"/>
      <c r="G17" s="578"/>
      <c r="H17" s="575">
        <f>I50</f>
        <v>0</v>
      </c>
      <c r="I17" s="576">
        <f>G50+F50</f>
        <v>0</v>
      </c>
      <c r="J17" s="576">
        <f>H50+D50+C50</f>
        <v>73.361344537815114</v>
      </c>
      <c r="K17" s="576"/>
      <c r="L17" s="576"/>
      <c r="M17" s="576"/>
      <c r="N17" s="961"/>
      <c r="O17" s="579">
        <f>C17*$C$22+E17*$E$22+H17*$H$22+I17*$I$22+J17*$J$22+D17*$D$22+F17*$F$22+G17*$G$22+K17*$K$22+L17*$L$22</f>
        <v>863.16806722689068</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3694.4999999999991</v>
      </c>
      <c r="C20" s="558">
        <f>SUM(C17:C19)</f>
        <v>4273.1092436974786</v>
      </c>
      <c r="D20" s="558">
        <f t="shared" ref="D20:L20" si="1">SUM(D17:D19)</f>
        <v>0</v>
      </c>
      <c r="E20" s="558">
        <f t="shared" si="1"/>
        <v>0</v>
      </c>
      <c r="F20" s="558">
        <f t="shared" si="1"/>
        <v>0</v>
      </c>
      <c r="G20" s="558">
        <f t="shared" si="1"/>
        <v>0</v>
      </c>
      <c r="H20" s="558">
        <f t="shared" si="1"/>
        <v>0</v>
      </c>
      <c r="I20" s="558">
        <f t="shared" si="1"/>
        <v>0</v>
      </c>
      <c r="J20" s="558">
        <f t="shared" si="1"/>
        <v>73.361344537815114</v>
      </c>
      <c r="K20" s="558">
        <f t="shared" si="1"/>
        <v>0</v>
      </c>
      <c r="L20" s="558">
        <f t="shared" si="1"/>
        <v>0</v>
      </c>
      <c r="M20" s="558"/>
      <c r="N20" s="558"/>
      <c r="O20" s="584">
        <f>SUM(O17:O19)</f>
        <v>863.16806722689068</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44029</v>
      </c>
      <c r="C28" s="786">
        <v>9910</v>
      </c>
      <c r="D28" s="636" t="s">
        <v>883</v>
      </c>
      <c r="E28" s="635" t="s">
        <v>884</v>
      </c>
      <c r="F28" s="635" t="s">
        <v>885</v>
      </c>
      <c r="G28" s="635" t="s">
        <v>886</v>
      </c>
      <c r="H28" s="635" t="s">
        <v>887</v>
      </c>
      <c r="I28" s="635" t="s">
        <v>884</v>
      </c>
      <c r="J28" s="785">
        <v>41117</v>
      </c>
      <c r="K28" s="785">
        <v>41214</v>
      </c>
      <c r="L28" s="635" t="s">
        <v>888</v>
      </c>
      <c r="M28" s="635">
        <v>9.6999999999999993</v>
      </c>
      <c r="N28" s="635">
        <v>43.649999999999991</v>
      </c>
      <c r="O28" s="635">
        <v>62.357142857142847</v>
      </c>
      <c r="P28" s="635">
        <v>0</v>
      </c>
      <c r="Q28" s="635">
        <v>124.71428571428569</v>
      </c>
      <c r="R28" s="635">
        <v>0</v>
      </c>
      <c r="S28" s="635">
        <v>0</v>
      </c>
      <c r="T28" s="635">
        <v>0</v>
      </c>
      <c r="U28" s="635">
        <v>0</v>
      </c>
      <c r="V28" s="635">
        <v>0</v>
      </c>
      <c r="W28" s="635">
        <v>0</v>
      </c>
      <c r="X28" s="635">
        <v>10</v>
      </c>
      <c r="Y28" s="635" t="s">
        <v>111</v>
      </c>
      <c r="Z28" s="637" t="s">
        <v>111</v>
      </c>
    </row>
    <row r="29" spans="1:26" s="589" customFormat="1" ht="25.5">
      <c r="A29" s="588"/>
      <c r="B29" s="786">
        <v>44029</v>
      </c>
      <c r="C29" s="786">
        <v>9910</v>
      </c>
      <c r="D29" s="636" t="s">
        <v>889</v>
      </c>
      <c r="E29" s="635" t="s">
        <v>890</v>
      </c>
      <c r="F29" s="635" t="s">
        <v>891</v>
      </c>
      <c r="G29" s="635" t="s">
        <v>886</v>
      </c>
      <c r="H29" s="635" t="s">
        <v>887</v>
      </c>
      <c r="I29" s="635" t="s">
        <v>890</v>
      </c>
      <c r="J29" s="785">
        <v>41599</v>
      </c>
      <c r="K29" s="785">
        <v>41599</v>
      </c>
      <c r="L29" s="635" t="s">
        <v>888</v>
      </c>
      <c r="M29" s="635">
        <v>565</v>
      </c>
      <c r="N29" s="635">
        <v>2542.4999999999995</v>
      </c>
      <c r="O29" s="635">
        <v>3632.1428571428564</v>
      </c>
      <c r="P29" s="635">
        <v>7264.2857142857138</v>
      </c>
      <c r="Q29" s="635">
        <v>0</v>
      </c>
      <c r="R29" s="635">
        <v>0</v>
      </c>
      <c r="S29" s="635">
        <v>0</v>
      </c>
      <c r="T29" s="635">
        <v>0</v>
      </c>
      <c r="U29" s="635">
        <v>0</v>
      </c>
      <c r="V29" s="635">
        <v>0</v>
      </c>
      <c r="W29" s="635">
        <v>0</v>
      </c>
      <c r="X29" s="635">
        <v>10</v>
      </c>
      <c r="Y29" s="635" t="s">
        <v>111</v>
      </c>
      <c r="Z29" s="637" t="s">
        <v>111</v>
      </c>
    </row>
    <row r="30" spans="1:26" s="569" customFormat="1">
      <c r="A30" s="591" t="s">
        <v>275</v>
      </c>
      <c r="B30" s="592"/>
      <c r="C30" s="592"/>
      <c r="D30" s="592"/>
      <c r="E30" s="592"/>
      <c r="F30" s="592"/>
      <c r="G30" s="592"/>
      <c r="H30" s="592"/>
      <c r="I30" s="592"/>
      <c r="J30" s="592"/>
      <c r="K30" s="592"/>
      <c r="L30" s="593"/>
      <c r="M30" s="593">
        <f>SUM(M28:M29)</f>
        <v>574.70000000000005</v>
      </c>
      <c r="N30" s="593">
        <f>SUM(N28:N29)</f>
        <v>2586.1499999999996</v>
      </c>
      <c r="O30" s="593">
        <f>SUM(O28:O29)</f>
        <v>3694.4999999999991</v>
      </c>
      <c r="P30" s="593">
        <f>SUM(P28:P29)</f>
        <v>7264.2857142857138</v>
      </c>
      <c r="Q30" s="593">
        <f>SUM(Q28:Q29)</f>
        <v>124.71428571428569</v>
      </c>
      <c r="R30" s="593">
        <f>SUM(R28:R29)</f>
        <v>0</v>
      </c>
      <c r="S30" s="593">
        <f>SUM(S28:S29)</f>
        <v>0</v>
      </c>
      <c r="T30" s="593">
        <f>SUM(T28:T29)</f>
        <v>0</v>
      </c>
      <c r="U30" s="593">
        <f>SUM(U28:U29)</f>
        <v>0</v>
      </c>
      <c r="V30" s="593">
        <f>SUM(V28:V29)</f>
        <v>0</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0</v>
      </c>
      <c r="N31" s="593">
        <f>SUMIF($Z$28:$Z$29,"industrie",N28:N29)</f>
        <v>0</v>
      </c>
      <c r="O31" s="593">
        <f>SUMIF($Z$28:$Z$29,"industrie",O28:O29)</f>
        <v>0</v>
      </c>
      <c r="P31" s="593">
        <f>SUMIF($Z$28:$Z$29,"industrie",P28:P29)</f>
        <v>0</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0</v>
      </c>
      <c r="N32" s="593">
        <f ca="1">SUMIF($Z$28:AD29,"tertiair",N28:N29)</f>
        <v>0</v>
      </c>
      <c r="O32" s="593">
        <f ca="1">SUMIF($Z$28:AE29,"tertiair",O28:O29)</f>
        <v>0</v>
      </c>
      <c r="P32" s="593">
        <f ca="1">SUMIF($Z$28:AF29,"tertiair",P28:P29)</f>
        <v>0</v>
      </c>
      <c r="Q32" s="593">
        <f ca="1">SUMIF($Z$28:AG29,"tertiair",Q28:Q29)</f>
        <v>0</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574.70000000000005</v>
      </c>
      <c r="N33" s="598">
        <f>SUMIF($Z$28:$Z$29,"landbouw",N28:N29)</f>
        <v>2586.1499999999996</v>
      </c>
      <c r="O33" s="598">
        <f>SUMIF($Z$28:$Z$29,"landbouw",O28:O29)</f>
        <v>3694.4999999999991</v>
      </c>
      <c r="P33" s="598">
        <f>SUMIF($Z$28:$Z$29,"landbouw",P28:P29)</f>
        <v>7264.2857142857138</v>
      </c>
      <c r="Q33" s="598">
        <f>SUMIF($Z$28:$Z$29,"landbouw",Q28:Q29)</f>
        <v>124.71428571428569</v>
      </c>
      <c r="R33" s="598">
        <f>SUMIF($Z$28:$Z$29,"landbouw",R28:R29)</f>
        <v>0</v>
      </c>
      <c r="S33" s="598">
        <f>SUMIF($Z$28:$Z$29,"landbouw",S28:S29)</f>
        <v>0</v>
      </c>
      <c r="T33" s="598">
        <f>SUMIF($Z$28:$Z$29,"landbouw",T28:T29)</f>
        <v>0</v>
      </c>
      <c r="U33" s="598">
        <f>SUMIF($Z$28:$Z$29,"landbouw",U28:U29)</f>
        <v>0</v>
      </c>
      <c r="V33" s="598">
        <f>SUMIF($Z$28:$Z$29,"landbouw",V28:V29)</f>
        <v>0</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12.75">
      <c r="A36" s="590"/>
      <c r="B36" s="786"/>
      <c r="C36" s="786"/>
      <c r="D36" s="638"/>
      <c r="E36" s="638"/>
      <c r="F36" s="638"/>
      <c r="G36" s="638"/>
      <c r="H36" s="638"/>
      <c r="I36" s="638"/>
      <c r="J36" s="785"/>
      <c r="K36" s="785"/>
      <c r="L36" s="638"/>
      <c r="M36" s="638"/>
      <c r="N36" s="638"/>
      <c r="O36" s="638"/>
      <c r="P36" s="638"/>
      <c r="Q36" s="638"/>
      <c r="R36" s="638"/>
      <c r="S36" s="638"/>
      <c r="T36" s="638"/>
      <c r="U36" s="638"/>
      <c r="V36" s="638"/>
      <c r="W36" s="638"/>
      <c r="X36" s="638"/>
      <c r="Y36" s="638"/>
      <c r="Z36" s="639"/>
    </row>
    <row r="37" spans="1:27" s="569" customFormat="1">
      <c r="A37" s="591" t="s">
        <v>275</v>
      </c>
      <c r="B37" s="592"/>
      <c r="C37" s="592"/>
      <c r="D37" s="592"/>
      <c r="E37" s="592"/>
      <c r="F37" s="592"/>
      <c r="G37" s="592"/>
      <c r="H37" s="592"/>
      <c r="I37" s="592"/>
      <c r="J37" s="592"/>
      <c r="K37" s="592"/>
      <c r="L37" s="593"/>
      <c r="M37" s="593">
        <f>SUM(M36:M36)</f>
        <v>0</v>
      </c>
      <c r="N37" s="593">
        <f>SUM(N36:N36)</f>
        <v>0</v>
      </c>
      <c r="O37" s="593">
        <f>SUM(O36:O36)</f>
        <v>0</v>
      </c>
      <c r="P37" s="593">
        <f>SUM(P36:P36)</f>
        <v>0</v>
      </c>
      <c r="Q37" s="593">
        <f>SUM(Q36:Q36)</f>
        <v>0</v>
      </c>
      <c r="R37" s="593">
        <f>SUM(R36:R36)</f>
        <v>0</v>
      </c>
      <c r="S37" s="593">
        <f>SUM(S36:S36)</f>
        <v>0</v>
      </c>
      <c r="T37" s="593">
        <f>SUM(T36:T36)</f>
        <v>0</v>
      </c>
      <c r="U37" s="593">
        <f>SUM(U36:U36)</f>
        <v>0</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0</v>
      </c>
      <c r="N39" s="593">
        <f>SUMIF($Z$36:$Z$37,"tertiair",N36:N37)</f>
        <v>0</v>
      </c>
      <c r="O39" s="593">
        <f>SUMIF($Z$36:$Z$37,"tertiair",O36:O37)</f>
        <v>0</v>
      </c>
      <c r="P39" s="593">
        <f>SUMIF($Z$36:$Z$37,"tertiair",P36:P37)</f>
        <v>0</v>
      </c>
      <c r="Q39" s="593">
        <f>SUMIF($Z$36:$Z$37,"tertiair",Q36:Q37)</f>
        <v>0</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0</v>
      </c>
      <c r="N40" s="598">
        <f>SUMIF($Z$36:$Z$38,"landbouw",N36:N38)</f>
        <v>0</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0.58823529411764708</v>
      </c>
      <c r="C46" s="618">
        <f>IF(ISERROR(N30/(O30+N30)),0,N30/(N30+O30))</f>
        <v>0.41176470588235298</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2991.1764705882351</v>
      </c>
      <c r="C49" s="627">
        <f t="shared" si="2"/>
        <v>51.352941176470587</v>
      </c>
      <c r="D49" s="627">
        <f t="shared" si="2"/>
        <v>0</v>
      </c>
      <c r="E49" s="627">
        <f t="shared" si="2"/>
        <v>0</v>
      </c>
      <c r="F49" s="627">
        <f t="shared" si="2"/>
        <v>0</v>
      </c>
      <c r="G49" s="627">
        <f t="shared" si="2"/>
        <v>0</v>
      </c>
      <c r="H49" s="627">
        <f t="shared" si="2"/>
        <v>0</v>
      </c>
      <c r="I49" s="628">
        <f t="shared" si="2"/>
        <v>0</v>
      </c>
      <c r="J49" s="585"/>
      <c r="K49" s="585"/>
      <c r="L49" s="623"/>
      <c r="M49" s="623"/>
      <c r="N49" s="623"/>
      <c r="O49" s="610"/>
      <c r="P49" s="610"/>
    </row>
    <row r="50" spans="1:16" ht="15.75" thickBot="1">
      <c r="A50" s="629" t="s">
        <v>281</v>
      </c>
      <c r="B50" s="630">
        <f t="shared" ref="B50:I50" si="3">$B$46*P30</f>
        <v>4273.1092436974786</v>
      </c>
      <c r="C50" s="630">
        <f t="shared" si="3"/>
        <v>73.361344537815114</v>
      </c>
      <c r="D50" s="630">
        <f t="shared" si="3"/>
        <v>0</v>
      </c>
      <c r="E50" s="630">
        <f t="shared" si="3"/>
        <v>0</v>
      </c>
      <c r="F50" s="630">
        <f t="shared" si="3"/>
        <v>0</v>
      </c>
      <c r="G50" s="630">
        <f t="shared" si="3"/>
        <v>0</v>
      </c>
      <c r="H50" s="630">
        <f t="shared" si="3"/>
        <v>0</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2021-06-29T14:34:48Z</dcterms:modified>
</cp:coreProperties>
</file>