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5" i="13"/>
  <c r="C35" i="13" s="1"/>
  <c r="B34" i="13"/>
  <c r="B32" i="13"/>
  <c r="B33" i="13"/>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0" i="13"/>
  <c r="C12" i="13" s="1"/>
  <c r="C56" i="22"/>
  <c r="C58" i="22" s="1"/>
  <c r="D49" i="14" s="1"/>
  <c r="D52" i="14" s="1"/>
  <c r="C17" i="49"/>
  <c r="C22" i="59"/>
  <c r="C17" i="19"/>
  <c r="C19" i="19" s="1"/>
  <c r="D39" i="14" s="1"/>
  <c r="C20" i="16"/>
  <c r="C22" i="16" s="1"/>
  <c r="D43" i="14" s="1"/>
  <c r="C18" i="15"/>
  <c r="C20" i="15" s="1"/>
  <c r="D40" i="14"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<sst xmlns="http://schemas.openxmlformats.org/spreadsheetml/2006/main" count="2472" uniqueCount="896">
  <si>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</si>
  <si>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</si>
  <si>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</si>
  <si>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</si>
  <si>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</si>
  <si>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</si>
  <si>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</si>
  <si>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</si>
  <si>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</si>
  <si>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</si>
  <si>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</si>
  <si>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</si>
  <si>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</si>
  <si>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</si>
  <si>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</si>
  <si>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</si>
  <si>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</si>
  <si>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</si>
  <si>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</si>
  <si>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</si>
  <si>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</si>
  <si>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</si>
  <si>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</si>
  <si>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</si>
  <si>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</si>
  <si>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</si>
  <si>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</si>
  <si>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</si>
  <si>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</si>
  <si>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</si>
  <si>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</si>
  <si>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</si>
  <si>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</si>
  <si>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</si>
  <si>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</si>
  <si>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</si>
  <si>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</si>
  <si>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</si>
  <si>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</si>
  <si>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</si>
  <si>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</si>
  <si>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</si>
  <si>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</si>
  <si>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</si>
  <si>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</si>
  <si>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</si>
  <si>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</si>
  <si>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</si>
  <si>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</si>
  <si>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</si>
  <si>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</si>
  <si>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</si>
  <si>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</si>
  <si>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</si>
  <si>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</si>
  <si>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</si>
  <si>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</si>
  <si>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</si>
  <si>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</si>
  <si>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</si>
  <si>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</si>
  <si>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</si>
  <si>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</si>
  <si>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</si>
  <si>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</si>
  <si>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</si>
  <si>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</si>
  <si>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</si>
  <si>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</si>
  <si>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</si>
  <si>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</si>
  <si>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</si>
  <si>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</si>
  <si>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</si>
  <si>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</si>
  <si>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</si>
  <si>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</si>
  <si>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</si>
  <si>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</si>
  <si>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</si>
  <si>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</si>
  <si>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</si>
  <si>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</si>
  <si>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</si>
  <si>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</si>
  <si>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</si>
  <si>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</si>
  <si>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</si>
  <si>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</si>
  <si>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</si>
  <si>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</si>
  <si>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</si>
  <si>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</si>
  <si>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</si>
  <si>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</si>
  <si>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</si>
  <si>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</si>
  <si>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</si>
  <si>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</si>
  <si>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</si>
  <si>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</si>
  <si>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</si>
  <si>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</si>
  <si>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</si>
  <si>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</si>
  <si>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</si>
  <si>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</si>
  <si>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</si>
  <si>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</si>
  <si>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</si>
  <si>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</si>
  <si>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</si>
  <si>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</si>
  <si>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</si>
  <si>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</si>
  <si>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</si>
  <si>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</si>
  <si>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</si>
  <si>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</si>
  <si>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</si>
  <si>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</si>
  <si>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</si>
  <si>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</si>
  <si>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</si>
  <si>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</si>
  <si>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</si>
  <si>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</si>
  <si>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</si>
  <si>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</si>
  <si>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</si>
  <si>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</si>
  <si>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</si>
  <si>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</si>
  <si>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</si>
  <si>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</si>
  <si>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</si>
  <si>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</si>
  <si>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</si>
  <si>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</si>
  <si>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</si>
  <si>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</si>
  <si>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</si>
  <si>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</si>
  <si>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</si>
  <si>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</si>
  <si>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</si>
  <si>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</si>
  <si>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</si>
  <si>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</si>
  <si>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</si>
  <si>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</si>
  <si>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</si>
  <si>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</si>
  <si>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</si>
  <si>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</si>
  <si>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</si>
  <si>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</si>
  <si>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</si>
  <si>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</si>
  <si>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</si>
  <si>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</si>
  <si>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</si>
  <si>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</si>
  <si>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</si>
  <si>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</si>
  <si>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</si>
  <si>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</si>
  <si>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</si>
  <si>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</si>
  <si>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</si>
  <si>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</si>
  <si>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</si>
  <si>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</si>
  <si>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</si>
  <si>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</si>
  <si>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</si>
  <si>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</si>
  <si>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</si>
  <si>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</si>
  <si>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</si>
  <si>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</si>
  <si>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</si>
  <si>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</si>
  <si>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</si>
  <si>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</si>
  <si>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</si>
  <si>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</si>
  <si>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</si>
  <si>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</si>
  <si>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</si>
  <si>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</si>
  <si>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</si>
  <si>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</si>
  <si>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</si>
  <si>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</si>
  <si>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</si>
  <si>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</si>
  <si>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</si>
  <si>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</si>
  <si>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</si>
  <si>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</si>
  <si>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</si>
  <si>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</si>
  <si>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</si>
  <si>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</si>
  <si>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</si>
  <si>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</si>
  <si>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</si>
  <si>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</si>
  <si>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</si>
  <si>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</si>
  <si>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</si>
  <si>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</si>
  <si>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</si>
  <si>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</si>
  <si>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</si>
  <si>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</si>
  <si>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</si>
  <si>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</si>
  <si>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</si>
  <si>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</si>
  <si>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</si>
  <si>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</si>
  <si>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</si>
  <si>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</si>
  <si>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</si>
  <si>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</si>
  <si>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</si>
  <si>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</si>
  <si>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</si>
  <si>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</si>
  <si>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</si>
  <si>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</si>
  <si>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</si>
  <si>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</si>
  <si>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</si>
  <si>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</si>
  <si>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</si>
  <si>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</si>
  <si>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</si>
  <si>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</si>
  <si>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</si>
  <si>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</si>
  <si>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</si>
  <si>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</si>
  <si>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</si>
  <si>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</si>
  <si>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</si>
  <si>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</si>
  <si>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</si>
  <si>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</si>
  <si>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</si>
  <si>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</si>
  <si>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</si>
  <si>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</si>
  <si>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</si>
  <si>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</si>
  <si>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</si>
  <si>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</si>
  <si>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</si>
  <si>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</si>
  <si>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</si>
  <si>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</si>
  <si>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</si>
  <si>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</si>
  <si>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</si>
  <si>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</si>
  <si>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</si>
  <si>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</si>
  <si>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</si>
  <si>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</si>
  <si>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</si>
  <si>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</si>
  <si>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</si>
  <si>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</si>
  <si>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</si>
  <si>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</si>
  <si>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</si>
  <si>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</si>
  <si>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</si>
  <si>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</si>
  <si>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</si>
  <si>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</si>
  <si>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</si>
  <si>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</si>
  <si>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</si>
  <si>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</si>
  <si>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</si>
  <si>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</si>
  <si>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</si>
  <si>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</si>
  <si>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</si>
  <si>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</si>
  <si>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</si>
  <si>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</si>
  <si>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</si>
  <si>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</si>
  <si>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</si>
  <si>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</si>
  <si>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</si>
  <si>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</si>
  <si>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</si>
  <si>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</si>
  <si>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</si>
  <si>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</si>
  <si>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</si>
  <si>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</si>
  <si>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</si>
  <si>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</si>
  <si>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</si>
  <si>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</si>
  <si>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</si>
  <si>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</si>
  <si>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</si>
  <si>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</si>
  <si>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</si>
  <si>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</si>
  <si>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</si>
  <si>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</si>
  <si>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</si>
  <si>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</si>
  <si>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</si>
  <si>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</si>
  <si>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</si>
  <si>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</si>
  <si>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</si>
  <si>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</si>
  <si>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</si>
  <si>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</si>
  <si>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</si>
  <si>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</si>
  <si>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</si>
  <si>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</si>
  <si>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</si>
  <si>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</si>
  <si>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</si>
  <si>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</si>
  <si>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</si>
  <si>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</si>
  <si>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</si>
  <si>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</si>
  <si>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</si>
  <si>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</si>
  <si>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</si>
  <si>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</si>
  <si>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</si>
  <si>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</si>
  <si>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</si>
  <si>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</si>
  <si>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</si>
  <si>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</si>
  <si>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</si>
  <si>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</si>
  <si>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</si>
  <si>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</si>
  <si>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</si>
  <si>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</si>
  <si>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</si>
  <si>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</si>
  <si>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</si>
  <si>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</si>
  <si>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</si>
  <si>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</si>
  <si>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</si>
  <si>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</si>
  <si>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</si>
  <si>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</si>
  <si>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</si>
  <si>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</si>
  <si>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</si>
  <si>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</si>
  <si>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</si>
  <si>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</si>
  <si>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</si>
  <si>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</si>
  <si>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</si>
  <si>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</si>
  <si>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</si>
  <si>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</si>
  <si>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</si>
  <si>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</si>
  <si>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</si>
  <si>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</si>
  <si>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</si>
  <si>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</si>
  <si>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</si>
  <si>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</si>
  <si>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</si>
  <si>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</si>
  <si>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</si>
  <si>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</si>
  <si>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</si>
  <si>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</si>
  <si>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</si>
  <si>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</si>
  <si>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</si>
  <si>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</si>
  <si>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</si>
  <si>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</si>
  <si>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</si>
  <si>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</si>
  <si>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</si>
  <si>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</si>
  <si>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</si>
  <si>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</si>
  <si>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</si>
  <si>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</si>
  <si>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</si>
  <si>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</si>
  <si>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</si>
  <si>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</si>
  <si>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</si>
  <si>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</si>
  <si>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</si>
  <si>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</si>
  <si>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</si>
  <si>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</si>
  <si>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</si>
  <si>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</si>
  <si>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</si>
  <si>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</si>
  <si>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</si>
  <si>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</si>
  <si>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</si>
  <si>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</si>
  <si>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</si>
  <si>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</si>
  <si>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</si>
  <si>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</si>
  <si>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</si>
  <si>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</si>
  <si>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</si>
  <si>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</si>
  <si>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</si>
  <si>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</si>
  <si>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</si>
  <si>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</si>
  <si>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</si>
  <si>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</si>
  <si>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</si>
  <si>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</si>
  <si>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</si>
  <si>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</si>
  <si>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</si>
  <si>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</si>
  <si>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</si>
  <si>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</si>
  <si>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</si>
  <si>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</si>
  <si>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</si>
  <si>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</si>
  <si>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</si>
  <si>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</si>
  <si>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</si>
  <si>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</si>
  <si>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</si>
  <si>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</si>
  <si>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</si>
  <si>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</si>
  <si>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</si>
  <si>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</si>
  <si>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</si>
  <si>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</si>
  <si>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</si>
  <si>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</si>
  <si>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</si>
  <si>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</si>
  <si>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</si>
  <si>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</si>
  <si>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</si>
  <si>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</si>
  <si>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</si>
  <si>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</si>
  <si>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</si>
  <si>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</si>
  <si>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</si>
  <si>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</si>
  <si>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</si>
  <si>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</si>
  <si>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</si>
  <si>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</si>
  <si>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</si>
  <si>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</si>
  <si>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</si>
  <si>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</si>
  <si>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</si>
  <si>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</si>
  <si>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</si>
  <si>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</si>
  <si>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</si>
  <si>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</si>
  <si>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</si>
  <si>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</si>
  <si>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</si>
  <si>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</si>
  <si>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</si>
  <si>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</si>
  <si>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</si>
  <si>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</si>
  <si>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</si>
  <si>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</si>
  <si>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</si>
  <si>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</si>
  <si>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</si>
  <si>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</si>
  <si>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</si>
  <si>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</si>
  <si>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</si>
  <si>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</si>
  <si>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</si>
  <si>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</si>
  <si>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</si>
  <si>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</si>
  <si>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</si>
  <si>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</si>
  <si>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</si>
  <si>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</si>
  <si>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</si>
  <si>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</si>
  <si>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</si>
  <si>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</si>
  <si>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</si>
  <si>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</si>
  <si>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</si>
  <si>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</si>
  <si>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</si>
  <si>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</si>
  <si>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</si>
  <si>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</si>
  <si>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</si>
  <si>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</si>
  <si>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</si>
  <si>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</si>
  <si>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</si>
  <si>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</si>
  <si>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</si>
  <si>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</si>
  <si>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</si>
  <si>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</si>
  <si>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</si>
  <si>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</si>
  <si>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</si>
  <si>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</si>
  <si>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</si>
  <si>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</si>
  <si>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</si>
  <si>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</si>
  <si>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</si>
  <si>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</si>
  <si>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</si>
  <si>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</si>
  <si>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</si>
  <si>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</si>
  <si>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</si>
  <si>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</si>
  <si>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</si>
  <si>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</si>
  <si>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</si>
  <si>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</si>
  <si>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</si>
  <si>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</si>
  <si>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</si>
  <si>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</si>
  <si>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</si>
  <si>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</si>
  <si>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</si>
  <si>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</si>
  <si>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</si>
  <si>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</si>
  <si>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</si>
  <si>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</si>
  <si>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</si>
  <si>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</si>
  <si>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</si>
  <si>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</si>
  <si>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</si>
  <si>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</si>
  <si>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</si>
  <si>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</si>
  <si>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</si>
  <si>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</si>
  <si>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</si>
  <si>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</si>
  <si>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</si>
  <si>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</si>
  <si>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</si>
  <si>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</si>
  <si>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</si>
  <si>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</si>
  <si>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</si>
  <si>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</si>
  <si>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</si>
  <si>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</si>
  <si>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</si>
  <si>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</si>
  <si>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</si>
  <si>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</si>
  <si>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</si>
  <si>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</si>
  <si>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</si>
  <si>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</si>
  <si>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</si>
  <si>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</si>
  <si>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</si>
  <si>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</si>
  <si>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</si>
  <si>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</si>
  <si>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</si>
  <si>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</si>
  <si>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</si>
  <si>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</si>
  <si>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</si>
  <si>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</si>
  <si>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</si>
  <si>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</si>
  <si>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</si>
  <si>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</si>
  <si>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</si>
  <si>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</si>
  <si>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</si>
  <si>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</si>
  <si>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</si>
  <si>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</si>
  <si>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</si>
  <si>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</si>
  <si>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</si>
  <si>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</si>
  <si>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</si>
  <si>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</si>
  <si>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</si>
  <si>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</si>
  <si>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</si>
  <si>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</si>
  <si>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</si>
  <si>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</si>
  <si>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</si>
  <si>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</si>
  <si>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</si>
  <si>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</si>
  <si>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</si>
  <si>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</si>
  <si>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</si>
  <si>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</si>
  <si>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</si>
  <si>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</si>
  <si>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</si>
  <si>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</si>
  <si>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</si>
  <si>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</si>
  <si>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</si>
  <si>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</si>
  <si>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</si>
  <si>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</si>
  <si>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</si>
  <si>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</si>
  <si>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</si>
  <si>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</si>
  <si>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</si>
  <si>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</si>
  <si>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</si>
  <si>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</si>
  <si>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</si>
  <si>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</si>
  <si>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</si>
  <si>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</si>
  <si>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</si>
  <si>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</si>
  <si>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</si>
  <si>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</si>
  <si>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</si>
  <si>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</si>
  <si>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</si>
  <si>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</si>
  <si>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</si>
  <si>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</si>
  <si>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</si>
  <si>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</si>
  <si>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</si>
  <si>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</si>
  <si>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</si>
  <si>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</si>
  <si>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</si>
  <si>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</si>
  <si>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</si>
  <si>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</si>
  <si>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</si>
  <si>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</si>
  <si>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</si>
  <si>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</si>
  <si>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</si>
  <si>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</si>
  <si>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</si>
  <si>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</si>
  <si>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</si>
  <si>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</si>
  <si>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</si>
  <si>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</si>
  <si>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</si>
  <si>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</si>
  <si>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</si>
  <si>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</si>
  <si>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</si>
  <si>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</si>
  <si>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</si>
  <si>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</si>
  <si>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</si>
  <si>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</si>
  <si>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</si>
  <si>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</si>
  <si>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</si>
  <si>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</si>
  <si>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</si>
  <si>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</si>
  <si>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</si>
  <si>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</si>
  <si>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</si>
  <si>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</si>
  <si>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</si>
  <si>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</si>
  <si>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</si>
  <si>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</si>
  <si>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</si>
  <si>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</si>
  <si>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</si>
  <si>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</si>
  <si>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</si>
  <si>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</si>
  <si>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</si>
  <si>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</si>
  <si>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</si>
  <si>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</si>
  <si>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</si>
  <si>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</si>
  <si>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</si>
  <si>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</si>
  <si>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</si>
  <si>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</si>
  <si>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</si>
  <si>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</si>
  <si>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</si>
  <si>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</si>
  <si>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</si>
  <si>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</si>
  <si>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</si>
  <si>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</si>
  <si>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</si>
  <si>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</si>
  <si>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</si>
  <si>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</si>
  <si>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</si>
  <si>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</si>
  <si>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</si>
  <si>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</si>
  <si>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</si>
  <si>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</si>
  <si>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</si>
  <si>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</si>
  <si>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</si>
  <si>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</si>
  <si>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</si>
  <si>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</si>
  <si>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</si>
  <si>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</si>
  <si>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</si>
  <si>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</si>
  <si>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</si>
  <si>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</si>
  <si>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</si>
  <si>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</si>
  <si>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</si>
  <si>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</si>
  <si>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</si>
  <si>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</si>
  <si>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</si>
  <si>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</si>
  <si>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</si>
  <si>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</si>
  <si>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</si>
  <si>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</si>
  <si>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</si>
  <si>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</si>
  <si>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</si>
  <si>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</si>
  <si>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</si>
  <si>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</si>
  <si>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</si>
  <si>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</si>
  <si>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</si>
  <si>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</si>
  <si>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</si>
  <si>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</si>
  <si>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</si>
  <si>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</si>
  <si>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</si>
  <si>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</si>
  <si>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</si>
  <si>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</si>
  <si>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</si>
  <si>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</si>
  <si>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</si>
  <si>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</si>
  <si>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</si>
  <si>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</si>
  <si>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</si>
  <si>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</si>
  <si>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</si>
  <si>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</si>
  <si>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</si>
  <si>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</si>
  <si>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</si>
  <si>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</si>
  <si>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</si>
  <si>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</si>
  <si>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</si>
  <si>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</si>
  <si>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</si>
  <si>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</si>
  <si>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</si>
  <si>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</si>
  <si>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</si>
  <si>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</si>
  <si>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</si>
  <si>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</si>
  <si>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</si>
  <si>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</si>
  <si>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</si>
  <si>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</si>
  <si>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</si>
  <si>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</si>
  <si>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</si>
  <si>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</si>
  <si>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</si>
  <si>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</si>
  <si>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</si>
  <si>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</si>
  <si>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</si>
  <si>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</si>
  <si>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</si>
  <si>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</si>
  <si>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</si>
  <si>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</si>
  <si>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</si>
  <si>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</si>
  <si>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</si>
  <si>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</si>
  <si>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</si>
  <si>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</si>
  <si>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</si>
  <si>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</si>
  <si>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</si>
  <si>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</si>
  <si>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</si>
  <si>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</si>
  <si>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</si>
  <si>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</si>
  <si>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</si>
  <si>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</si>
  <si>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</si>
  <si>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</si>
  <si>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</si>
  <si>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</si>
  <si>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</si>
  <si>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</si>
  <si>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</si>
  <si>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</si>
  <si>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</si>
  <si>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</si>
  <si>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</si>
  <si>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</si>
  <si>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</si>
  <si>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</si>
  <si>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</si>
  <si>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</si>
  <si>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</si>
  <si>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</si>
  <si>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</si>
  <si>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</si>
  <si>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</si>
  <si>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</si>
  <si>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44001</t>
  </si>
  <si>
    <t>AALTER</t>
  </si>
  <si>
    <t>referentietaak LNE (2017); Jaarverslag De Lijn</t>
  </si>
  <si>
    <t>waterkracht</t>
  </si>
  <si>
    <t>Bio-N.R.GY nv</t>
  </si>
  <si>
    <t>Northlaan 15 B7.01, 8400 Oostende</t>
  </si>
  <si>
    <t>WKK-0466 Bio-N.R.GY</t>
  </si>
  <si>
    <t>interne verbrandingsmotor</t>
  </si>
  <si>
    <t>WKK interne verbrandinsgmotor (gas)</t>
  </si>
  <si>
    <t>Aalterweg 4 , 9880 Aalter</t>
  </si>
  <si>
    <t>IMEWO</t>
  </si>
  <si>
    <t>WKK-0682 MIG Aalter</t>
  </si>
  <si>
    <t>Watermolenstraat 1 , 9880 Aalter</t>
  </si>
  <si>
    <t>Woon en zorgcentrum Veilige Have</t>
  </si>
  <si>
    <t>WKK-0752</t>
  </si>
  <si>
    <t>Lostraat 28, 9880 Aalter,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</si>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</sst>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173832.42418605147</c:v>
                </c:pt>
                <c:pt idx="1">
                  <c:v>61052.325385272146</c:v>
                </c:pt>
                <c:pt idx="2">
                  <c:v>2057.873</c:v>
                </c:pt>
                <c:pt idx="3">
                  <c:v>55452.434956037891</c:v>
                </c:pt>
                <c:pt idx="4">
                  <c:v>287847.44368941354</c:v>
                </c:pt>
                <c:pt idx="5">
                  <c:v>552781.43528232677</c:v>
                </c:pt>
                <c:pt idx="6">
                  <c:v>656.61855768960243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173832.42418605147</c:v>
                </c:pt>
                <c:pt idx="1">
                  <c:v>61052.325385272146</c:v>
                </c:pt>
                <c:pt idx="2">
                  <c:v>2057.873</c:v>
                </c:pt>
                <c:pt idx="3">
                  <c:v>55452.434956037891</c:v>
                </c:pt>
                <c:pt idx="4">
                  <c:v>287847.44368941354</c:v>
                </c:pt>
                <c:pt idx="5">
                  <c:v>552781.43528232677</c:v>
                </c:pt>
                <c:pt idx="6">
                  <c:v>656.61855768960243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35714.066702412674</c:v>
                </c:pt>
                <c:pt idx="1">
                  <c:v>11705.616733357989</c:v>
                </c:pt>
                <c:pt idx="2">
                  <c:v>387.16720389230153</c:v>
                </c:pt>
                <c:pt idx="3">
                  <c:v>9339.7764728057882</c:v>
                </c:pt>
                <c:pt idx="4">
                  <c:v>56672.401788710558</c:v>
                </c:pt>
                <c:pt idx="5">
                  <c:v>137819.95336115561</c:v>
                </c:pt>
                <c:pt idx="6">
                  <c:v>165.58470168402511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35714.066702412674</c:v>
                </c:pt>
                <c:pt idx="1">
                  <c:v>11705.616733357989</c:v>
                </c:pt>
                <c:pt idx="2">
                  <c:v>387.16720389230153</c:v>
                </c:pt>
                <c:pt idx="3">
                  <c:v>9339.7764728057882</c:v>
                </c:pt>
                <c:pt idx="4">
                  <c:v>56672.401788710558</c:v>
                </c:pt>
                <c:pt idx="5">
                  <c:v>137819.95336115561</c:v>
                </c:pt>
                <c:pt idx="6">
                  <c:v>165.58470168402511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44001</v>
      </c>
      <c r="B6" s="386"/>
      <c r="C6" s="387"/>
    </row>
    <row r="7" spans="1:7" s="384" customFormat="1" ht="15.75" customHeight="1">
      <c r="A7" s="388" t="str">
        <f>txtMunicipality</f>
        <v>AALTER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31534.888771068741</v>
      </c>
      <c r="D10" s="682">
        <f ca="1">tertiair!C16</f>
        <v>957.85714285714312</v>
      </c>
      <c r="E10" s="682">
        <f ca="1">tertiair!D16</f>
        <v>25146.917024564635</v>
      </c>
      <c r="F10" s="682">
        <f>tertiair!E16</f>
        <v>84.61263083259044</v>
      </c>
      <c r="G10" s="682">
        <f ca="1">tertiair!F16</f>
        <v>3930.8895903735588</v>
      </c>
      <c r="H10" s="682">
        <f>tertiair!G16</f>
        <v>0</v>
      </c>
      <c r="I10" s="682">
        <f>tertiair!H16</f>
        <v>0</v>
      </c>
      <c r="J10" s="682">
        <f>tertiair!I16</f>
        <v>0</v>
      </c>
      <c r="K10" s="682">
        <f>tertiair!J16</f>
        <v>2.3689246116378911E-2</v>
      </c>
      <c r="L10" s="682">
        <f>tertiair!K16</f>
        <v>0</v>
      </c>
      <c r="M10" s="682">
        <f ca="1">tertiair!L16</f>
        <v>0</v>
      </c>
      <c r="N10" s="682">
        <f>tertiair!M16</f>
        <v>0</v>
      </c>
      <c r="O10" s="682">
        <f ca="1">tertiair!N16</f>
        <v>885.54280637184456</v>
      </c>
      <c r="P10" s="682">
        <f>tertiair!O16</f>
        <v>44.075346892570387</v>
      </c>
      <c r="Q10" s="683">
        <f>tertiair!P16</f>
        <v>525.39138306495022</v>
      </c>
      <c r="R10" s="685">
        <f ca="1">SUM(C10:Q10)</f>
        <v>63110.198385272153</v>
      </c>
      <c r="S10" s="67"/>
    </row>
    <row r="11" spans="1:19" s="445" customFormat="1">
      <c r="A11" s="803" t="s">
        <v>220</v>
      </c>
      <c r="B11" s="808"/>
      <c r="C11" s="682">
        <f>huishoudens!B8</f>
        <v>40627.460159732451</v>
      </c>
      <c r="D11" s="682">
        <f>huishoudens!C8</f>
        <v>0</v>
      </c>
      <c r="E11" s="682">
        <f>huishoudens!D8</f>
        <v>54288.030263044784</v>
      </c>
      <c r="F11" s="682">
        <f>huishoudens!E8</f>
        <v>2701.3119088774779</v>
      </c>
      <c r="G11" s="682">
        <f>huishoudens!F8</f>
        <v>61357.276176672305</v>
      </c>
      <c r="H11" s="682">
        <f>huishoudens!G8</f>
        <v>0</v>
      </c>
      <c r="I11" s="682">
        <f>huishoudens!H8</f>
        <v>0</v>
      </c>
      <c r="J11" s="682">
        <f>huishoudens!I8</f>
        <v>0</v>
      </c>
      <c r="K11" s="682">
        <f>huishoudens!J8</f>
        <v>306.96010055083036</v>
      </c>
      <c r="L11" s="682">
        <f>huishoudens!K8</f>
        <v>0</v>
      </c>
      <c r="M11" s="682">
        <f>huishoudens!L8</f>
        <v>0</v>
      </c>
      <c r="N11" s="682">
        <f>huishoudens!M8</f>
        <v>0</v>
      </c>
      <c r="O11" s="682">
        <f>huishoudens!N8</f>
        <v>12172.701947855092</v>
      </c>
      <c r="P11" s="682">
        <f>huishoudens!O8</f>
        <v>882.86140762722903</v>
      </c>
      <c r="Q11" s="683">
        <f>huishoudens!P8</f>
        <v>1495.8222216912732</v>
      </c>
      <c r="R11" s="685">
        <f>SUM(C11:Q11)</f>
        <v>173832.42418605147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89947.205008355013</v>
      </c>
      <c r="D13" s="682">
        <f>industrie!C18</f>
        <v>0</v>
      </c>
      <c r="E13" s="682">
        <f>industrie!D18</f>
        <v>190858.15901039983</v>
      </c>
      <c r="F13" s="682">
        <f>industrie!E18</f>
        <v>206.30027825637248</v>
      </c>
      <c r="G13" s="682">
        <f>industrie!F18</f>
        <v>4287.0070391871714</v>
      </c>
      <c r="H13" s="682">
        <f>industrie!G18</f>
        <v>0</v>
      </c>
      <c r="I13" s="682">
        <f>industrie!H18</f>
        <v>0</v>
      </c>
      <c r="J13" s="682">
        <f>industrie!I18</f>
        <v>0</v>
      </c>
      <c r="K13" s="682">
        <f>industrie!J18</f>
        <v>14.040001271998827</v>
      </c>
      <c r="L13" s="682">
        <f>industrie!K18</f>
        <v>0</v>
      </c>
      <c r="M13" s="682">
        <f>industrie!L18</f>
        <v>0</v>
      </c>
      <c r="N13" s="682">
        <f>industrie!M18</f>
        <v>0</v>
      </c>
      <c r="O13" s="682">
        <f>industrie!N18</f>
        <v>2534.7323519431338</v>
      </c>
      <c r="P13" s="682">
        <f>industrie!O18</f>
        <v>0</v>
      </c>
      <c r="Q13" s="683">
        <f>industrie!P18</f>
        <v>0</v>
      </c>
      <c r="R13" s="685">
        <f>SUM(C13:Q13)</f>
        <v>287847.44368941354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162109.55393915621</v>
      </c>
      <c r="D16" s="718">
        <f t="shared" ref="D16:R16" ca="1" si="0">SUM(D9:D15)</f>
        <v>957.85714285714312</v>
      </c>
      <c r="E16" s="718">
        <f t="shared" ca="1" si="0"/>
        <v>270293.10629800928</v>
      </c>
      <c r="F16" s="718">
        <f t="shared" si="0"/>
        <v>2992.2248179664412</v>
      </c>
      <c r="G16" s="718">
        <f t="shared" ca="1" si="0"/>
        <v>69575.172806233037</v>
      </c>
      <c r="H16" s="718">
        <f t="shared" si="0"/>
        <v>0</v>
      </c>
      <c r="I16" s="718">
        <f t="shared" si="0"/>
        <v>0</v>
      </c>
      <c r="J16" s="718">
        <f t="shared" si="0"/>
        <v>0</v>
      </c>
      <c r="K16" s="718">
        <f t="shared" si="0"/>
        <v>321.02379106894557</v>
      </c>
      <c r="L16" s="718">
        <f t="shared" si="0"/>
        <v>0</v>
      </c>
      <c r="M16" s="718">
        <f t="shared" ca="1" si="0"/>
        <v>0</v>
      </c>
      <c r="N16" s="718">
        <f t="shared" si="0"/>
        <v>0</v>
      </c>
      <c r="O16" s="718">
        <f t="shared" ca="1" si="0"/>
        <v>15592.97710617007</v>
      </c>
      <c r="P16" s="718">
        <f t="shared" si="0"/>
        <v>926.93675451979936</v>
      </c>
      <c r="Q16" s="718">
        <f t="shared" si="0"/>
        <v>2021.2136047562235</v>
      </c>
      <c r="R16" s="718">
        <f t="shared" ca="1" si="0"/>
        <v>524790.06626073713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8.6035376202904885</v>
      </c>
      <c r="D19" s="682">
        <f>transport!C54</f>
        <v>0</v>
      </c>
      <c r="E19" s="682">
        <f>transport!D54</f>
        <v>0</v>
      </c>
      <c r="F19" s="682">
        <f>transport!E54</f>
        <v>0</v>
      </c>
      <c r="G19" s="682">
        <f>transport!F54</f>
        <v>0</v>
      </c>
      <c r="H19" s="682">
        <f>transport!G54</f>
        <v>614.10500520705034</v>
      </c>
      <c r="I19" s="682">
        <f>transport!H54</f>
        <v>0</v>
      </c>
      <c r="J19" s="682">
        <f>transport!I54</f>
        <v>0</v>
      </c>
      <c r="K19" s="682">
        <f>transport!J54</f>
        <v>0</v>
      </c>
      <c r="L19" s="682">
        <f>transport!K54</f>
        <v>0</v>
      </c>
      <c r="M19" s="682">
        <f>transport!L54</f>
        <v>0</v>
      </c>
      <c r="N19" s="682">
        <f>transport!M54</f>
        <v>33.91001486226159</v>
      </c>
      <c r="O19" s="682">
        <f>transport!N54</f>
        <v>0</v>
      </c>
      <c r="P19" s="682">
        <f>transport!O54</f>
        <v>0</v>
      </c>
      <c r="Q19" s="683">
        <f>transport!P54</f>
        <v>0</v>
      </c>
      <c r="R19" s="685">
        <f>SUM(C19:Q19)</f>
        <v>656.61855768960243</v>
      </c>
      <c r="S19" s="67"/>
    </row>
    <row r="20" spans="1:19" s="445" customFormat="1">
      <c r="A20" s="803" t="s">
        <v>302</v>
      </c>
      <c r="B20" s="808"/>
      <c r="C20" s="682">
        <f>transport!B14</f>
        <v>855.15538739207011</v>
      </c>
      <c r="D20" s="682">
        <f>transport!C14</f>
        <v>0</v>
      </c>
      <c r="E20" s="682">
        <f>transport!D14</f>
        <v>1315.8769115960404</v>
      </c>
      <c r="F20" s="682">
        <f>transport!E14</f>
        <v>832.9780980214764</v>
      </c>
      <c r="G20" s="682">
        <f>transport!F14</f>
        <v>0</v>
      </c>
      <c r="H20" s="682">
        <f>transport!G14</f>
        <v>436855.34873018361</v>
      </c>
      <c r="I20" s="682">
        <f>transport!H14</f>
        <v>82585.516369681704</v>
      </c>
      <c r="J20" s="682">
        <f>transport!I14</f>
        <v>0</v>
      </c>
      <c r="K20" s="682">
        <f>transport!J14</f>
        <v>0</v>
      </c>
      <c r="L20" s="682">
        <f>transport!K14</f>
        <v>0</v>
      </c>
      <c r="M20" s="682">
        <f>transport!L14</f>
        <v>0</v>
      </c>
      <c r="N20" s="682">
        <f>transport!M14</f>
        <v>30336.559785451871</v>
      </c>
      <c r="O20" s="682">
        <f>transport!N14</f>
        <v>0</v>
      </c>
      <c r="P20" s="682">
        <f>transport!O14</f>
        <v>0</v>
      </c>
      <c r="Q20" s="683">
        <f>transport!P14</f>
        <v>0</v>
      </c>
      <c r="R20" s="685">
        <f>SUM(C20:Q20)</f>
        <v>552781.43528232677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863.75892501236058</v>
      </c>
      <c r="D22" s="806">
        <f t="shared" ref="D22:R22" si="1">SUM(D18:D21)</f>
        <v>0</v>
      </c>
      <c r="E22" s="806">
        <f t="shared" si="1"/>
        <v>1315.8769115960404</v>
      </c>
      <c r="F22" s="806">
        <f t="shared" si="1"/>
        <v>832.9780980214764</v>
      </c>
      <c r="G22" s="806">
        <f t="shared" si="1"/>
        <v>0</v>
      </c>
      <c r="H22" s="806">
        <f t="shared" si="1"/>
        <v>437469.45373539068</v>
      </c>
      <c r="I22" s="806">
        <f t="shared" si="1"/>
        <v>82585.516369681704</v>
      </c>
      <c r="J22" s="806">
        <f t="shared" si="1"/>
        <v>0</v>
      </c>
      <c r="K22" s="806">
        <f t="shared" si="1"/>
        <v>0</v>
      </c>
      <c r="L22" s="806">
        <f t="shared" si="1"/>
        <v>0</v>
      </c>
      <c r="M22" s="806">
        <f t="shared" si="1"/>
        <v>0</v>
      </c>
      <c r="N22" s="806">
        <f t="shared" si="1"/>
        <v>30370.469800314131</v>
      </c>
      <c r="O22" s="806">
        <f t="shared" si="1"/>
        <v>0</v>
      </c>
      <c r="P22" s="806">
        <f t="shared" si="1"/>
        <v>0</v>
      </c>
      <c r="Q22" s="806">
        <f t="shared" si="1"/>
        <v>0</v>
      </c>
      <c r="R22" s="806">
        <f t="shared" si="1"/>
        <v>553438.05384001636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6714.4988731824806</v>
      </c>
      <c r="D24" s="682">
        <f>+landbouw!C8</f>
        <v>18192.857142857145</v>
      </c>
      <c r="E24" s="682">
        <f>+landbouw!D8</f>
        <v>6747.6567066632106</v>
      </c>
      <c r="F24" s="682">
        <f>+landbouw!E8</f>
        <v>250.40420116792015</v>
      </c>
      <c r="G24" s="682">
        <f>+landbouw!F8</f>
        <v>21784.428929099351</v>
      </c>
      <c r="H24" s="682">
        <f>+landbouw!G8</f>
        <v>0</v>
      </c>
      <c r="I24" s="682">
        <f>+landbouw!H8</f>
        <v>0</v>
      </c>
      <c r="J24" s="682">
        <f>+landbouw!I8</f>
        <v>0</v>
      </c>
      <c r="K24" s="682">
        <f>+landbouw!J8</f>
        <v>1762.5891030677865</v>
      </c>
      <c r="L24" s="682">
        <f>+landbouw!K8</f>
        <v>0</v>
      </c>
      <c r="M24" s="682">
        <f>+landbouw!L8</f>
        <v>0</v>
      </c>
      <c r="N24" s="682">
        <f>+landbouw!M8</f>
        <v>0</v>
      </c>
      <c r="O24" s="682">
        <f>+landbouw!N8</f>
        <v>0</v>
      </c>
      <c r="P24" s="682">
        <f>+landbouw!O8</f>
        <v>0</v>
      </c>
      <c r="Q24" s="683">
        <f>+landbouw!P8</f>
        <v>0</v>
      </c>
      <c r="R24" s="685">
        <f>SUM(C24:Q24)</f>
        <v>55452.434956037891</v>
      </c>
      <c r="S24" s="67"/>
    </row>
    <row r="25" spans="1:19" s="445" customFormat="1" ht="15" thickBot="1">
      <c r="A25" s="825" t="s">
        <v>703</v>
      </c>
      <c r="B25" s="938"/>
      <c r="C25" s="939">
        <f>IF(Onbekend_ele_kWh="---",0,Onbekend_ele_kWh)/1000+IF(REST_rest_ele_kWh="---",0,REST_rest_ele_kWh)/1000</f>
        <v>2216.1099861057701</v>
      </c>
      <c r="D25" s="939"/>
      <c r="E25" s="939">
        <f>IF(onbekend_gas_kWh="---",0,onbekend_gas_kWh)/1000+IF(REST_rest_gas_kWh="---",0,REST_rest_gas_kWh)/1000</f>
        <v>1497.18862041599</v>
      </c>
      <c r="F25" s="939"/>
      <c r="G25" s="939"/>
      <c r="H25" s="939"/>
      <c r="I25" s="939"/>
      <c r="J25" s="939"/>
      <c r="K25" s="939"/>
      <c r="L25" s="939"/>
      <c r="M25" s="939"/>
      <c r="N25" s="939"/>
      <c r="O25" s="939"/>
      <c r="P25" s="939"/>
      <c r="Q25" s="940"/>
      <c r="R25" s="685">
        <f>SUM(C25:Q25)</f>
        <v>3713.2986065217601</v>
      </c>
      <c r="S25" s="67"/>
    </row>
    <row r="26" spans="1:19" s="445" customFormat="1" ht="15.75" thickBot="1">
      <c r="A26" s="690" t="s">
        <v>704</v>
      </c>
      <c r="B26" s="811"/>
      <c r="C26" s="806">
        <f>SUM(C24:C25)</f>
        <v>8930.6088592882516</v>
      </c>
      <c r="D26" s="806">
        <f t="shared" ref="D26:R26" si="2">SUM(D24:D25)</f>
        <v>18192.857142857145</v>
      </c>
      <c r="E26" s="806">
        <f t="shared" si="2"/>
        <v>8244.8453270792015</v>
      </c>
      <c r="F26" s="806">
        <f t="shared" si="2"/>
        <v>250.40420116792015</v>
      </c>
      <c r="G26" s="806">
        <f t="shared" si="2"/>
        <v>21784.428929099351</v>
      </c>
      <c r="H26" s="806">
        <f t="shared" si="2"/>
        <v>0</v>
      </c>
      <c r="I26" s="806">
        <f t="shared" si="2"/>
        <v>0</v>
      </c>
      <c r="J26" s="806">
        <f t="shared" si="2"/>
        <v>0</v>
      </c>
      <c r="K26" s="806">
        <f t="shared" si="2"/>
        <v>1762.5891030677865</v>
      </c>
      <c r="L26" s="806">
        <f t="shared" si="2"/>
        <v>0</v>
      </c>
      <c r="M26" s="806">
        <f t="shared" si="2"/>
        <v>0</v>
      </c>
      <c r="N26" s="806">
        <f t="shared" si="2"/>
        <v>0</v>
      </c>
      <c r="O26" s="806">
        <f t="shared" si="2"/>
        <v>0</v>
      </c>
      <c r="P26" s="806">
        <f t="shared" si="2"/>
        <v>0</v>
      </c>
      <c r="Q26" s="806">
        <f t="shared" si="2"/>
        <v>0</v>
      </c>
      <c r="R26" s="806">
        <f t="shared" si="2"/>
        <v>59165.733562559653</v>
      </c>
      <c r="S26" s="67"/>
    </row>
    <row r="27" spans="1:19" s="445" customFormat="1" ht="17.25" thickTop="1" thickBot="1">
      <c r="A27" s="691" t="s">
        <v>115</v>
      </c>
      <c r="B27" s="798"/>
      <c r="C27" s="692">
        <f ca="1">C22+C16+C26</f>
        <v>171903.92172345682</v>
      </c>
      <c r="D27" s="692">
        <f t="shared" ref="D27:R27" ca="1" si="3">D22+D16+D26</f>
        <v>19150.71428571429</v>
      </c>
      <c r="E27" s="692">
        <f t="shared" ca="1" si="3"/>
        <v>279853.82853668451</v>
      </c>
      <c r="F27" s="692">
        <f t="shared" si="3"/>
        <v>4075.6071171558378</v>
      </c>
      <c r="G27" s="692">
        <f t="shared" ca="1" si="3"/>
        <v>91359.601735332384</v>
      </c>
      <c r="H27" s="692">
        <f t="shared" si="3"/>
        <v>437469.45373539068</v>
      </c>
      <c r="I27" s="692">
        <f t="shared" si="3"/>
        <v>82585.516369681704</v>
      </c>
      <c r="J27" s="692">
        <f t="shared" si="3"/>
        <v>0</v>
      </c>
      <c r="K27" s="692">
        <f t="shared" si="3"/>
        <v>2083.6128941367319</v>
      </c>
      <c r="L27" s="692">
        <f t="shared" si="3"/>
        <v>0</v>
      </c>
      <c r="M27" s="692">
        <f t="shared" ca="1" si="3"/>
        <v>0</v>
      </c>
      <c r="N27" s="692">
        <f t="shared" si="3"/>
        <v>30370.469800314131</v>
      </c>
      <c r="O27" s="692">
        <f t="shared" ca="1" si="3"/>
        <v>15592.97710617007</v>
      </c>
      <c r="P27" s="692">
        <f t="shared" si="3"/>
        <v>926.93675451979936</v>
      </c>
      <c r="Q27" s="692">
        <f t="shared" si="3"/>
        <v>2021.2136047562235</v>
      </c>
      <c r="R27" s="692">
        <f t="shared" ca="1" si="3"/>
        <v>1137393.853663313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5932.9583072178993</v>
      </c>
      <c r="D40" s="682">
        <f ca="1">tertiair!C20</f>
        <v>11.385417248470391</v>
      </c>
      <c r="E40" s="682">
        <f ca="1">tertiair!D20</f>
        <v>5079.6772389620564</v>
      </c>
      <c r="F40" s="682">
        <f>tertiair!E20</f>
        <v>19.207067198998029</v>
      </c>
      <c r="G40" s="682">
        <f ca="1">tertiair!F20</f>
        <v>1049.5475206297403</v>
      </c>
      <c r="H40" s="682">
        <f>tertiair!G20</f>
        <v>0</v>
      </c>
      <c r="I40" s="682">
        <f>tertiair!H20</f>
        <v>0</v>
      </c>
      <c r="J40" s="682">
        <f>tertiair!I20</f>
        <v>0</v>
      </c>
      <c r="K40" s="682">
        <f>tertiair!J20</f>
        <v>8.3859931251981344E-3</v>
      </c>
      <c r="L40" s="682">
        <f>tertiair!K20</f>
        <v>0</v>
      </c>
      <c r="M40" s="682">
        <f ca="1">tertiair!L20</f>
        <v>0</v>
      </c>
      <c r="N40" s="682">
        <f>tertiair!M20</f>
        <v>0</v>
      </c>
      <c r="O40" s="682">
        <f ca="1">tertiair!N20</f>
        <v>0</v>
      </c>
      <c r="P40" s="682">
        <f>tertiair!O20</f>
        <v>0</v>
      </c>
      <c r="Q40" s="765">
        <f>tertiair!P20</f>
        <v>0</v>
      </c>
      <c r="R40" s="844">
        <f t="shared" ca="1" si="4"/>
        <v>12092.783937250289</v>
      </c>
    </row>
    <row r="41" spans="1:18">
      <c r="A41" s="816" t="s">
        <v>220</v>
      </c>
      <c r="B41" s="823"/>
      <c r="C41" s="682">
        <f ca="1">huishoudens!B12</f>
        <v>7643.6301711959341</v>
      </c>
      <c r="D41" s="682">
        <f ca="1">huishoudens!C12</f>
        <v>0</v>
      </c>
      <c r="E41" s="682">
        <f>huishoudens!D12</f>
        <v>10966.182113135048</v>
      </c>
      <c r="F41" s="682">
        <f>huishoudens!E12</f>
        <v>613.19780331518746</v>
      </c>
      <c r="G41" s="682">
        <f>huishoudens!F12</f>
        <v>16382.392739171506</v>
      </c>
      <c r="H41" s="682">
        <f>huishoudens!G12</f>
        <v>0</v>
      </c>
      <c r="I41" s="682">
        <f>huishoudens!H12</f>
        <v>0</v>
      </c>
      <c r="J41" s="682">
        <f>huishoudens!I12</f>
        <v>0</v>
      </c>
      <c r="K41" s="682">
        <f>huishoudens!J12</f>
        <v>108.66387559499394</v>
      </c>
      <c r="L41" s="682">
        <f>huishoudens!K12</f>
        <v>0</v>
      </c>
      <c r="M41" s="682">
        <f>huishoudens!L12</f>
        <v>0</v>
      </c>
      <c r="N41" s="682">
        <f>huishoudens!M12</f>
        <v>0</v>
      </c>
      <c r="O41" s="682">
        <f>huishoudens!N12</f>
        <v>0</v>
      </c>
      <c r="P41" s="682">
        <f>huishoudens!O12</f>
        <v>0</v>
      </c>
      <c r="Q41" s="765">
        <f>huishoudens!P12</f>
        <v>0</v>
      </c>
      <c r="R41" s="844">
        <f t="shared" ca="1" si="4"/>
        <v>35714.066702412674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16922.622465532339</v>
      </c>
      <c r="D43" s="682">
        <f ca="1">industrie!C22</f>
        <v>0</v>
      </c>
      <c r="E43" s="682">
        <f>industrie!D22</f>
        <v>38553.348120100767</v>
      </c>
      <c r="F43" s="682">
        <f>industrie!E22</f>
        <v>46.830163164196556</v>
      </c>
      <c r="G43" s="682">
        <f>industrie!F22</f>
        <v>1144.6308794629749</v>
      </c>
      <c r="H43" s="682">
        <f>industrie!G22</f>
        <v>0</v>
      </c>
      <c r="I43" s="682">
        <f>industrie!H22</f>
        <v>0</v>
      </c>
      <c r="J43" s="682">
        <f>industrie!I22</f>
        <v>0</v>
      </c>
      <c r="K43" s="682">
        <f>industrie!J22</f>
        <v>4.9701604502875849</v>
      </c>
      <c r="L43" s="682">
        <f>industrie!K22</f>
        <v>0</v>
      </c>
      <c r="M43" s="682">
        <f>industrie!L22</f>
        <v>0</v>
      </c>
      <c r="N43" s="682">
        <f>industrie!M22</f>
        <v>0</v>
      </c>
      <c r="O43" s="682">
        <f>industrie!N22</f>
        <v>0</v>
      </c>
      <c r="P43" s="682">
        <f>industrie!O22</f>
        <v>0</v>
      </c>
      <c r="Q43" s="765">
        <f>industrie!P22</f>
        <v>0</v>
      </c>
      <c r="R43" s="843">
        <f t="shared" ca="1" si="4"/>
        <v>56672.401788710558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30499.210943946171</v>
      </c>
      <c r="D46" s="718">
        <f t="shared" ref="D46:Q46" ca="1" si="5">SUM(D39:D45)</f>
        <v>11.385417248470391</v>
      </c>
      <c r="E46" s="718">
        <f t="shared" ca="1" si="5"/>
        <v>54599.207472197872</v>
      </c>
      <c r="F46" s="718">
        <f t="shared" si="5"/>
        <v>679.23503367838202</v>
      </c>
      <c r="G46" s="718">
        <f t="shared" ca="1" si="5"/>
        <v>18576.571139264219</v>
      </c>
      <c r="H46" s="718">
        <f t="shared" si="5"/>
        <v>0</v>
      </c>
      <c r="I46" s="718">
        <f t="shared" si="5"/>
        <v>0</v>
      </c>
      <c r="J46" s="718">
        <f t="shared" si="5"/>
        <v>0</v>
      </c>
      <c r="K46" s="718">
        <f t="shared" si="5"/>
        <v>113.64242203840672</v>
      </c>
      <c r="L46" s="718">
        <f t="shared" si="5"/>
        <v>0</v>
      </c>
      <c r="M46" s="718">
        <f t="shared" ca="1" si="5"/>
        <v>0</v>
      </c>
      <c r="N46" s="718">
        <f t="shared" si="5"/>
        <v>0</v>
      </c>
      <c r="O46" s="718">
        <f t="shared" ca="1" si="5"/>
        <v>0</v>
      </c>
      <c r="P46" s="718">
        <f t="shared" si="5"/>
        <v>0</v>
      </c>
      <c r="Q46" s="718">
        <f t="shared" si="5"/>
        <v>0</v>
      </c>
      <c r="R46" s="718">
        <f ca="1">SUM(R39:R45)</f>
        <v>104479.25242837353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1.6186652937426624</v>
      </c>
      <c r="D49" s="682">
        <f ca="1">transport!C58</f>
        <v>0</v>
      </c>
      <c r="E49" s="682">
        <f>transport!D58</f>
        <v>0</v>
      </c>
      <c r="F49" s="682">
        <f>transport!E58</f>
        <v>0</v>
      </c>
      <c r="G49" s="682">
        <f>transport!F58</f>
        <v>0</v>
      </c>
      <c r="H49" s="682">
        <f>transport!G58</f>
        <v>163.96603639028245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165.58470168402511</v>
      </c>
    </row>
    <row r="50" spans="1:18">
      <c r="A50" s="819" t="s">
        <v>302</v>
      </c>
      <c r="B50" s="829"/>
      <c r="C50" s="688">
        <f ca="1">transport!B18</f>
        <v>160.88850975255795</v>
      </c>
      <c r="D50" s="688">
        <f>transport!C18</f>
        <v>0</v>
      </c>
      <c r="E50" s="688">
        <f>transport!D18</f>
        <v>265.80713614240017</v>
      </c>
      <c r="F50" s="688">
        <f>transport!E18</f>
        <v>189.08602825087516</v>
      </c>
      <c r="G50" s="688">
        <f>transport!F18</f>
        <v>0</v>
      </c>
      <c r="H50" s="688">
        <f>transport!G18</f>
        <v>116640.37811095903</v>
      </c>
      <c r="I50" s="688">
        <f>transport!H18</f>
        <v>20563.793576050743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137819.95336115561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162.5071750463006</v>
      </c>
      <c r="D52" s="718">
        <f t="shared" ref="D52:Q52" ca="1" si="6">SUM(D48:D51)</f>
        <v>0</v>
      </c>
      <c r="E52" s="718">
        <f t="shared" si="6"/>
        <v>265.80713614240017</v>
      </c>
      <c r="F52" s="718">
        <f t="shared" si="6"/>
        <v>189.08602825087516</v>
      </c>
      <c r="G52" s="718">
        <f t="shared" si="6"/>
        <v>0</v>
      </c>
      <c r="H52" s="718">
        <f t="shared" si="6"/>
        <v>116804.34414734931</v>
      </c>
      <c r="I52" s="718">
        <f t="shared" si="6"/>
        <v>20563.793576050743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137985.53806283962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1263.2624823145404</v>
      </c>
      <c r="D54" s="688">
        <f ca="1">+landbouw!C12</f>
        <v>216.24651552463894</v>
      </c>
      <c r="E54" s="688">
        <f>+landbouw!D12</f>
        <v>1363.0266547459687</v>
      </c>
      <c r="F54" s="688">
        <f>+landbouw!E12</f>
        <v>56.841753665117878</v>
      </c>
      <c r="G54" s="688">
        <f>+landbouw!F12</f>
        <v>5816.4425240695273</v>
      </c>
      <c r="H54" s="688">
        <f>+landbouw!G12</f>
        <v>0</v>
      </c>
      <c r="I54" s="688">
        <f>+landbouw!H12</f>
        <v>0</v>
      </c>
      <c r="J54" s="688">
        <f>+landbouw!I12</f>
        <v>0</v>
      </c>
      <c r="K54" s="688">
        <f>+landbouw!J12</f>
        <v>623.95654248599635</v>
      </c>
      <c r="L54" s="688">
        <f>+landbouw!K12</f>
        <v>0</v>
      </c>
      <c r="M54" s="688">
        <f>+landbouw!L12</f>
        <v>0</v>
      </c>
      <c r="N54" s="688">
        <f>+landbouw!M12</f>
        <v>0</v>
      </c>
      <c r="O54" s="688">
        <f>+landbouw!N12</f>
        <v>0</v>
      </c>
      <c r="P54" s="688">
        <f>+landbouw!O12</f>
        <v>0</v>
      </c>
      <c r="Q54" s="689">
        <f>+landbouw!P12</f>
        <v>0</v>
      </c>
      <c r="R54" s="717">
        <f ca="1">SUM(C54:Q54)</f>
        <v>9339.7764728057882</v>
      </c>
    </row>
    <row r="55" spans="1:18" ht="15" thickBot="1">
      <c r="A55" s="819" t="s">
        <v>703</v>
      </c>
      <c r="B55" s="829"/>
      <c r="C55" s="688">
        <f ca="1">C25*'EF ele_warmte'!B12</f>
        <v>416.9378318479217</v>
      </c>
      <c r="D55" s="688"/>
      <c r="E55" s="688">
        <f>E25*EF_CO2_aardgas</f>
        <v>302.43210132402999</v>
      </c>
      <c r="F55" s="688"/>
      <c r="G55" s="688"/>
      <c r="H55" s="688"/>
      <c r="I55" s="688"/>
      <c r="J55" s="688"/>
      <c r="K55" s="688"/>
      <c r="L55" s="688"/>
      <c r="M55" s="688"/>
      <c r="N55" s="688"/>
      <c r="O55" s="688"/>
      <c r="P55" s="688"/>
      <c r="Q55" s="689"/>
      <c r="R55" s="717">
        <f ca="1">SUM(C55:Q55)</f>
        <v>719.36993317195174</v>
      </c>
    </row>
    <row r="56" spans="1:18" ht="15.75" thickBot="1">
      <c r="A56" s="817" t="s">
        <v>704</v>
      </c>
      <c r="B56" s="830"/>
      <c r="C56" s="718">
        <f ca="1">SUM(C54:C55)</f>
        <v>1680.2003141624621</v>
      </c>
      <c r="D56" s="718">
        <f t="shared" ref="D56:Q56" ca="1" si="7">SUM(D54:D55)</f>
        <v>216.24651552463894</v>
      </c>
      <c r="E56" s="718">
        <f t="shared" si="7"/>
        <v>1665.4587560699988</v>
      </c>
      <c r="F56" s="718">
        <f t="shared" si="7"/>
        <v>56.841753665117878</v>
      </c>
      <c r="G56" s="718">
        <f t="shared" si="7"/>
        <v>5816.4425240695273</v>
      </c>
      <c r="H56" s="718">
        <f t="shared" si="7"/>
        <v>0</v>
      </c>
      <c r="I56" s="718">
        <f t="shared" si="7"/>
        <v>0</v>
      </c>
      <c r="J56" s="718">
        <f t="shared" si="7"/>
        <v>0</v>
      </c>
      <c r="K56" s="718">
        <f t="shared" si="7"/>
        <v>623.95654248599635</v>
      </c>
      <c r="L56" s="718">
        <f t="shared" si="7"/>
        <v>0</v>
      </c>
      <c r="M56" s="718">
        <f t="shared" si="7"/>
        <v>0</v>
      </c>
      <c r="N56" s="718">
        <f t="shared" si="7"/>
        <v>0</v>
      </c>
      <c r="O56" s="718">
        <f t="shared" si="7"/>
        <v>0</v>
      </c>
      <c r="P56" s="718">
        <f t="shared" si="7"/>
        <v>0</v>
      </c>
      <c r="Q56" s="719">
        <f t="shared" si="7"/>
        <v>0</v>
      </c>
      <c r="R56" s="720">
        <f ca="1">SUM(R54:R55)</f>
        <v>10059.146405977739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32341.918433154933</v>
      </c>
      <c r="D61" s="726">
        <f t="shared" ref="D61:Q61" ca="1" si="8">D46+D52+D56</f>
        <v>227.63193277310933</v>
      </c>
      <c r="E61" s="726">
        <f t="shared" ca="1" si="8"/>
        <v>56530.473364410274</v>
      </c>
      <c r="F61" s="726">
        <f t="shared" si="8"/>
        <v>925.16281559437505</v>
      </c>
      <c r="G61" s="726">
        <f t="shared" ca="1" si="8"/>
        <v>24393.013663333746</v>
      </c>
      <c r="H61" s="726">
        <f t="shared" si="8"/>
        <v>116804.34414734931</v>
      </c>
      <c r="I61" s="726">
        <f t="shared" si="8"/>
        <v>20563.793576050743</v>
      </c>
      <c r="J61" s="726">
        <f t="shared" si="8"/>
        <v>0</v>
      </c>
      <c r="K61" s="726">
        <f t="shared" si="8"/>
        <v>737.59896452440307</v>
      </c>
      <c r="L61" s="726">
        <f t="shared" si="8"/>
        <v>0</v>
      </c>
      <c r="M61" s="726">
        <f t="shared" ca="1" si="8"/>
        <v>0</v>
      </c>
      <c r="N61" s="726">
        <f t="shared" si="8"/>
        <v>0</v>
      </c>
      <c r="O61" s="726">
        <f t="shared" ca="1" si="8"/>
        <v>0</v>
      </c>
      <c r="P61" s="726">
        <f t="shared" si="8"/>
        <v>0</v>
      </c>
      <c r="Q61" s="726">
        <f t="shared" si="8"/>
        <v>0</v>
      </c>
      <c r="R61" s="726">
        <f ca="1">R46+R52+R56</f>
        <v>252523.9368971909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0.18813950321147199</v>
      </c>
      <c r="D63" s="772">
        <f t="shared" ca="1" si="9"/>
        <v>1.1886341646426952E-2</v>
      </c>
      <c r="E63" s="964">
        <f t="shared" ca="1" si="9"/>
        <v>0.20200000000000001</v>
      </c>
      <c r="F63" s="772">
        <f t="shared" si="9"/>
        <v>0.22699999999999995</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12875.905523394566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12734.999999999998</v>
      </c>
      <c r="C76" s="739">
        <f>'lokale energieproductie'!B8*IFERROR(SUM(D76:H76)/SUM(D76:O76),0)</f>
        <v>670.5</v>
      </c>
      <c r="D76" s="947">
        <f>'lokale energieproductie'!C8</f>
        <v>788.82352941176487</v>
      </c>
      <c r="E76" s="948">
        <f>'lokale energieproductie'!D8</f>
        <v>0</v>
      </c>
      <c r="F76" s="948">
        <f>'lokale energieproductie'!E8</f>
        <v>0</v>
      </c>
      <c r="G76" s="948">
        <f>'lokale energieproductie'!F8</f>
        <v>0</v>
      </c>
      <c r="H76" s="948">
        <f>'lokale energieproductie'!G8</f>
        <v>0</v>
      </c>
      <c r="I76" s="948">
        <f>'lokale energieproductie'!I8</f>
        <v>0</v>
      </c>
      <c r="J76" s="948">
        <f>'lokale energieproductie'!J8</f>
        <v>14982.352941176472</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159.3423529411765</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25610.905523394562</v>
      </c>
      <c r="C78" s="744">
        <f>SUM(C72:C77)</f>
        <v>670.5</v>
      </c>
      <c r="D78" s="745">
        <f t="shared" ref="D78:H78" si="10">SUM(D76:D77)</f>
        <v>788.82352941176487</v>
      </c>
      <c r="E78" s="745">
        <f t="shared" si="10"/>
        <v>0</v>
      </c>
      <c r="F78" s="745">
        <f t="shared" si="10"/>
        <v>0</v>
      </c>
      <c r="G78" s="745">
        <f t="shared" si="10"/>
        <v>0</v>
      </c>
      <c r="H78" s="745">
        <f t="shared" si="10"/>
        <v>0</v>
      </c>
      <c r="I78" s="745">
        <f>SUM(I76:I77)</f>
        <v>0</v>
      </c>
      <c r="J78" s="745">
        <f>SUM(J76:J77)</f>
        <v>14982.352941176472</v>
      </c>
      <c r="K78" s="745">
        <f t="shared" ref="K78:L78" si="11">SUM(K76:K77)</f>
        <v>0</v>
      </c>
      <c r="L78" s="745">
        <f t="shared" si="11"/>
        <v>0</v>
      </c>
      <c r="M78" s="745">
        <f>SUM(M76:M77)</f>
        <v>0</v>
      </c>
      <c r="N78" s="745">
        <f>SUM(N76:N77)</f>
        <v>0</v>
      </c>
      <c r="O78" s="854">
        <f>SUM(O76:O77)</f>
        <v>0</v>
      </c>
      <c r="P78" s="746">
        <v>0</v>
      </c>
      <c r="Q78" s="746">
        <f>SUM(Q76:Q77)</f>
        <v>159.3423529411765</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18192.857142857145</v>
      </c>
      <c r="C87" s="757">
        <f>'lokale energieproductie'!B17*IFERROR(SUM(D87:H87)/SUM(D87:O87),0)</f>
        <v>957.85714285714312</v>
      </c>
      <c r="D87" s="768">
        <f>'lokale energieproductie'!C17</f>
        <v>1126.8907563025214</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21403.361344537818</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227.63193277310933</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18192.857142857145</v>
      </c>
      <c r="C90" s="744">
        <f>SUM(C87:C89)</f>
        <v>957.85714285714312</v>
      </c>
      <c r="D90" s="744">
        <f t="shared" ref="D90:H90" si="12">SUM(D87:D89)</f>
        <v>1126.8907563025214</v>
      </c>
      <c r="E90" s="744">
        <f t="shared" si="12"/>
        <v>0</v>
      </c>
      <c r="F90" s="744">
        <f t="shared" si="12"/>
        <v>0</v>
      </c>
      <c r="G90" s="744">
        <f t="shared" si="12"/>
        <v>0</v>
      </c>
      <c r="H90" s="744">
        <f t="shared" si="12"/>
        <v>0</v>
      </c>
      <c r="I90" s="744">
        <f>SUM(I87:I89)</f>
        <v>0</v>
      </c>
      <c r="J90" s="744">
        <f>SUM(J87:J89)</f>
        <v>21403.361344537818</v>
      </c>
      <c r="K90" s="744">
        <f t="shared" ref="K90:L90" si="13">SUM(K87:K89)</f>
        <v>0</v>
      </c>
      <c r="L90" s="744">
        <f t="shared" si="13"/>
        <v>0</v>
      </c>
      <c r="M90" s="744">
        <f>SUM(M87:M89)</f>
        <v>0</v>
      </c>
      <c r="N90" s="744">
        <f>SUM(N87:N89)</f>
        <v>0</v>
      </c>
      <c r="O90" s="744">
        <f>SUM(O87:O89)</f>
        <v>0</v>
      </c>
      <c r="P90" s="744">
        <v>0</v>
      </c>
      <c r="Q90" s="744">
        <f>SUM(Q87:Q89)</f>
        <v>227.63193277310933</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40627.460159732451</v>
      </c>
      <c r="C4" s="449">
        <f>huishoudens!C8</f>
        <v>0</v>
      </c>
      <c r="D4" s="449">
        <f>huishoudens!D8</f>
        <v>54288.030263044784</v>
      </c>
      <c r="E4" s="449">
        <f>huishoudens!E8</f>
        <v>2701.3119088774779</v>
      </c>
      <c r="F4" s="449">
        <f>huishoudens!F8</f>
        <v>61357.276176672305</v>
      </c>
      <c r="G4" s="449">
        <f>huishoudens!G8</f>
        <v>0</v>
      </c>
      <c r="H4" s="449">
        <f>huishoudens!H8</f>
        <v>0</v>
      </c>
      <c r="I4" s="449">
        <f>huishoudens!I8</f>
        <v>0</v>
      </c>
      <c r="J4" s="449">
        <f>huishoudens!J8</f>
        <v>306.96010055083036</v>
      </c>
      <c r="K4" s="449">
        <f>huishoudens!K8</f>
        <v>0</v>
      </c>
      <c r="L4" s="449">
        <f>huishoudens!L8</f>
        <v>0</v>
      </c>
      <c r="M4" s="449">
        <f>huishoudens!M8</f>
        <v>0</v>
      </c>
      <c r="N4" s="449">
        <f>huishoudens!N8</f>
        <v>12172.701947855092</v>
      </c>
      <c r="O4" s="449">
        <f>huishoudens!O8</f>
        <v>882.86140762722903</v>
      </c>
      <c r="P4" s="450">
        <f>huishoudens!P8</f>
        <v>1495.8222216912732</v>
      </c>
      <c r="Q4" s="451">
        <f>SUM(B4:P4)</f>
        <v>173832.42418605147</v>
      </c>
    </row>
    <row r="5" spans="1:17">
      <c r="A5" s="448" t="s">
        <v>155</v>
      </c>
      <c r="B5" s="449">
        <f ca="1">tertiair!B16</f>
        <v>29477.015771068742</v>
      </c>
      <c r="C5" s="449">
        <f ca="1">tertiair!C16</f>
        <v>957.85714285714312</v>
      </c>
      <c r="D5" s="449">
        <f ca="1">tertiair!D16</f>
        <v>25146.917024564635</v>
      </c>
      <c r="E5" s="449">
        <f>tertiair!E16</f>
        <v>84.61263083259044</v>
      </c>
      <c r="F5" s="449">
        <f ca="1">tertiair!F16</f>
        <v>3930.8895903735588</v>
      </c>
      <c r="G5" s="449">
        <f>tertiair!G16</f>
        <v>0</v>
      </c>
      <c r="H5" s="449">
        <f>tertiair!H16</f>
        <v>0</v>
      </c>
      <c r="I5" s="449">
        <f>tertiair!I16</f>
        <v>0</v>
      </c>
      <c r="J5" s="449">
        <f>tertiair!J16</f>
        <v>2.3689246116378911E-2</v>
      </c>
      <c r="K5" s="449">
        <f>tertiair!K16</f>
        <v>0</v>
      </c>
      <c r="L5" s="449">
        <f ca="1">tertiair!L16</f>
        <v>0</v>
      </c>
      <c r="M5" s="449">
        <f>tertiair!M16</f>
        <v>0</v>
      </c>
      <c r="N5" s="449">
        <f ca="1">tertiair!N16</f>
        <v>885.54280637184456</v>
      </c>
      <c r="O5" s="449">
        <f>tertiair!O16</f>
        <v>44.075346892570387</v>
      </c>
      <c r="P5" s="450">
        <f>tertiair!P16</f>
        <v>525.39138306495022</v>
      </c>
      <c r="Q5" s="448">
        <f t="shared" ref="Q5:Q14" ca="1" si="0">SUM(B5:P5)</f>
        <v>61052.325385272146</v>
      </c>
    </row>
    <row r="6" spans="1:17">
      <c r="A6" s="448" t="s">
        <v>193</v>
      </c>
      <c r="B6" s="449">
        <f>'openbare verlichting'!B8</f>
        <v>2057.873</v>
      </c>
      <c r="C6" s="449"/>
      <c r="D6" s="449"/>
      <c r="E6" s="449"/>
      <c r="F6" s="449"/>
      <c r="G6" s="449"/>
      <c r="H6" s="449"/>
      <c r="I6" s="449"/>
      <c r="J6" s="449"/>
      <c r="K6" s="449"/>
      <c r="L6" s="449"/>
      <c r="M6" s="449"/>
      <c r="N6" s="449"/>
      <c r="O6" s="449"/>
      <c r="P6" s="450"/>
      <c r="Q6" s="448">
        <f t="shared" si="0"/>
        <v>2057.873</v>
      </c>
    </row>
    <row r="7" spans="1:17">
      <c r="A7" s="448" t="s">
        <v>111</v>
      </c>
      <c r="B7" s="449">
        <f>landbouw!B8</f>
        <v>6714.4988731824806</v>
      </c>
      <c r="C7" s="449">
        <f>landbouw!C8</f>
        <v>18192.857142857145</v>
      </c>
      <c r="D7" s="449">
        <f>landbouw!D8</f>
        <v>6747.6567066632106</v>
      </c>
      <c r="E7" s="449">
        <f>landbouw!E8</f>
        <v>250.40420116792015</v>
      </c>
      <c r="F7" s="449">
        <f>landbouw!F8</f>
        <v>21784.428929099351</v>
      </c>
      <c r="G7" s="449">
        <f>landbouw!G8</f>
        <v>0</v>
      </c>
      <c r="H7" s="449">
        <f>landbouw!H8</f>
        <v>0</v>
      </c>
      <c r="I7" s="449">
        <f>landbouw!I8</f>
        <v>0</v>
      </c>
      <c r="J7" s="449">
        <f>landbouw!J8</f>
        <v>1762.5891030677865</v>
      </c>
      <c r="K7" s="449">
        <f>landbouw!K8</f>
        <v>0</v>
      </c>
      <c r="L7" s="449">
        <f>landbouw!L8</f>
        <v>0</v>
      </c>
      <c r="M7" s="449">
        <f>landbouw!M8</f>
        <v>0</v>
      </c>
      <c r="N7" s="449">
        <f>landbouw!N8</f>
        <v>0</v>
      </c>
      <c r="O7" s="449">
        <f>landbouw!O8</f>
        <v>0</v>
      </c>
      <c r="P7" s="450">
        <f>landbouw!P8</f>
        <v>0</v>
      </c>
      <c r="Q7" s="448">
        <f t="shared" si="0"/>
        <v>55452.434956037891</v>
      </c>
    </row>
    <row r="8" spans="1:17">
      <c r="A8" s="448" t="s">
        <v>618</v>
      </c>
      <c r="B8" s="449">
        <f>industrie!B18</f>
        <v>89947.205008355013</v>
      </c>
      <c r="C8" s="449">
        <f>industrie!C18</f>
        <v>0</v>
      </c>
      <c r="D8" s="449">
        <f>industrie!D18</f>
        <v>190858.15901039983</v>
      </c>
      <c r="E8" s="449">
        <f>industrie!E18</f>
        <v>206.30027825637248</v>
      </c>
      <c r="F8" s="449">
        <f>industrie!F18</f>
        <v>4287.0070391871714</v>
      </c>
      <c r="G8" s="449">
        <f>industrie!G18</f>
        <v>0</v>
      </c>
      <c r="H8" s="449">
        <f>industrie!H18</f>
        <v>0</v>
      </c>
      <c r="I8" s="449">
        <f>industrie!I18</f>
        <v>0</v>
      </c>
      <c r="J8" s="449">
        <f>industrie!J18</f>
        <v>14.040001271998827</v>
      </c>
      <c r="K8" s="449">
        <f>industrie!K18</f>
        <v>0</v>
      </c>
      <c r="L8" s="449">
        <f>industrie!L18</f>
        <v>0</v>
      </c>
      <c r="M8" s="449">
        <f>industrie!M18</f>
        <v>0</v>
      </c>
      <c r="N8" s="449">
        <f>industrie!N18</f>
        <v>2534.7323519431338</v>
      </c>
      <c r="O8" s="449">
        <f>industrie!O18</f>
        <v>0</v>
      </c>
      <c r="P8" s="450">
        <f>industrie!P18</f>
        <v>0</v>
      </c>
      <c r="Q8" s="448">
        <f t="shared" si="0"/>
        <v>287847.44368941354</v>
      </c>
    </row>
    <row r="9" spans="1:17" s="454" customFormat="1">
      <c r="A9" s="452" t="s">
        <v>544</v>
      </c>
      <c r="B9" s="453">
        <f>transport!B14</f>
        <v>855.15538739207011</v>
      </c>
      <c r="C9" s="453">
        <f>transport!C14</f>
        <v>0</v>
      </c>
      <c r="D9" s="453">
        <f>transport!D14</f>
        <v>1315.8769115960404</v>
      </c>
      <c r="E9" s="453">
        <f>transport!E14</f>
        <v>832.9780980214764</v>
      </c>
      <c r="F9" s="453">
        <f>transport!F14</f>
        <v>0</v>
      </c>
      <c r="G9" s="453">
        <f>transport!G14</f>
        <v>436855.34873018361</v>
      </c>
      <c r="H9" s="453">
        <f>transport!H14</f>
        <v>82585.516369681704</v>
      </c>
      <c r="I9" s="453">
        <f>transport!I14</f>
        <v>0</v>
      </c>
      <c r="J9" s="453">
        <f>transport!J14</f>
        <v>0</v>
      </c>
      <c r="K9" s="453">
        <f>transport!K14</f>
        <v>0</v>
      </c>
      <c r="L9" s="453">
        <f>transport!L14</f>
        <v>0</v>
      </c>
      <c r="M9" s="453">
        <f>transport!M14</f>
        <v>30336.559785451871</v>
      </c>
      <c r="N9" s="453">
        <f>transport!N14</f>
        <v>0</v>
      </c>
      <c r="O9" s="453">
        <f>transport!O14</f>
        <v>0</v>
      </c>
      <c r="P9" s="453">
        <f>transport!P14</f>
        <v>0</v>
      </c>
      <c r="Q9" s="452">
        <f>SUM(B9:P9)</f>
        <v>552781.43528232677</v>
      </c>
    </row>
    <row r="10" spans="1:17">
      <c r="A10" s="448" t="s">
        <v>534</v>
      </c>
      <c r="B10" s="449">
        <f>transport!B54</f>
        <v>8.6035376202904885</v>
      </c>
      <c r="C10" s="449">
        <f>transport!C54</f>
        <v>0</v>
      </c>
      <c r="D10" s="449">
        <f>transport!D54</f>
        <v>0</v>
      </c>
      <c r="E10" s="449">
        <f>transport!E54</f>
        <v>0</v>
      </c>
      <c r="F10" s="449">
        <f>transport!F54</f>
        <v>0</v>
      </c>
      <c r="G10" s="449">
        <f>transport!G54</f>
        <v>614.10500520705034</v>
      </c>
      <c r="H10" s="449">
        <f>transport!H54</f>
        <v>0</v>
      </c>
      <c r="I10" s="449">
        <f>transport!I54</f>
        <v>0</v>
      </c>
      <c r="J10" s="449">
        <f>transport!J54</f>
        <v>0</v>
      </c>
      <c r="K10" s="449">
        <f>transport!K54</f>
        <v>0</v>
      </c>
      <c r="L10" s="449">
        <f>transport!L54</f>
        <v>0</v>
      </c>
      <c r="M10" s="449">
        <f>transport!M54</f>
        <v>33.91001486226159</v>
      </c>
      <c r="N10" s="449">
        <f>transport!N54</f>
        <v>0</v>
      </c>
      <c r="O10" s="449">
        <f>transport!O54</f>
        <v>0</v>
      </c>
      <c r="P10" s="450">
        <f>transport!P54</f>
        <v>0</v>
      </c>
      <c r="Q10" s="448">
        <f t="shared" si="0"/>
        <v>656.61855768960243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2216.1099861057701</v>
      </c>
      <c r="C14" s="456"/>
      <c r="D14" s="456">
        <f>'SEAP template'!E25</f>
        <v>1497.18862041599</v>
      </c>
      <c r="E14" s="456"/>
      <c r="F14" s="456"/>
      <c r="G14" s="456"/>
      <c r="H14" s="456"/>
      <c r="I14" s="456"/>
      <c r="J14" s="456"/>
      <c r="K14" s="456"/>
      <c r="L14" s="456"/>
      <c r="M14" s="456"/>
      <c r="N14" s="456"/>
      <c r="O14" s="456"/>
      <c r="P14" s="457"/>
      <c r="Q14" s="448">
        <f t="shared" si="0"/>
        <v>3713.2986065217601</v>
      </c>
    </row>
    <row r="15" spans="1:17" s="460" customFormat="1">
      <c r="A15" s="458" t="s">
        <v>538</v>
      </c>
      <c r="B15" s="459">
        <f ca="1">SUM(B4:B14)</f>
        <v>171903.92172345679</v>
      </c>
      <c r="C15" s="459">
        <f t="shared" ref="C15:Q15" ca="1" si="1">SUM(C4:C14)</f>
        <v>19150.71428571429</v>
      </c>
      <c r="D15" s="459">
        <f t="shared" ca="1" si="1"/>
        <v>279853.82853668451</v>
      </c>
      <c r="E15" s="459">
        <f t="shared" si="1"/>
        <v>4075.6071171558378</v>
      </c>
      <c r="F15" s="459">
        <f t="shared" ca="1" si="1"/>
        <v>91359.601735332384</v>
      </c>
      <c r="G15" s="459">
        <f t="shared" si="1"/>
        <v>437469.45373539068</v>
      </c>
      <c r="H15" s="459">
        <f t="shared" si="1"/>
        <v>82585.516369681704</v>
      </c>
      <c r="I15" s="459">
        <f t="shared" si="1"/>
        <v>0</v>
      </c>
      <c r="J15" s="459">
        <f t="shared" si="1"/>
        <v>2083.6128941367319</v>
      </c>
      <c r="K15" s="459">
        <f t="shared" si="1"/>
        <v>0</v>
      </c>
      <c r="L15" s="459">
        <f t="shared" ca="1" si="1"/>
        <v>0</v>
      </c>
      <c r="M15" s="459">
        <f t="shared" si="1"/>
        <v>30370.469800314131</v>
      </c>
      <c r="N15" s="459">
        <f t="shared" ca="1" si="1"/>
        <v>15592.97710617007</v>
      </c>
      <c r="O15" s="459">
        <f t="shared" si="1"/>
        <v>926.93675451979936</v>
      </c>
      <c r="P15" s="459">
        <f t="shared" si="1"/>
        <v>2021.2136047562235</v>
      </c>
      <c r="Q15" s="459">
        <f t="shared" ca="1" si="1"/>
        <v>1137393.8536633132</v>
      </c>
    </row>
    <row r="17" spans="1:17">
      <c r="A17" s="461" t="s">
        <v>539</v>
      </c>
      <c r="B17" s="777">
        <f ca="1">huishoudens!B10</f>
        <v>0.18813950321147199</v>
      </c>
      <c r="C17" s="777">
        <f ca="1">huishoudens!C10</f>
        <v>1.1886341646426952E-2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7643.6301711959341</v>
      </c>
      <c r="C22" s="449">
        <f t="shared" ref="C22:C32" ca="1" si="3">C4*$C$17</f>
        <v>0</v>
      </c>
      <c r="D22" s="449">
        <f t="shared" ref="D22:D32" si="4">D4*$D$17</f>
        <v>10966.182113135048</v>
      </c>
      <c r="E22" s="449">
        <f t="shared" ref="E22:E32" si="5">E4*$E$17</f>
        <v>613.19780331518746</v>
      </c>
      <c r="F22" s="449">
        <f t="shared" ref="F22:F32" si="6">F4*$F$17</f>
        <v>16382.392739171506</v>
      </c>
      <c r="G22" s="449">
        <f t="shared" ref="G22:G32" si="7">G4*$G$17</f>
        <v>0</v>
      </c>
      <c r="H22" s="449">
        <f t="shared" ref="H22:H32" si="8">H4*$H$17</f>
        <v>0</v>
      </c>
      <c r="I22" s="449">
        <f t="shared" ref="I22:I32" si="9">I4*$I$17</f>
        <v>0</v>
      </c>
      <c r="J22" s="449">
        <f t="shared" ref="J22:J32" si="10">J4*$J$17</f>
        <v>108.66387559499394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35714.066702412674</v>
      </c>
    </row>
    <row r="23" spans="1:17">
      <c r="A23" s="448" t="s">
        <v>155</v>
      </c>
      <c r="B23" s="449">
        <f t="shared" ca="1" si="2"/>
        <v>5545.7911033255978</v>
      </c>
      <c r="C23" s="449">
        <f t="shared" ca="1" si="3"/>
        <v>11.385417248470391</v>
      </c>
      <c r="D23" s="449">
        <f t="shared" ca="1" si="4"/>
        <v>5079.6772389620564</v>
      </c>
      <c r="E23" s="449">
        <f t="shared" si="5"/>
        <v>19.207067198998029</v>
      </c>
      <c r="F23" s="449">
        <f t="shared" ca="1" si="6"/>
        <v>1049.5475206297403</v>
      </c>
      <c r="G23" s="449">
        <f t="shared" si="7"/>
        <v>0</v>
      </c>
      <c r="H23" s="449">
        <f t="shared" si="8"/>
        <v>0</v>
      </c>
      <c r="I23" s="449">
        <f t="shared" si="9"/>
        <v>0</v>
      </c>
      <c r="J23" s="449">
        <f t="shared" si="10"/>
        <v>8.3859931251981344E-3</v>
      </c>
      <c r="K23" s="449">
        <f t="shared" si="11"/>
        <v>0</v>
      </c>
      <c r="L23" s="449">
        <f t="shared" ca="1" si="12"/>
        <v>0</v>
      </c>
      <c r="M23" s="449">
        <f t="shared" si="13"/>
        <v>0</v>
      </c>
      <c r="N23" s="449">
        <f t="shared" ca="1" si="14"/>
        <v>0</v>
      </c>
      <c r="O23" s="449">
        <f t="shared" si="15"/>
        <v>0</v>
      </c>
      <c r="P23" s="450">
        <f t="shared" si="16"/>
        <v>0</v>
      </c>
      <c r="Q23" s="448">
        <f t="shared" ref="Q23:Q31" ca="1" si="17">SUM(B23:P23)</f>
        <v>11705.616733357989</v>
      </c>
    </row>
    <row r="24" spans="1:17">
      <c r="A24" s="448" t="s">
        <v>193</v>
      </c>
      <c r="B24" s="449">
        <f t="shared" ca="1" si="2"/>
        <v>387.16720389230153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387.16720389230153</v>
      </c>
    </row>
    <row r="25" spans="1:17">
      <c r="A25" s="448" t="s">
        <v>111</v>
      </c>
      <c r="B25" s="449">
        <f t="shared" ca="1" si="2"/>
        <v>1263.2624823145404</v>
      </c>
      <c r="C25" s="449">
        <f t="shared" ca="1" si="3"/>
        <v>216.24651552463894</v>
      </c>
      <c r="D25" s="449">
        <f t="shared" si="4"/>
        <v>1363.0266547459687</v>
      </c>
      <c r="E25" s="449">
        <f t="shared" si="5"/>
        <v>56.841753665117878</v>
      </c>
      <c r="F25" s="449">
        <f t="shared" si="6"/>
        <v>5816.4425240695273</v>
      </c>
      <c r="G25" s="449">
        <f t="shared" si="7"/>
        <v>0</v>
      </c>
      <c r="H25" s="449">
        <f t="shared" si="8"/>
        <v>0</v>
      </c>
      <c r="I25" s="449">
        <f t="shared" si="9"/>
        <v>0</v>
      </c>
      <c r="J25" s="449">
        <f t="shared" si="10"/>
        <v>623.95654248599635</v>
      </c>
      <c r="K25" s="449">
        <f t="shared" si="11"/>
        <v>0</v>
      </c>
      <c r="L25" s="449">
        <f t="shared" si="12"/>
        <v>0</v>
      </c>
      <c r="M25" s="449">
        <f t="shared" si="13"/>
        <v>0</v>
      </c>
      <c r="N25" s="449">
        <f t="shared" si="14"/>
        <v>0</v>
      </c>
      <c r="O25" s="449">
        <f t="shared" si="15"/>
        <v>0</v>
      </c>
      <c r="P25" s="450">
        <f t="shared" si="16"/>
        <v>0</v>
      </c>
      <c r="Q25" s="448">
        <f t="shared" ca="1" si="17"/>
        <v>9339.7764728057882</v>
      </c>
    </row>
    <row r="26" spans="1:17">
      <c r="A26" s="448" t="s">
        <v>618</v>
      </c>
      <c r="B26" s="449">
        <f t="shared" ca="1" si="2"/>
        <v>16922.622465532339</v>
      </c>
      <c r="C26" s="449">
        <f t="shared" ca="1" si="3"/>
        <v>0</v>
      </c>
      <c r="D26" s="449">
        <f t="shared" si="4"/>
        <v>38553.348120100767</v>
      </c>
      <c r="E26" s="449">
        <f t="shared" si="5"/>
        <v>46.830163164196556</v>
      </c>
      <c r="F26" s="449">
        <f t="shared" si="6"/>
        <v>1144.6308794629749</v>
      </c>
      <c r="G26" s="449">
        <f t="shared" si="7"/>
        <v>0</v>
      </c>
      <c r="H26" s="449">
        <f t="shared" si="8"/>
        <v>0</v>
      </c>
      <c r="I26" s="449">
        <f t="shared" si="9"/>
        <v>0</v>
      </c>
      <c r="J26" s="449">
        <f t="shared" si="10"/>
        <v>4.9701604502875849</v>
      </c>
      <c r="K26" s="449">
        <f t="shared" si="11"/>
        <v>0</v>
      </c>
      <c r="L26" s="449">
        <f t="shared" si="12"/>
        <v>0</v>
      </c>
      <c r="M26" s="449">
        <f t="shared" si="13"/>
        <v>0</v>
      </c>
      <c r="N26" s="449">
        <f t="shared" si="14"/>
        <v>0</v>
      </c>
      <c r="O26" s="449">
        <f t="shared" si="15"/>
        <v>0</v>
      </c>
      <c r="P26" s="450">
        <f t="shared" si="16"/>
        <v>0</v>
      </c>
      <c r="Q26" s="448">
        <f t="shared" ca="1" si="17"/>
        <v>56672.401788710558</v>
      </c>
    </row>
    <row r="27" spans="1:17" s="454" customFormat="1">
      <c r="A27" s="452" t="s">
        <v>544</v>
      </c>
      <c r="B27" s="771">
        <f t="shared" ca="1" si="2"/>
        <v>160.88850975255795</v>
      </c>
      <c r="C27" s="453">
        <f t="shared" ca="1" si="3"/>
        <v>0</v>
      </c>
      <c r="D27" s="453">
        <f t="shared" si="4"/>
        <v>265.80713614240017</v>
      </c>
      <c r="E27" s="453">
        <f t="shared" si="5"/>
        <v>189.08602825087516</v>
      </c>
      <c r="F27" s="453">
        <f t="shared" si="6"/>
        <v>0</v>
      </c>
      <c r="G27" s="453">
        <f t="shared" si="7"/>
        <v>116640.37811095903</v>
      </c>
      <c r="H27" s="453">
        <f t="shared" si="8"/>
        <v>20563.793576050743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137819.95336115561</v>
      </c>
    </row>
    <row r="28" spans="1:17" ht="16.5" customHeight="1">
      <c r="A28" s="448" t="s">
        <v>534</v>
      </c>
      <c r="B28" s="449">
        <f t="shared" ca="1" si="2"/>
        <v>1.6186652937426624</v>
      </c>
      <c r="C28" s="449">
        <f t="shared" ca="1" si="3"/>
        <v>0</v>
      </c>
      <c r="D28" s="449">
        <f t="shared" si="4"/>
        <v>0</v>
      </c>
      <c r="E28" s="449">
        <f t="shared" si="5"/>
        <v>0</v>
      </c>
      <c r="F28" s="449">
        <f t="shared" si="6"/>
        <v>0</v>
      </c>
      <c r="G28" s="449">
        <f t="shared" si="7"/>
        <v>163.96603639028245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165.58470168402511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416.9378318479217</v>
      </c>
      <c r="C32" s="449">
        <f t="shared" ca="1" si="3"/>
        <v>0</v>
      </c>
      <c r="D32" s="449">
        <f t="shared" si="4"/>
        <v>302.43210132402999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719.36993317195174</v>
      </c>
    </row>
    <row r="33" spans="1:17" s="460" customFormat="1">
      <c r="A33" s="458" t="s">
        <v>538</v>
      </c>
      <c r="B33" s="459">
        <f ca="1">SUM(B22:B32)</f>
        <v>32341.91843315493</v>
      </c>
      <c r="C33" s="459">
        <f t="shared" ref="C33:Q33" ca="1" si="19">SUM(C22:C32)</f>
        <v>227.63193277310933</v>
      </c>
      <c r="D33" s="459">
        <f t="shared" ca="1" si="19"/>
        <v>56530.473364410274</v>
      </c>
      <c r="E33" s="459">
        <f t="shared" si="19"/>
        <v>925.16281559437505</v>
      </c>
      <c r="F33" s="459">
        <f t="shared" ca="1" si="19"/>
        <v>24393.013663333746</v>
      </c>
      <c r="G33" s="459">
        <f t="shared" si="19"/>
        <v>116804.34414734931</v>
      </c>
      <c r="H33" s="459">
        <f t="shared" si="19"/>
        <v>20563.793576050743</v>
      </c>
      <c r="I33" s="459">
        <f t="shared" si="19"/>
        <v>0</v>
      </c>
      <c r="J33" s="459">
        <f t="shared" si="19"/>
        <v>737.59896452440307</v>
      </c>
      <c r="K33" s="459">
        <f t="shared" si="19"/>
        <v>0</v>
      </c>
      <c r="L33" s="459">
        <f t="shared" ca="1" si="19"/>
        <v>0</v>
      </c>
      <c r="M33" s="459">
        <f t="shared" si="19"/>
        <v>0</v>
      </c>
      <c r="N33" s="459">
        <f t="shared" ca="1" si="19"/>
        <v>0</v>
      </c>
      <c r="O33" s="459">
        <f t="shared" si="19"/>
        <v>0</v>
      </c>
      <c r="P33" s="459">
        <f t="shared" si="19"/>
        <v>0</v>
      </c>
      <c r="Q33" s="459">
        <f t="shared" ca="1" si="19"/>
        <v>252523.93689719087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12875.905523394566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12734.999999999998</v>
      </c>
      <c r="C8" s="1015">
        <f>'SEAP template'!C76</f>
        <v>670.5</v>
      </c>
      <c r="D8" s="1015">
        <f>'SEAP template'!D76</f>
        <v>788.82352941176487</v>
      </c>
      <c r="E8" s="1015">
        <f>'SEAP template'!E76</f>
        <v>0</v>
      </c>
      <c r="F8" s="1015">
        <f>'SEAP template'!F76</f>
        <v>0</v>
      </c>
      <c r="G8" s="1015">
        <f>'SEAP template'!G76</f>
        <v>0</v>
      </c>
      <c r="H8" s="1015">
        <f>'SEAP template'!H76</f>
        <v>0</v>
      </c>
      <c r="I8" s="1015">
        <f>'SEAP template'!I76</f>
        <v>0</v>
      </c>
      <c r="J8" s="1015">
        <f>'SEAP template'!J76</f>
        <v>14982.352941176472</v>
      </c>
      <c r="K8" s="1015">
        <f>'SEAP template'!K76</f>
        <v>0</v>
      </c>
      <c r="L8" s="1015">
        <f>'SEAP template'!L76</f>
        <v>0</v>
      </c>
      <c r="M8" s="1015">
        <f>'SEAP template'!M76</f>
        <v>0</v>
      </c>
      <c r="N8" s="1015">
        <f>'SEAP template'!N76</f>
        <v>0</v>
      </c>
      <c r="O8" s="1015">
        <f>'SEAP template'!O76</f>
        <v>0</v>
      </c>
      <c r="P8" s="1016">
        <f>'SEAP template'!Q76</f>
        <v>159.3423529411765</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25610.905523394562</v>
      </c>
      <c r="C10" s="1017">
        <f>SUM(C4:C9)</f>
        <v>670.5</v>
      </c>
      <c r="D10" s="1017">
        <f t="shared" ref="D10:H10" si="0">SUM(D8:D9)</f>
        <v>788.82352941176487</v>
      </c>
      <c r="E10" s="1017">
        <f t="shared" si="0"/>
        <v>0</v>
      </c>
      <c r="F10" s="1017">
        <f t="shared" si="0"/>
        <v>0</v>
      </c>
      <c r="G10" s="1017">
        <f t="shared" si="0"/>
        <v>0</v>
      </c>
      <c r="H10" s="1017">
        <f t="shared" si="0"/>
        <v>0</v>
      </c>
      <c r="I10" s="1017">
        <f>SUM(I8:I9)</f>
        <v>0</v>
      </c>
      <c r="J10" s="1017">
        <f>SUM(J8:J9)</f>
        <v>14982.352941176472</v>
      </c>
      <c r="K10" s="1017">
        <f t="shared" ref="K10:L10" si="1">SUM(K8:K9)</f>
        <v>0</v>
      </c>
      <c r="L10" s="1017">
        <f t="shared" si="1"/>
        <v>0</v>
      </c>
      <c r="M10" s="1017">
        <f>SUM(M8:M9)</f>
        <v>0</v>
      </c>
      <c r="N10" s="1017">
        <f>SUM(N8:N9)</f>
        <v>0</v>
      </c>
      <c r="O10" s="1017">
        <f>SUM(O8:O9)</f>
        <v>0</v>
      </c>
      <c r="P10" s="1017">
        <f>SUM(P8:P9)</f>
        <v>159.3423529411765</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0.18813950321147199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18192.857142857145</v>
      </c>
      <c r="C17" s="1018">
        <f>'SEAP template'!C87</f>
        <v>957.85714285714312</v>
      </c>
      <c r="D17" s="1016">
        <f>'SEAP template'!D87</f>
        <v>1126.8907563025214</v>
      </c>
      <c r="E17" s="1016">
        <f>'SEAP template'!E87</f>
        <v>0</v>
      </c>
      <c r="F17" s="1016">
        <f>'SEAP template'!F87</f>
        <v>0</v>
      </c>
      <c r="G17" s="1016">
        <f>'SEAP template'!G87</f>
        <v>0</v>
      </c>
      <c r="H17" s="1016">
        <f>'SEAP template'!H87</f>
        <v>0</v>
      </c>
      <c r="I17" s="1016">
        <f>'SEAP template'!I87</f>
        <v>0</v>
      </c>
      <c r="J17" s="1016">
        <f>'SEAP template'!J87</f>
        <v>21403.361344537818</v>
      </c>
      <c r="K17" s="1016">
        <f>'SEAP template'!K87</f>
        <v>0</v>
      </c>
      <c r="L17" s="1016">
        <f>'SEAP template'!L87</f>
        <v>0</v>
      </c>
      <c r="M17" s="1016">
        <f>'SEAP template'!M87</f>
        <v>0</v>
      </c>
      <c r="N17" s="1016">
        <f>'SEAP template'!N87</f>
        <v>0</v>
      </c>
      <c r="O17" s="1016">
        <f>'SEAP template'!O87</f>
        <v>0</v>
      </c>
      <c r="P17" s="1016">
        <f>'SEAP template'!Q87</f>
        <v>227.63193277310933</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18192.857142857145</v>
      </c>
      <c r="C20" s="1017">
        <f>SUM(C17:C19)</f>
        <v>957.85714285714312</v>
      </c>
      <c r="D20" s="1017">
        <f t="shared" ref="D20:H20" si="2">SUM(D17:D19)</f>
        <v>1126.8907563025214</v>
      </c>
      <c r="E20" s="1017">
        <f t="shared" si="2"/>
        <v>0</v>
      </c>
      <c r="F20" s="1017">
        <f t="shared" si="2"/>
        <v>0</v>
      </c>
      <c r="G20" s="1017">
        <f t="shared" si="2"/>
        <v>0</v>
      </c>
      <c r="H20" s="1017">
        <f t="shared" si="2"/>
        <v>0</v>
      </c>
      <c r="I20" s="1017">
        <f>SUM(I17:I19)</f>
        <v>0</v>
      </c>
      <c r="J20" s="1017">
        <f>SUM(J17:J19)</f>
        <v>21403.361344537818</v>
      </c>
      <c r="K20" s="1017">
        <f t="shared" ref="K20:L20" si="3">SUM(K17:K19)</f>
        <v>0</v>
      </c>
      <c r="L20" s="1017">
        <f t="shared" si="3"/>
        <v>0</v>
      </c>
      <c r="M20" s="1017">
        <f>SUM(M17:M19)</f>
        <v>0</v>
      </c>
      <c r="N20" s="1017">
        <f>SUM(N17:N19)</f>
        <v>0</v>
      </c>
      <c r="O20" s="1017">
        <f>SUM(O17:O19)</f>
        <v>0</v>
      </c>
      <c r="P20" s="1017">
        <f>SUM(P17:P19)</f>
        <v>227.63193277310933</v>
      </c>
    </row>
    <row r="21" spans="1:16">
      <c r="B21" s="882"/>
    </row>
    <row r="22" spans="1:16">
      <c r="A22" s="461" t="s">
        <v>762</v>
      </c>
      <c r="B22" s="777" t="s">
        <v>760</v>
      </c>
      <c r="C22" s="777">
        <f ca="1">'EF ele_warmte'!B22</f>
        <v>1.1886341646426952E-2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0.18813950321147199</v>
      </c>
      <c r="C17" s="497">
        <f ca="1">'EF ele_warmte'!B22</f>
        <v>1.1886341646426952E-2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0.18813950321147199</v>
      </c>
      <c r="C17" s="497">
        <f ca="1">'EF ele_warmte'!B22</f>
        <v>1.1886341646426952E-2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0.18813950321147199</v>
      </c>
      <c r="C29" s="498">
        <f ca="1">'EF ele_warmte'!B22</f>
        <v>1.1886341646426952E-2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8592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4954.6700651789542</v>
      </c>
      <c r="C14" s="326"/>
      <c r="D14" s="326"/>
      <c r="E14" s="326"/>
      <c r="F14" s="326"/>
    </row>
    <row r="15" spans="1:6">
      <c r="A15" s="1307" t="s">
        <v>183</v>
      </c>
      <c r="B15" s="1308">
        <v>96.902927580893689</v>
      </c>
      <c r="C15" s="326"/>
      <c r="D15" s="326"/>
      <c r="E15" s="326"/>
      <c r="F15" s="326"/>
    </row>
    <row r="16" spans="1:6">
      <c r="A16" s="1307" t="s">
        <v>6</v>
      </c>
      <c r="B16" s="1308">
        <v>3904.2149874783277</v>
      </c>
      <c r="C16" s="326"/>
      <c r="D16" s="326"/>
      <c r="E16" s="326"/>
      <c r="F16" s="326"/>
    </row>
    <row r="17" spans="1:6">
      <c r="A17" s="1307" t="s">
        <v>7</v>
      </c>
      <c r="B17" s="1308">
        <v>1383.0501319261214</v>
      </c>
      <c r="C17" s="326"/>
      <c r="D17" s="326"/>
      <c r="E17" s="326"/>
      <c r="F17" s="326"/>
    </row>
    <row r="18" spans="1:6">
      <c r="A18" s="1307" t="s">
        <v>8</v>
      </c>
      <c r="B18" s="1308">
        <v>2910.3188720173534</v>
      </c>
      <c r="C18" s="326"/>
      <c r="D18" s="326"/>
      <c r="E18" s="326"/>
      <c r="F18" s="326"/>
    </row>
    <row r="19" spans="1:6">
      <c r="A19" s="1307" t="s">
        <v>9</v>
      </c>
      <c r="B19" s="1308">
        <v>3007.3971647687658</v>
      </c>
      <c r="C19" s="326"/>
      <c r="D19" s="326"/>
      <c r="E19" s="326"/>
      <c r="F19" s="326"/>
    </row>
    <row r="20" spans="1:6">
      <c r="A20" s="1307" t="s">
        <v>10</v>
      </c>
      <c r="B20" s="1308">
        <v>1668.2941176470588</v>
      </c>
      <c r="C20" s="326"/>
      <c r="D20" s="326"/>
      <c r="E20" s="326"/>
      <c r="F20" s="326"/>
    </row>
    <row r="21" spans="1:6">
      <c r="A21" s="1307" t="s">
        <v>11</v>
      </c>
      <c r="B21" s="1308">
        <v>25869.566760656828</v>
      </c>
      <c r="C21" s="326"/>
      <c r="D21" s="326"/>
      <c r="E21" s="326"/>
      <c r="F21" s="326"/>
    </row>
    <row r="22" spans="1:6">
      <c r="A22" s="1307" t="s">
        <v>12</v>
      </c>
      <c r="B22" s="1308">
        <v>78169.558047605969</v>
      </c>
      <c r="C22" s="326"/>
      <c r="D22" s="326"/>
      <c r="E22" s="326"/>
      <c r="F22" s="326"/>
    </row>
    <row r="23" spans="1:6">
      <c r="A23" s="1307" t="s">
        <v>13</v>
      </c>
      <c r="B23" s="1308">
        <v>860.7638888888888</v>
      </c>
      <c r="C23" s="326"/>
      <c r="D23" s="326"/>
      <c r="E23" s="326"/>
      <c r="F23" s="326"/>
    </row>
    <row r="24" spans="1:6">
      <c r="A24" s="1307" t="s">
        <v>14</v>
      </c>
      <c r="B24" s="1308">
        <v>29.558139534883718</v>
      </c>
      <c r="C24" s="326"/>
      <c r="D24" s="326"/>
      <c r="E24" s="326"/>
      <c r="F24" s="326"/>
    </row>
    <row r="25" spans="1:6">
      <c r="A25" s="1307" t="s">
        <v>15</v>
      </c>
      <c r="B25" s="1308">
        <v>4418.7933786579952</v>
      </c>
      <c r="C25" s="326"/>
      <c r="D25" s="326"/>
      <c r="E25" s="326"/>
      <c r="F25" s="326"/>
    </row>
    <row r="26" spans="1:6">
      <c r="A26" s="1307" t="s">
        <v>16</v>
      </c>
      <c r="B26" s="1308">
        <v>422.8437047756874</v>
      </c>
      <c r="C26" s="326"/>
      <c r="D26" s="326"/>
      <c r="E26" s="326"/>
      <c r="F26" s="326"/>
    </row>
    <row r="27" spans="1:6">
      <c r="A27" s="1307" t="s">
        <v>17</v>
      </c>
      <c r="B27" s="1308">
        <v>4.0999999999999996</v>
      </c>
      <c r="C27" s="326"/>
      <c r="D27" s="326"/>
      <c r="E27" s="326"/>
      <c r="F27" s="326"/>
    </row>
    <row r="28" spans="1:6" s="43" customFormat="1">
      <c r="A28" s="1309" t="s">
        <v>18</v>
      </c>
      <c r="B28" s="1310">
        <v>987796.55047513265</v>
      </c>
      <c r="C28" s="332"/>
      <c r="D28" s="332"/>
      <c r="E28" s="332"/>
      <c r="F28" s="332"/>
    </row>
    <row r="29" spans="1:6">
      <c r="A29" s="1309" t="s">
        <v>688</v>
      </c>
      <c r="B29" s="1310">
        <v>245.57840616966581</v>
      </c>
      <c r="C29" s="332"/>
      <c r="D29" s="332"/>
      <c r="E29" s="332"/>
      <c r="F29" s="332"/>
    </row>
    <row r="30" spans="1:6">
      <c r="A30" s="1302" t="s">
        <v>689</v>
      </c>
      <c r="B30" s="1311">
        <v>58.189655172413794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7</v>
      </c>
      <c r="F36" s="1308">
        <v>235319.36754247299</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4316</v>
      </c>
      <c r="D39" s="1308">
        <v>60119634.842795998</v>
      </c>
      <c r="E39" s="1308">
        <v>8003</v>
      </c>
      <c r="F39" s="1308">
        <v>33392577.6877678</v>
      </c>
    </row>
    <row r="40" spans="1:6">
      <c r="A40" s="1307" t="s">
        <v>29</v>
      </c>
      <c r="B40" s="1307" t="s">
        <v>28</v>
      </c>
      <c r="C40" s="1308">
        <v>0</v>
      </c>
      <c r="D40" s="1308">
        <v>0</v>
      </c>
      <c r="E40" s="1308">
        <v>0</v>
      </c>
      <c r="F40" s="1308">
        <v>0</v>
      </c>
    </row>
    <row r="41" spans="1:6">
      <c r="A41" s="1307" t="s">
        <v>31</v>
      </c>
      <c r="B41" s="1307" t="s">
        <v>32</v>
      </c>
      <c r="C41" s="1308">
        <v>125</v>
      </c>
      <c r="D41" s="1308">
        <v>2981279.5717829601</v>
      </c>
      <c r="E41" s="1308">
        <v>349</v>
      </c>
      <c r="F41" s="1308">
        <v>3610104.6486171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16</v>
      </c>
      <c r="D44" s="1308">
        <v>2975885.6265513999</v>
      </c>
      <c r="E44" s="1308">
        <v>52</v>
      </c>
      <c r="F44" s="1308">
        <v>13796415.8023433</v>
      </c>
    </row>
    <row r="45" spans="1:6">
      <c r="A45" s="1307" t="s">
        <v>31</v>
      </c>
      <c r="B45" s="1307" t="s">
        <v>36</v>
      </c>
      <c r="C45" s="1308">
        <v>3</v>
      </c>
      <c r="D45" s="1308">
        <v>2099158.46205477</v>
      </c>
      <c r="E45" s="1308">
        <v>6</v>
      </c>
      <c r="F45" s="1308">
        <v>1082505.52392827</v>
      </c>
    </row>
    <row r="46" spans="1:6">
      <c r="A46" s="1307" t="s">
        <v>31</v>
      </c>
      <c r="B46" s="1307" t="s">
        <v>37</v>
      </c>
      <c r="C46" s="1308">
        <v>0</v>
      </c>
      <c r="D46" s="1308">
        <v>0</v>
      </c>
      <c r="E46" s="1308">
        <v>0</v>
      </c>
      <c r="F46" s="1308">
        <v>0</v>
      </c>
    </row>
    <row r="47" spans="1:6">
      <c r="A47" s="1307" t="s">
        <v>31</v>
      </c>
      <c r="B47" s="1307" t="s">
        <v>38</v>
      </c>
      <c r="C47" s="1308">
        <v>5</v>
      </c>
      <c r="D47" s="1308">
        <v>9399472.8363272995</v>
      </c>
      <c r="E47" s="1308">
        <v>7</v>
      </c>
      <c r="F47" s="1308">
        <v>7374434.6602720199</v>
      </c>
    </row>
    <row r="48" spans="1:6">
      <c r="A48" s="1307" t="s">
        <v>31</v>
      </c>
      <c r="B48" s="1307" t="s">
        <v>28</v>
      </c>
      <c r="C48" s="1308">
        <v>5</v>
      </c>
      <c r="D48" s="1308">
        <v>9274933.3922788203</v>
      </c>
      <c r="E48" s="1308">
        <v>2</v>
      </c>
      <c r="F48" s="1308">
        <v>786213.21069466998</v>
      </c>
    </row>
    <row r="49" spans="1:6">
      <c r="A49" s="1307" t="s">
        <v>31</v>
      </c>
      <c r="B49" s="1307" t="s">
        <v>39</v>
      </c>
      <c r="C49" s="1308">
        <v>0</v>
      </c>
      <c r="D49" s="1308">
        <v>0</v>
      </c>
      <c r="E49" s="1308">
        <v>4</v>
      </c>
      <c r="F49" s="1308">
        <v>164202.81690217101</v>
      </c>
    </row>
    <row r="50" spans="1:6">
      <c r="A50" s="1307" t="s">
        <v>31</v>
      </c>
      <c r="B50" s="1307" t="s">
        <v>40</v>
      </c>
      <c r="C50" s="1308">
        <v>19</v>
      </c>
      <c r="D50" s="1308">
        <v>184629357.608679</v>
      </c>
      <c r="E50" s="1308">
        <v>28</v>
      </c>
      <c r="F50" s="1308">
        <v>63133328.345597498</v>
      </c>
    </row>
    <row r="51" spans="1:6">
      <c r="A51" s="1307" t="s">
        <v>41</v>
      </c>
      <c r="B51" s="1307" t="s">
        <v>42</v>
      </c>
      <c r="C51" s="1308">
        <v>17</v>
      </c>
      <c r="D51" s="1308">
        <v>7472488.0472460799</v>
      </c>
      <c r="E51" s="1308">
        <v>225</v>
      </c>
      <c r="F51" s="1308">
        <v>6714498.8731824802</v>
      </c>
    </row>
    <row r="52" spans="1:6">
      <c r="A52" s="1307" t="s">
        <v>41</v>
      </c>
      <c r="B52" s="1307" t="s">
        <v>28</v>
      </c>
      <c r="C52" s="1308">
        <v>0</v>
      </c>
      <c r="D52" s="1308">
        <v>0</v>
      </c>
      <c r="E52" s="1308">
        <v>0</v>
      </c>
      <c r="F52" s="1308">
        <v>0</v>
      </c>
    </row>
    <row r="53" spans="1:6">
      <c r="A53" s="1307" t="s">
        <v>43</v>
      </c>
      <c r="B53" s="1307" t="s">
        <v>44</v>
      </c>
      <c r="C53" s="1308">
        <v>119</v>
      </c>
      <c r="D53" s="1308">
        <v>1497188.62041599</v>
      </c>
      <c r="E53" s="1308">
        <v>344</v>
      </c>
      <c r="F53" s="1308">
        <v>2216109.9861057699</v>
      </c>
    </row>
    <row r="54" spans="1:6">
      <c r="A54" s="1307" t="s">
        <v>45</v>
      </c>
      <c r="B54" s="1307" t="s">
        <v>46</v>
      </c>
      <c r="C54" s="1308">
        <v>0</v>
      </c>
      <c r="D54" s="1308">
        <v>0</v>
      </c>
      <c r="E54" s="1308">
        <v>1</v>
      </c>
      <c r="F54" s="1308">
        <v>2057873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62</v>
      </c>
      <c r="D57" s="1308">
        <v>1497519.76482481</v>
      </c>
      <c r="E57" s="1308">
        <v>119</v>
      </c>
      <c r="F57" s="1308">
        <v>2398711.78894052</v>
      </c>
    </row>
    <row r="58" spans="1:6">
      <c r="A58" s="1307" t="s">
        <v>48</v>
      </c>
      <c r="B58" s="1307" t="s">
        <v>50</v>
      </c>
      <c r="C58" s="1308">
        <v>42</v>
      </c>
      <c r="D58" s="1308">
        <v>5269524.7314967001</v>
      </c>
      <c r="E58" s="1308">
        <v>77</v>
      </c>
      <c r="F58" s="1308">
        <v>2598410.49699324</v>
      </c>
    </row>
    <row r="59" spans="1:6">
      <c r="A59" s="1307" t="s">
        <v>48</v>
      </c>
      <c r="B59" s="1307" t="s">
        <v>51</v>
      </c>
      <c r="C59" s="1308">
        <v>152</v>
      </c>
      <c r="D59" s="1308">
        <v>8695618.0607790705</v>
      </c>
      <c r="E59" s="1308">
        <v>339</v>
      </c>
      <c r="F59" s="1308">
        <v>13823680.289948801</v>
      </c>
    </row>
    <row r="60" spans="1:6">
      <c r="A60" s="1307" t="s">
        <v>48</v>
      </c>
      <c r="B60" s="1307" t="s">
        <v>52</v>
      </c>
      <c r="C60" s="1308">
        <v>71</v>
      </c>
      <c r="D60" s="1308">
        <v>4286971.6000531502</v>
      </c>
      <c r="E60" s="1308">
        <v>107</v>
      </c>
      <c r="F60" s="1308">
        <v>2679410.5995757799</v>
      </c>
    </row>
    <row r="61" spans="1:6">
      <c r="A61" s="1307" t="s">
        <v>48</v>
      </c>
      <c r="B61" s="1307" t="s">
        <v>53</v>
      </c>
      <c r="C61" s="1308">
        <v>208</v>
      </c>
      <c r="D61" s="1308">
        <v>9483889.7946469095</v>
      </c>
      <c r="E61" s="1308">
        <v>595</v>
      </c>
      <c r="F61" s="1308">
        <v>6991939.6105613504</v>
      </c>
    </row>
    <row r="62" spans="1:6">
      <c r="A62" s="1307" t="s">
        <v>48</v>
      </c>
      <c r="B62" s="1307" t="s">
        <v>54</v>
      </c>
      <c r="C62" s="1308">
        <v>11</v>
      </c>
      <c r="D62" s="1308">
        <v>736167.42170868698</v>
      </c>
      <c r="E62" s="1308">
        <v>19</v>
      </c>
      <c r="F62" s="1308">
        <v>314362.985049051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15</v>
      </c>
      <c r="F66" s="1308">
        <v>575869.69834854605</v>
      </c>
    </row>
    <row r="67" spans="1:6">
      <c r="A67" s="1309" t="s">
        <v>55</v>
      </c>
      <c r="B67" s="1309" t="s">
        <v>58</v>
      </c>
      <c r="C67" s="1308">
        <v>0</v>
      </c>
      <c r="D67" s="1308">
        <v>0</v>
      </c>
      <c r="E67" s="1308">
        <v>0</v>
      </c>
      <c r="F67" s="1308">
        <v>0</v>
      </c>
    </row>
    <row r="68" spans="1:6">
      <c r="A68" s="1302" t="s">
        <v>55</v>
      </c>
      <c r="B68" s="1302" t="s">
        <v>59</v>
      </c>
      <c r="C68" s="1311">
        <v>10</v>
      </c>
      <c r="D68" s="1311">
        <v>491681.35179775802</v>
      </c>
      <c r="E68" s="1311">
        <v>24</v>
      </c>
      <c r="F68" s="1311">
        <v>249844.32145671101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110118900</v>
      </c>
      <c r="E73" s="447"/>
      <c r="F73" s="326"/>
    </row>
    <row r="74" spans="1:6">
      <c r="A74" s="1307" t="s">
        <v>63</v>
      </c>
      <c r="B74" s="1307" t="s">
        <v>639</v>
      </c>
      <c r="C74" s="1321" t="s">
        <v>641</v>
      </c>
      <c r="D74" s="1322">
        <v>15538818.828916745</v>
      </c>
      <c r="E74" s="447"/>
      <c r="F74" s="326"/>
    </row>
    <row r="75" spans="1:6">
      <c r="A75" s="1307" t="s">
        <v>64</v>
      </c>
      <c r="B75" s="1307" t="s">
        <v>638</v>
      </c>
      <c r="C75" s="1321" t="s">
        <v>642</v>
      </c>
      <c r="D75" s="1322">
        <v>43336445</v>
      </c>
      <c r="E75" s="447"/>
      <c r="F75" s="326"/>
    </row>
    <row r="76" spans="1:6">
      <c r="A76" s="1307" t="s">
        <v>64</v>
      </c>
      <c r="B76" s="1307" t="s">
        <v>639</v>
      </c>
      <c r="C76" s="1321" t="s">
        <v>643</v>
      </c>
      <c r="D76" s="1322">
        <v>924861.82891674596</v>
      </c>
      <c r="E76" s="447"/>
      <c r="F76" s="326"/>
    </row>
    <row r="77" spans="1:6">
      <c r="A77" s="1307" t="s">
        <v>65</v>
      </c>
      <c r="B77" s="1307" t="s">
        <v>638</v>
      </c>
      <c r="C77" s="1321" t="s">
        <v>644</v>
      </c>
      <c r="D77" s="1322">
        <v>360388718</v>
      </c>
      <c r="E77" s="447"/>
      <c r="F77" s="326"/>
    </row>
    <row r="78" spans="1:6">
      <c r="A78" s="1302" t="s">
        <v>65</v>
      </c>
      <c r="B78" s="1302" t="s">
        <v>639</v>
      </c>
      <c r="C78" s="1302" t="s">
        <v>645</v>
      </c>
      <c r="D78" s="1323">
        <v>63807340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181852.34216650799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7234.8824719646491</v>
      </c>
      <c r="C91" s="326"/>
      <c r="D91" s="326"/>
      <c r="E91" s="326"/>
      <c r="F91" s="326"/>
    </row>
    <row r="92" spans="1:6">
      <c r="A92" s="1302" t="s">
        <v>68</v>
      </c>
      <c r="B92" s="1303">
        <v>5641.0230514299155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1440</v>
      </c>
      <c r="C97" s="326"/>
      <c r="D97" s="326"/>
      <c r="E97" s="326"/>
      <c r="F97" s="326"/>
    </row>
    <row r="98" spans="1:6">
      <c r="A98" s="1307" t="s">
        <v>71</v>
      </c>
      <c r="B98" s="1308">
        <v>1</v>
      </c>
      <c r="C98" s="326"/>
      <c r="D98" s="326"/>
      <c r="E98" s="326"/>
      <c r="F98" s="326"/>
    </row>
    <row r="99" spans="1:6">
      <c r="A99" s="1307" t="s">
        <v>72</v>
      </c>
      <c r="B99" s="1308">
        <v>236</v>
      </c>
      <c r="C99" s="326"/>
      <c r="D99" s="326"/>
      <c r="E99" s="326"/>
      <c r="F99" s="326"/>
    </row>
    <row r="100" spans="1:6">
      <c r="A100" s="1307" t="s">
        <v>73</v>
      </c>
      <c r="B100" s="1308">
        <v>1076</v>
      </c>
      <c r="C100" s="326"/>
      <c r="D100" s="326"/>
      <c r="E100" s="326"/>
      <c r="F100" s="326"/>
    </row>
    <row r="101" spans="1:6">
      <c r="A101" s="1307" t="s">
        <v>74</v>
      </c>
      <c r="B101" s="1308">
        <v>156</v>
      </c>
      <c r="C101" s="326"/>
      <c r="D101" s="326"/>
      <c r="E101" s="326"/>
      <c r="F101" s="326"/>
    </row>
    <row r="102" spans="1:6">
      <c r="A102" s="1307" t="s">
        <v>75</v>
      </c>
      <c r="B102" s="1308">
        <v>152</v>
      </c>
      <c r="C102" s="326"/>
      <c r="D102" s="326"/>
      <c r="E102" s="326"/>
      <c r="F102" s="326"/>
    </row>
    <row r="103" spans="1:6">
      <c r="A103" s="1307" t="s">
        <v>76</v>
      </c>
      <c r="B103" s="1308">
        <v>274</v>
      </c>
      <c r="C103" s="326"/>
      <c r="D103" s="326"/>
      <c r="E103" s="326"/>
      <c r="F103" s="326"/>
    </row>
    <row r="104" spans="1:6">
      <c r="A104" s="1307" t="s">
        <v>77</v>
      </c>
      <c r="B104" s="1308">
        <v>3449</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89</v>
      </c>
      <c r="C123" s="1308">
        <v>80</v>
      </c>
      <c r="D123" s="326"/>
      <c r="E123" s="326"/>
      <c r="F123" s="326"/>
    </row>
    <row r="124" spans="1:6" s="43" customFormat="1">
      <c r="A124" s="1309" t="s">
        <v>88</v>
      </c>
      <c r="B124" s="1330">
        <v>3</v>
      </c>
      <c r="C124" s="1330">
        <v>3</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362</v>
      </c>
      <c r="C129" s="326"/>
      <c r="D129" s="326"/>
      <c r="E129" s="326"/>
      <c r="F129" s="326"/>
    </row>
    <row r="130" spans="1:6">
      <c r="A130" s="1307" t="s">
        <v>290</v>
      </c>
      <c r="B130" s="1308">
        <v>9</v>
      </c>
      <c r="C130" s="326"/>
      <c r="D130" s="326"/>
      <c r="E130" s="326"/>
      <c r="F130" s="326"/>
    </row>
    <row r="131" spans="1:6">
      <c r="A131" s="1307" t="s">
        <v>291</v>
      </c>
      <c r="B131" s="1308">
        <v>10</v>
      </c>
      <c r="C131" s="326"/>
      <c r="D131" s="326"/>
      <c r="E131" s="326"/>
      <c r="F131" s="326"/>
    </row>
    <row r="132" spans="1:6">
      <c r="A132" s="1302" t="s">
        <v>292</v>
      </c>
      <c r="B132" s="1303">
        <v>50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171903.92172345682</v>
      </c>
      <c r="C3" s="43" t="s">
        <v>169</v>
      </c>
      <c r="D3" s="43"/>
      <c r="E3" s="154"/>
      <c r="F3" s="43"/>
      <c r="G3" s="43"/>
      <c r="H3" s="43"/>
      <c r="I3" s="43"/>
      <c r="J3" s="43"/>
      <c r="K3" s="96"/>
    </row>
    <row r="4" spans="1:11">
      <c r="A4" s="354" t="s">
        <v>170</v>
      </c>
      <c r="B4" s="49">
        <f>IF(ISERROR('SEAP template'!B78+'SEAP template'!C78),0,'SEAP template'!B78+'SEAP template'!C78)</f>
        <v>26281.405523394562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159.3423529411765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0.18813950321147199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227.63193277310933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19150.71428571429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1.1886341646426952E-2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2057.873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2057.873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0.18813950321147199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387.16720389230153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33392.5776877678</v>
      </c>
      <c r="C5" s="17">
        <f>IF(ISERROR('Eigen informatie GS &amp; warmtenet'!B59),0,'Eigen informatie GS &amp; warmtenet'!B59)</f>
        <v>0</v>
      </c>
      <c r="D5" s="30">
        <f>(SUM(HH_hh_gas_kWh,HH_rest_gas_kWh)/1000)*0.903</f>
        <v>54288.030263044784</v>
      </c>
      <c r="E5" s="17">
        <f>B32*B41</f>
        <v>2701.3119088774779</v>
      </c>
      <c r="F5" s="17">
        <f>B36*B45</f>
        <v>61357.276176672305</v>
      </c>
      <c r="G5" s="18"/>
      <c r="H5" s="17"/>
      <c r="I5" s="17"/>
      <c r="J5" s="17">
        <f>B35*B44+C35*C44</f>
        <v>306.96010055083036</v>
      </c>
      <c r="K5" s="17"/>
      <c r="L5" s="17"/>
      <c r="M5" s="17"/>
      <c r="N5" s="17">
        <f>B34*B43+C34*C43</f>
        <v>12172.701947855092</v>
      </c>
      <c r="O5" s="17">
        <f>B52*B53*B54</f>
        <v>882.86140762722903</v>
      </c>
      <c r="P5" s="17">
        <f>B60*B61*B62/1000-B60*B61*B62/1000/B63</f>
        <v>1495.8222216912732</v>
      </c>
    </row>
    <row r="6" spans="1:16">
      <c r="A6" s="16" t="s">
        <v>604</v>
      </c>
      <c r="B6" s="779">
        <f>kWh_PV_kleiner_dan_10kW</f>
        <v>7234.8824719646491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40627.460159732451</v>
      </c>
      <c r="C8" s="21">
        <f>C5</f>
        <v>0</v>
      </c>
      <c r="D8" s="21">
        <f>D5</f>
        <v>54288.030263044784</v>
      </c>
      <c r="E8" s="21">
        <f>E5</f>
        <v>2701.3119088774779</v>
      </c>
      <c r="F8" s="21">
        <f>F5</f>
        <v>61357.276176672305</v>
      </c>
      <c r="G8" s="21"/>
      <c r="H8" s="21"/>
      <c r="I8" s="21"/>
      <c r="J8" s="21">
        <f>J5</f>
        <v>306.96010055083036</v>
      </c>
      <c r="K8" s="21"/>
      <c r="L8" s="21">
        <f>L5</f>
        <v>0</v>
      </c>
      <c r="M8" s="21">
        <f>M5</f>
        <v>0</v>
      </c>
      <c r="N8" s="21">
        <f>N5</f>
        <v>12172.701947855092</v>
      </c>
      <c r="O8" s="21">
        <f>O5</f>
        <v>882.86140762722903</v>
      </c>
      <c r="P8" s="21">
        <f>P5</f>
        <v>1495.8222216912732</v>
      </c>
    </row>
    <row r="9" spans="1:16">
      <c r="B9" s="19"/>
      <c r="C9" s="19"/>
      <c r="D9" s="254"/>
      <c r="E9" s="19"/>
      <c r="F9" s="19"/>
      <c r="G9" s="19"/>
      <c r="H9" s="19"/>
      <c r="I9" s="19"/>
      <c r="J9" s="19"/>
      <c r="K9" s="19"/>
      <c r="L9" s="19"/>
      <c r="M9" s="19"/>
      <c r="N9" s="19"/>
      <c r="O9" s="19"/>
      <c r="P9" s="19"/>
    </row>
    <row r="10" spans="1:16">
      <c r="A10" s="24" t="s">
        <v>213</v>
      </c>
      <c r="B10" s="25">
        <f ca="1">'EF ele_warmte'!B12</f>
        <v>0.18813950321147199</v>
      </c>
      <c r="C10" s="25">
        <f ca="1">'EF ele_warmte'!B22</f>
        <v>1.1886341646426952E-2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7643.6301711959341</v>
      </c>
      <c r="C12" s="23">
        <f ca="1">C10*C8</f>
        <v>0</v>
      </c>
      <c r="D12" s="23">
        <f>D8*D10</f>
        <v>10966.182113135048</v>
      </c>
      <c r="E12" s="23">
        <f>E10*E8</f>
        <v>613.19780331518746</v>
      </c>
      <c r="F12" s="23">
        <f>F10*F8</f>
        <v>16382.392739171506</v>
      </c>
      <c r="G12" s="23"/>
      <c r="H12" s="23"/>
      <c r="I12" s="23"/>
      <c r="J12" s="23">
        <f>J10*J8</f>
        <v>108.66387559499394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8592</v>
      </c>
      <c r="C26" s="36"/>
      <c r="D26" s="225"/>
    </row>
    <row r="27" spans="1:5" s="15" customFormat="1">
      <c r="A27" s="227" t="s">
        <v>817</v>
      </c>
      <c r="B27" s="37">
        <f>SUM(HH_hh_gas_aantal,HH_rest_gas_aantal)</f>
        <v>4316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4100.2</v>
      </c>
      <c r="C31" s="34" t="s">
        <v>110</v>
      </c>
      <c r="D31" s="171"/>
    </row>
    <row r="32" spans="1:5">
      <c r="A32" s="168" t="s">
        <v>72</v>
      </c>
      <c r="B32" s="33">
        <f>IF((B21*($B$26-($B$27-0.05*$B$27)-$B$60))&lt;0,0,B21*($B$26-($B$27-0.05*$B$27)-$B$60))</f>
        <v>66.949333449803717</v>
      </c>
      <c r="C32" s="34" t="s">
        <v>110</v>
      </c>
      <c r="D32" s="171"/>
    </row>
    <row r="33" spans="1:6">
      <c r="A33" s="168" t="s">
        <v>73</v>
      </c>
      <c r="B33" s="33">
        <f>IF((B22*($B$26-($B$27-0.05*$B$27)-$B$60))&lt;0,0,B22*($B$26-($B$27-0.05*$B$27)-$B$60))</f>
        <v>1087.1245806145714</v>
      </c>
      <c r="C33" s="34" t="s">
        <v>110</v>
      </c>
      <c r="D33" s="171"/>
    </row>
    <row r="34" spans="1:6">
      <c r="A34" s="168" t="s">
        <v>74</v>
      </c>
      <c r="B34" s="33">
        <f>IF((B24*($B$26-($B$27-0.05*$B$27)-$B$60))&lt;0,0,B24*($B$26-($B$27-0.05*$B$27)-$B$60))</f>
        <v>208.23672036026736</v>
      </c>
      <c r="C34" s="33">
        <f>B26*C24</f>
        <v>1759.4173499317592</v>
      </c>
      <c r="D34" s="230"/>
    </row>
    <row r="35" spans="1:6">
      <c r="A35" s="168" t="s">
        <v>76</v>
      </c>
      <c r="B35" s="33">
        <f>IF((B19*($B$26-($B$27-0.05*$B$27)-$B$60))&lt;0,0,B19*($B$26-($B$27-0.05*$B$27)-$B$60))</f>
        <v>29.10271563904994</v>
      </c>
      <c r="C35" s="33">
        <f>B35/2</f>
        <v>14.55135781952497</v>
      </c>
      <c r="D35" s="230"/>
    </row>
    <row r="36" spans="1:6">
      <c r="A36" s="168" t="s">
        <v>77</v>
      </c>
      <c r="B36" s="33">
        <f>IF((B18*($B$26-($B$27-0.05*$B$27)-$B$60))&lt;0,0,B18*($B$26-($B$27-0.05*$B$27)-$B$60))</f>
        <v>2958.3866499363066</v>
      </c>
      <c r="C36" s="34" t="s">
        <v>110</v>
      </c>
      <c r="D36" s="171"/>
    </row>
    <row r="37" spans="1:6">
      <c r="A37" s="168" t="s">
        <v>78</v>
      </c>
      <c r="B37" s="33">
        <f>B60</f>
        <v>142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445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28806.515771068742</v>
      </c>
      <c r="C5" s="17">
        <f>IF(ISERROR('Eigen informatie GS &amp; warmtenet'!B60),0,'Eigen informatie GS &amp; warmtenet'!B60)</f>
        <v>0</v>
      </c>
      <c r="D5" s="30">
        <f>SUM(D6:D12)</f>
        <v>27062.631310278921</v>
      </c>
      <c r="E5" s="17">
        <f>SUM(E6:E12)</f>
        <v>84.61263083259044</v>
      </c>
      <c r="F5" s="17">
        <f>SUM(F6:F12)</f>
        <v>3930.8895903735588</v>
      </c>
      <c r="G5" s="18"/>
      <c r="H5" s="17"/>
      <c r="I5" s="17"/>
      <c r="J5" s="17">
        <f>SUM(J6:J12)</f>
        <v>2.3689246116378911E-2</v>
      </c>
      <c r="K5" s="17"/>
      <c r="L5" s="17"/>
      <c r="M5" s="17"/>
      <c r="N5" s="17">
        <f>SUM(N6:N12)</f>
        <v>885.54280637184456</v>
      </c>
      <c r="O5" s="17">
        <f>B38*B39*B40</f>
        <v>44.075346892570387</v>
      </c>
      <c r="P5" s="17">
        <f>B46*B47*B48/1000-B46*B47*B48/1000/B49</f>
        <v>525.39138306495022</v>
      </c>
      <c r="R5" s="32"/>
    </row>
    <row r="6" spans="1:18">
      <c r="A6" s="32" t="s">
        <v>53</v>
      </c>
      <c r="B6" s="37">
        <f>B26</f>
        <v>6991.9396105613505</v>
      </c>
      <c r="C6" s="33"/>
      <c r="D6" s="37">
        <f>IF(ISERROR(TER_kantoor_gas_kWh/1000),0,TER_kantoor_gas_kWh/1000)*0.903</f>
        <v>8563.9524845661599</v>
      </c>
      <c r="E6" s="33">
        <f>$C$26*'E Balans VL '!I12/100/3.6*1000000</f>
        <v>1.6751025349496311</v>
      </c>
      <c r="F6" s="33">
        <f>$C$26*('E Balans VL '!L12+'E Balans VL '!N12)/100/3.6*1000000</f>
        <v>663.03742101707621</v>
      </c>
      <c r="G6" s="34"/>
      <c r="H6" s="33"/>
      <c r="I6" s="33"/>
      <c r="J6" s="33">
        <f>$C$26*('E Balans VL '!D12+'E Balans VL '!E12)/100/3.6*1000000</f>
        <v>0</v>
      </c>
      <c r="K6" s="33"/>
      <c r="L6" s="33"/>
      <c r="M6" s="33"/>
      <c r="N6" s="33">
        <f>$C$26*'E Balans VL '!Y12/100/3.6*1000000</f>
        <v>3.5515436732075196</v>
      </c>
      <c r="O6" s="33"/>
      <c r="P6" s="33"/>
      <c r="R6" s="32"/>
    </row>
    <row r="7" spans="1:18">
      <c r="A7" s="32" t="s">
        <v>52</v>
      </c>
      <c r="B7" s="37">
        <f t="shared" ref="B7:B12" si="0">B27</f>
        <v>2679.41059957578</v>
      </c>
      <c r="C7" s="33"/>
      <c r="D7" s="37">
        <f>IF(ISERROR(TER_horeca_gas_kWh/1000),0,TER_horeca_gas_kWh/1000)*0.903</f>
        <v>3871.1353548479942</v>
      </c>
      <c r="E7" s="33">
        <f>$C$27*'E Balans VL '!I9/100/3.6*1000000</f>
        <v>0</v>
      </c>
      <c r="F7" s="33">
        <f>$C$27*('E Balans VL '!L9+'E Balans VL '!N9)/100/3.6*1000000</f>
        <v>219.70537070339162</v>
      </c>
      <c r="G7" s="34"/>
      <c r="H7" s="33"/>
      <c r="I7" s="33"/>
      <c r="J7" s="33">
        <f>$C$27*('E Balans VL '!D9+'E Balans VL '!E9)/100/3.6*1000000</f>
        <v>0</v>
      </c>
      <c r="K7" s="33"/>
      <c r="L7" s="33"/>
      <c r="M7" s="33"/>
      <c r="N7" s="33">
        <f>$C$27*'E Balans VL '!Y9/100/3.6*1000000</f>
        <v>0.82134699959343638</v>
      </c>
      <c r="O7" s="33"/>
      <c r="P7" s="33"/>
      <c r="R7" s="32"/>
    </row>
    <row r="8" spans="1:18">
      <c r="A8" s="6" t="s">
        <v>51</v>
      </c>
      <c r="B8" s="37">
        <f t="shared" si="0"/>
        <v>13823.680289948801</v>
      </c>
      <c r="C8" s="33"/>
      <c r="D8" s="37">
        <f>IF(ISERROR(TER_handel_gas_kWh/1000),0,TER_handel_gas_kWh/1000)*0.903</f>
        <v>7852.1431088835006</v>
      </c>
      <c r="E8" s="33">
        <f>$C$28*'E Balans VL '!I13/100/3.6*1000000</f>
        <v>48.582680843821755</v>
      </c>
      <c r="F8" s="33">
        <f>$C$28*('E Balans VL '!L13+'E Balans VL '!N13)/100/3.6*1000000</f>
        <v>1264.8419215173428</v>
      </c>
      <c r="G8" s="34"/>
      <c r="H8" s="33"/>
      <c r="I8" s="33"/>
      <c r="J8" s="33">
        <f>$C$28*('E Balans VL '!D13+'E Balans VL '!E13)/100/3.6*1000000</f>
        <v>0</v>
      </c>
      <c r="K8" s="33"/>
      <c r="L8" s="33"/>
      <c r="M8" s="33"/>
      <c r="N8" s="33">
        <f>$C$28*'E Balans VL '!Y13/100/3.6*1000000</f>
        <v>5.0063418693103863</v>
      </c>
      <c r="O8" s="33"/>
      <c r="P8" s="33"/>
      <c r="R8" s="32"/>
    </row>
    <row r="9" spans="1:18">
      <c r="A9" s="32" t="s">
        <v>50</v>
      </c>
      <c r="B9" s="37">
        <f t="shared" si="0"/>
        <v>2598.41049699324</v>
      </c>
      <c r="C9" s="33"/>
      <c r="D9" s="37">
        <f>IF(ISERROR(TER_gezond_gas_kWh/1000),0,TER_gezond_gas_kWh/1000)*0.903</f>
        <v>4758.3808325415202</v>
      </c>
      <c r="E9" s="33">
        <f>$C$29*'E Balans VL '!I10/100/3.6*1000000</f>
        <v>0</v>
      </c>
      <c r="F9" s="33">
        <f>$C$29*('E Balans VL '!L10+'E Balans VL '!N10)/100/3.6*1000000</f>
        <v>318.51741245380549</v>
      </c>
      <c r="G9" s="34"/>
      <c r="H9" s="33"/>
      <c r="I9" s="33"/>
      <c r="J9" s="33">
        <f>$C$29*('E Balans VL '!D10+'E Balans VL '!E10)/100/3.6*1000000</f>
        <v>0</v>
      </c>
      <c r="K9" s="33"/>
      <c r="L9" s="33"/>
      <c r="M9" s="33"/>
      <c r="N9" s="33">
        <f>$C$29*'E Balans VL '!Y10/100/3.6*1000000</f>
        <v>19.161466700406152</v>
      </c>
      <c r="O9" s="33"/>
      <c r="P9" s="33"/>
      <c r="R9" s="32"/>
    </row>
    <row r="10" spans="1:18">
      <c r="A10" s="32" t="s">
        <v>49</v>
      </c>
      <c r="B10" s="37">
        <f t="shared" si="0"/>
        <v>2398.7117889405199</v>
      </c>
      <c r="C10" s="33"/>
      <c r="D10" s="37">
        <f>IF(ISERROR(TER_ander_gas_kWh/1000),0,TER_ander_gas_kWh/1000)*0.903</f>
        <v>1352.2603476368033</v>
      </c>
      <c r="E10" s="33">
        <f>$C$30*'E Balans VL '!I14/100/3.6*1000000</f>
        <v>34.354847453819048</v>
      </c>
      <c r="F10" s="33">
        <f>$C$30*('E Balans VL '!L14+'E Balans VL '!N14)/100/3.6*1000000</f>
        <v>1428.0346881655169</v>
      </c>
      <c r="G10" s="34"/>
      <c r="H10" s="33"/>
      <c r="I10" s="33"/>
      <c r="J10" s="33">
        <f>$C$30*('E Balans VL '!D14+'E Balans VL '!E14)/100/3.6*1000000</f>
        <v>2.3689246116378911E-2</v>
      </c>
      <c r="K10" s="33"/>
      <c r="L10" s="33"/>
      <c r="M10" s="33"/>
      <c r="N10" s="33">
        <f>$C$30*'E Balans VL '!Y14/100/3.6*1000000</f>
        <v>856.11689706211325</v>
      </c>
      <c r="O10" s="33"/>
      <c r="P10" s="33"/>
      <c r="R10" s="32"/>
    </row>
    <row r="11" spans="1:18">
      <c r="A11" s="32" t="s">
        <v>54</v>
      </c>
      <c r="B11" s="37">
        <f t="shared" si="0"/>
        <v>314.36298504905102</v>
      </c>
      <c r="C11" s="33"/>
      <c r="D11" s="37">
        <f>IF(ISERROR(TER_onderwijs_gas_kWh/1000),0,TER_onderwijs_gas_kWh/1000)*0.903</f>
        <v>664.75918180294434</v>
      </c>
      <c r="E11" s="33">
        <f>$C$31*'E Balans VL '!I11/100/3.6*1000000</f>
        <v>0</v>
      </c>
      <c r="F11" s="33">
        <f>$C$31*('E Balans VL '!L11+'E Balans VL '!N11)/100/3.6*1000000</f>
        <v>36.752776516425399</v>
      </c>
      <c r="G11" s="34"/>
      <c r="H11" s="33"/>
      <c r="I11" s="33"/>
      <c r="J11" s="33">
        <f>$C$31*('E Balans VL '!D11+'E Balans VL '!E11)/100/3.6*1000000</f>
        <v>0</v>
      </c>
      <c r="K11" s="33"/>
      <c r="L11" s="33"/>
      <c r="M11" s="33"/>
      <c r="N11" s="33">
        <f>$C$31*'E Balans VL '!Y11/100/3.6*1000000</f>
        <v>0.88521006721388362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670.50000000000011</v>
      </c>
      <c r="C13" s="243">
        <f ca="1">'lokale energieproductie'!O40+'lokale energieproductie'!O33</f>
        <v>957.85714285714312</v>
      </c>
      <c r="D13" s="304">
        <f ca="1">('lokale energieproductie'!P33+'lokale energieproductie'!P40)*(-1)</f>
        <v>-1915.7142857142862</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29477.015771068742</v>
      </c>
      <c r="C16" s="21">
        <f t="shared" ca="1" si="1"/>
        <v>957.85714285714312</v>
      </c>
      <c r="D16" s="21">
        <f t="shared" ca="1" si="1"/>
        <v>25146.917024564635</v>
      </c>
      <c r="E16" s="21">
        <f t="shared" si="1"/>
        <v>84.61263083259044</v>
      </c>
      <c r="F16" s="21">
        <f t="shared" ca="1" si="1"/>
        <v>3930.8895903735588</v>
      </c>
      <c r="G16" s="21">
        <f t="shared" si="1"/>
        <v>0</v>
      </c>
      <c r="H16" s="21">
        <f t="shared" si="1"/>
        <v>0</v>
      </c>
      <c r="I16" s="21">
        <f t="shared" si="1"/>
        <v>0</v>
      </c>
      <c r="J16" s="21">
        <f t="shared" si="1"/>
        <v>2.3689246116378911E-2</v>
      </c>
      <c r="K16" s="21">
        <f t="shared" si="1"/>
        <v>0</v>
      </c>
      <c r="L16" s="21">
        <f t="shared" ca="1" si="1"/>
        <v>0</v>
      </c>
      <c r="M16" s="21">
        <f t="shared" si="1"/>
        <v>0</v>
      </c>
      <c r="N16" s="21">
        <f t="shared" ca="1" si="1"/>
        <v>885.54280637184456</v>
      </c>
      <c r="O16" s="21">
        <f>O5</f>
        <v>44.075346892570387</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0.18813950321147199</v>
      </c>
      <c r="C18" s="25">
        <f ca="1">'EF ele_warmte'!B22</f>
        <v>1.1886341646426952E-2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5545.7911033255978</v>
      </c>
      <c r="C20" s="23">
        <f t="shared" ref="C20:P20" ca="1" si="2">C16*C18</f>
        <v>11.385417248470391</v>
      </c>
      <c r="D20" s="23">
        <f t="shared" ca="1" si="2"/>
        <v>5079.6772389620564</v>
      </c>
      <c r="E20" s="23">
        <f t="shared" si="2"/>
        <v>19.207067198998029</v>
      </c>
      <c r="F20" s="23">
        <f t="shared" ca="1" si="2"/>
        <v>1049.5475206297403</v>
      </c>
      <c r="G20" s="23">
        <f t="shared" si="2"/>
        <v>0</v>
      </c>
      <c r="H20" s="23">
        <f t="shared" si="2"/>
        <v>0</v>
      </c>
      <c r="I20" s="23">
        <f t="shared" si="2"/>
        <v>0</v>
      </c>
      <c r="J20" s="23">
        <f t="shared" si="2"/>
        <v>8.3859931251981344E-3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6991.9396105613505</v>
      </c>
      <c r="C26" s="39">
        <f>IF(ISERROR(B26*3.6/1000000/'E Balans VL '!Z12*100),0,B26*3.6/1000000/'E Balans VL '!Z12*100)</f>
        <v>0.19719121261136666</v>
      </c>
      <c r="D26" s="233" t="s">
        <v>691</v>
      </c>
      <c r="F26" s="6"/>
    </row>
    <row r="27" spans="1:18">
      <c r="A27" s="228" t="s">
        <v>52</v>
      </c>
      <c r="B27" s="33">
        <f>IF(ISERROR(TER_horeca_ele_kWh/1000),0,TER_horeca_ele_kWh/1000)</f>
        <v>2679.41059957578</v>
      </c>
      <c r="C27" s="39">
        <f>IF(ISERROR(B27*3.6/1000000/'E Balans VL '!Z9*100),0,B27*3.6/1000000/'E Balans VL '!Z9*100)</f>
        <v>0.19864538026416081</v>
      </c>
      <c r="D27" s="233" t="s">
        <v>691</v>
      </c>
      <c r="F27" s="6"/>
    </row>
    <row r="28" spans="1:18">
      <c r="A28" s="168" t="s">
        <v>51</v>
      </c>
      <c r="B28" s="33">
        <f>IF(ISERROR(TER_handel_ele_kWh/1000),0,TER_handel_ele_kWh/1000)</f>
        <v>13823.680289948801</v>
      </c>
      <c r="C28" s="39">
        <f>IF(ISERROR(B28*3.6/1000000/'E Balans VL '!Z13*100),0,B28*3.6/1000000/'E Balans VL '!Z13*100)</f>
        <v>0.41412459445986</v>
      </c>
      <c r="D28" s="233" t="s">
        <v>691</v>
      </c>
      <c r="F28" s="6"/>
    </row>
    <row r="29" spans="1:18">
      <c r="A29" s="228" t="s">
        <v>50</v>
      </c>
      <c r="B29" s="33">
        <f>IF(ISERROR(TER_gezond_ele_kWh/1000),0,TER_gezond_ele_kWh/1000)</f>
        <v>2598.41049699324</v>
      </c>
      <c r="C29" s="39">
        <f>IF(ISERROR(B29*3.6/1000000/'E Balans VL '!Z10*100),0,B29*3.6/1000000/'E Balans VL '!Z10*100)</f>
        <v>0.25693184838477984</v>
      </c>
      <c r="D29" s="233" t="s">
        <v>691</v>
      </c>
      <c r="F29" s="6"/>
    </row>
    <row r="30" spans="1:18">
      <c r="A30" s="228" t="s">
        <v>49</v>
      </c>
      <c r="B30" s="33">
        <f>IF(ISERROR(TER_ander_ele_kWh/1000),0,TER_ander_ele_kWh/1000)</f>
        <v>2398.7117889405199</v>
      </c>
      <c r="C30" s="39">
        <f>IF(ISERROR(B30*3.6/1000000/'E Balans VL '!Z14*100),0,B30*3.6/1000000/'E Balans VL '!Z14*100)</f>
        <v>9.7020803207012576E-2</v>
      </c>
      <c r="D30" s="233" t="s">
        <v>691</v>
      </c>
      <c r="F30" s="6"/>
    </row>
    <row r="31" spans="1:18">
      <c r="A31" s="228" t="s">
        <v>54</v>
      </c>
      <c r="B31" s="33">
        <f>IF(ISERROR(TER_onderwijs_ele_kWh/1000),0,TER_onderwijs_ele_kWh/1000)</f>
        <v>314.36298504905102</v>
      </c>
      <c r="C31" s="39">
        <f>IF(ISERROR(B31*3.6/1000000/'E Balans VL '!Z11*100),0,B31*3.6/1000000/'E Balans VL '!Z11*100)</f>
        <v>8.63692605437094E-2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9</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89947.205008355013</v>
      </c>
      <c r="C5" s="17">
        <f>IF(ISERROR('Eigen informatie GS &amp; warmtenet'!B61),0,'Eigen informatie GS &amp; warmtenet'!B61)</f>
        <v>0</v>
      </c>
      <c r="D5" s="30">
        <f>SUM(D6:D15)</f>
        <v>190858.15901039983</v>
      </c>
      <c r="E5" s="17">
        <f>SUM(E6:E15)</f>
        <v>206.30027825637248</v>
      </c>
      <c r="F5" s="17">
        <f>SUM(F6:F15)</f>
        <v>4287.0070391871714</v>
      </c>
      <c r="G5" s="18"/>
      <c r="H5" s="17"/>
      <c r="I5" s="17"/>
      <c r="J5" s="17">
        <f>SUM(J6:J15)</f>
        <v>14.040001271998827</v>
      </c>
      <c r="K5" s="17"/>
      <c r="L5" s="17"/>
      <c r="M5" s="17"/>
      <c r="N5" s="17">
        <f>SUM(N6:N15)</f>
        <v>2534.7323519431338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13796.415802343299</v>
      </c>
      <c r="C8" s="33"/>
      <c r="D8" s="37">
        <f>IF( ISERROR(IND_metaal_Gas_kWH/1000),0,IND_metaal_Gas_kWH/1000)*0.903</f>
        <v>2687.2247207759142</v>
      </c>
      <c r="E8" s="33">
        <f>C30*'E Balans VL '!I18/100/3.6*1000000</f>
        <v>69.563935664742687</v>
      </c>
      <c r="F8" s="33">
        <f>C30*'E Balans VL '!L18/100/3.6*1000000+C30*'E Balans VL '!N18/100/3.6*1000000</f>
        <v>942.59931991613769</v>
      </c>
      <c r="G8" s="34"/>
      <c r="H8" s="33"/>
      <c r="I8" s="33"/>
      <c r="J8" s="40">
        <f>C30*'E Balans VL '!D18/100/3.6*1000000+C30*'E Balans VL '!E18/100/3.6*1000000</f>
        <v>12.231699458206013</v>
      </c>
      <c r="K8" s="33"/>
      <c r="L8" s="33"/>
      <c r="M8" s="33"/>
      <c r="N8" s="33">
        <f>C30*'E Balans VL '!Y18/100/3.6*1000000</f>
        <v>183.35444788834855</v>
      </c>
      <c r="O8" s="33"/>
      <c r="P8" s="33"/>
      <c r="R8" s="32"/>
    </row>
    <row r="9" spans="1:18">
      <c r="A9" s="6" t="s">
        <v>32</v>
      </c>
      <c r="B9" s="37">
        <f t="shared" si="0"/>
        <v>3610.1046486170999</v>
      </c>
      <c r="C9" s="33"/>
      <c r="D9" s="37">
        <f>IF( ISERROR(IND_andere_gas_kWh/1000),0,IND_andere_gas_kWh/1000)*0.903</f>
        <v>2692.0954533200129</v>
      </c>
      <c r="E9" s="33">
        <f>C31*'E Balans VL '!I19/100/3.6*1000000</f>
        <v>11.379903076507034</v>
      </c>
      <c r="F9" s="33">
        <f>C31*'E Balans VL '!L19/100/3.6*1000000+C31*'E Balans VL '!N19/100/3.6*1000000</f>
        <v>2209.9542295338283</v>
      </c>
      <c r="G9" s="34"/>
      <c r="H9" s="33"/>
      <c r="I9" s="33"/>
      <c r="J9" s="40">
        <f>C31*'E Balans VL '!D19/100/3.6*1000000+C31*'E Balans VL '!E19/100/3.6*1000000</f>
        <v>0</v>
      </c>
      <c r="K9" s="33"/>
      <c r="L9" s="33"/>
      <c r="M9" s="33"/>
      <c r="N9" s="33">
        <f>C31*'E Balans VL '!Y19/100/3.6*1000000</f>
        <v>151.37658979192639</v>
      </c>
      <c r="O9" s="33"/>
      <c r="P9" s="33"/>
      <c r="R9" s="32"/>
    </row>
    <row r="10" spans="1:18">
      <c r="A10" s="6" t="s">
        <v>40</v>
      </c>
      <c r="B10" s="37">
        <f t="shared" si="0"/>
        <v>63133.328345597496</v>
      </c>
      <c r="C10" s="33"/>
      <c r="D10" s="37">
        <f>IF( ISERROR(IND_voed_gas_kWh/1000),0,IND_voed_gas_kWh/1000)*0.903</f>
        <v>166720.30992063714</v>
      </c>
      <c r="E10" s="33">
        <f>C32*'E Balans VL '!I20/100/3.6*1000000</f>
        <v>100.61679481656189</v>
      </c>
      <c r="F10" s="33">
        <f>C32*'E Balans VL '!L20/100/3.6*1000000+C32*'E Balans VL '!N20/100/3.6*1000000</f>
        <v>1025.7632173764862</v>
      </c>
      <c r="G10" s="34"/>
      <c r="H10" s="33"/>
      <c r="I10" s="33"/>
      <c r="J10" s="40">
        <f>C32*'E Balans VL '!D20/100/3.6*1000000+C32*'E Balans VL '!E20/100/3.6*1000000</f>
        <v>0</v>
      </c>
      <c r="K10" s="33"/>
      <c r="L10" s="33"/>
      <c r="M10" s="33"/>
      <c r="N10" s="33">
        <f>C32*'E Balans VL '!Y20/100/3.6*1000000</f>
        <v>1994.0658204763615</v>
      </c>
      <c r="O10" s="33"/>
      <c r="P10" s="33"/>
      <c r="R10" s="32"/>
    </row>
    <row r="11" spans="1:18">
      <c r="A11" s="6" t="s">
        <v>39</v>
      </c>
      <c r="B11" s="37">
        <f t="shared" si="0"/>
        <v>164.20281690217101</v>
      </c>
      <c r="C11" s="33"/>
      <c r="D11" s="37">
        <f>IF( ISERROR(IND_textiel_gas_kWh/1000),0,IND_textiel_gas_kWh/1000)*0.903</f>
        <v>0</v>
      </c>
      <c r="E11" s="33">
        <f>C33*'E Balans VL '!I21/100/3.6*1000000</f>
        <v>0.23822828276710042</v>
      </c>
      <c r="F11" s="33">
        <f>C33*'E Balans VL '!L21/100/3.6*1000000+C33*'E Balans VL '!N21/100/3.6*1000000</f>
        <v>3.2135546299033435</v>
      </c>
      <c r="G11" s="34"/>
      <c r="H11" s="33"/>
      <c r="I11" s="33"/>
      <c r="J11" s="40">
        <f>C33*'E Balans VL '!D21/100/3.6*1000000+C33*'E Balans VL '!E21/100/3.6*1000000</f>
        <v>0</v>
      </c>
      <c r="K11" s="33"/>
      <c r="L11" s="33"/>
      <c r="M11" s="33"/>
      <c r="N11" s="33">
        <f>C33*'E Balans VL '!Y21/100/3.6*1000000</f>
        <v>7.9995885741115398</v>
      </c>
      <c r="O11" s="33"/>
      <c r="P11" s="33"/>
      <c r="R11" s="32"/>
    </row>
    <row r="12" spans="1:18">
      <c r="A12" s="6" t="s">
        <v>36</v>
      </c>
      <c r="B12" s="37">
        <f t="shared" si="0"/>
        <v>1082.5055239282699</v>
      </c>
      <c r="C12" s="33"/>
      <c r="D12" s="37">
        <f>IF( ISERROR(IND_min_gas_kWh/1000),0,IND_min_gas_kWh/1000)*0.903</f>
        <v>1895.5400912354573</v>
      </c>
      <c r="E12" s="33">
        <f>C34*'E Balans VL '!I22/100/3.6*1000000</f>
        <v>4.684294527480966</v>
      </c>
      <c r="F12" s="33">
        <f>C34*'E Balans VL '!L22/100/3.6*1000000+C34*'E Balans VL '!N22/100/3.6*1000000</f>
        <v>41.331397180168416</v>
      </c>
      <c r="G12" s="34"/>
      <c r="H12" s="33"/>
      <c r="I12" s="33"/>
      <c r="J12" s="40">
        <f>C34*'E Balans VL '!D22/100/3.6*1000000+C34*'E Balans VL '!E22/100/3.6*1000000</f>
        <v>0</v>
      </c>
      <c r="K12" s="33"/>
      <c r="L12" s="33"/>
      <c r="M12" s="33"/>
      <c r="N12" s="33">
        <f>C34*'E Balans VL '!Y22/100/3.6*1000000</f>
        <v>184.65105740157287</v>
      </c>
      <c r="O12" s="33"/>
      <c r="P12" s="33"/>
      <c r="R12" s="32"/>
    </row>
    <row r="13" spans="1:18">
      <c r="A13" s="6" t="s">
        <v>38</v>
      </c>
      <c r="B13" s="37">
        <f t="shared" si="0"/>
        <v>7374.4346602720198</v>
      </c>
      <c r="C13" s="33"/>
      <c r="D13" s="37">
        <f>IF( ISERROR(IND_papier_gas_kWh/1000),0,IND_papier_gas_kWh/1000)*0.903</f>
        <v>8487.7239712035516</v>
      </c>
      <c r="E13" s="33">
        <f>C35*'E Balans VL '!I23/100/3.6*1000000</f>
        <v>0</v>
      </c>
      <c r="F13" s="33">
        <f>C35*'E Balans VL '!L23/100/3.6*1000000+C35*'E Balans VL '!N23/100/3.6*1000000</f>
        <v>0.31949479971819167</v>
      </c>
      <c r="G13" s="34"/>
      <c r="H13" s="33"/>
      <c r="I13" s="33"/>
      <c r="J13" s="40">
        <f>C35*'E Balans VL '!D23/100/3.6*1000000+C35*'E Balans VL '!E23/100/3.6*1000000</f>
        <v>0.20320084550183037</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786.21321069467001</v>
      </c>
      <c r="C15" s="33"/>
      <c r="D15" s="37">
        <f>IF( ISERROR(IND_rest_gas_kWh/1000),0,IND_rest_gas_kWh/1000)*0.903</f>
        <v>8375.2648532277763</v>
      </c>
      <c r="E15" s="33">
        <f>C37*'E Balans VL '!I15/100/3.6*1000000</f>
        <v>19.81712188831278</v>
      </c>
      <c r="F15" s="33">
        <f>C37*'E Balans VL '!L15/100/3.6*1000000+C37*'E Balans VL '!N15/100/3.6*1000000</f>
        <v>63.825825750929461</v>
      </c>
      <c r="G15" s="34"/>
      <c r="H15" s="33"/>
      <c r="I15" s="33"/>
      <c r="J15" s="40">
        <f>C37*'E Balans VL '!D15/100/3.6*1000000+C37*'E Balans VL '!E15/100/3.6*1000000</f>
        <v>1.6051009682909843</v>
      </c>
      <c r="K15" s="33"/>
      <c r="L15" s="33"/>
      <c r="M15" s="33"/>
      <c r="N15" s="33">
        <f>C37*'E Balans VL '!Y15/100/3.6*1000000</f>
        <v>13.284847810812884</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89947.205008355013</v>
      </c>
      <c r="C18" s="21">
        <f>C5+C16</f>
        <v>0</v>
      </c>
      <c r="D18" s="21">
        <f>MAX((D5+D16),0)</f>
        <v>190858.15901039983</v>
      </c>
      <c r="E18" s="21">
        <f>MAX((E5+E16),0)</f>
        <v>206.30027825637248</v>
      </c>
      <c r="F18" s="21">
        <f>MAX((F5+F16),0)</f>
        <v>4287.0070391871714</v>
      </c>
      <c r="G18" s="21"/>
      <c r="H18" s="21"/>
      <c r="I18" s="21"/>
      <c r="J18" s="21">
        <f>MAX((J5+J16),0)</f>
        <v>14.040001271998827</v>
      </c>
      <c r="K18" s="21"/>
      <c r="L18" s="21">
        <f>MAX((L5+L16),0)</f>
        <v>0</v>
      </c>
      <c r="M18" s="21"/>
      <c r="N18" s="21">
        <f>MAX((N5+N16),0)</f>
        <v>2534.7323519431338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0.18813950321147199</v>
      </c>
      <c r="C20" s="25">
        <f ca="1">'EF ele_warmte'!B22</f>
        <v>1.1886341646426952E-2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16922.622465532339</v>
      </c>
      <c r="C22" s="23">
        <f ca="1">C18*C20</f>
        <v>0</v>
      </c>
      <c r="D22" s="23">
        <f>D18*D20</f>
        <v>38553.348120100767</v>
      </c>
      <c r="E22" s="23">
        <f>E18*E20</f>
        <v>46.830163164196556</v>
      </c>
      <c r="F22" s="23">
        <f>F18*F20</f>
        <v>1144.6308794629749</v>
      </c>
      <c r="G22" s="23"/>
      <c r="H22" s="23"/>
      <c r="I22" s="23"/>
      <c r="J22" s="23">
        <f>J18*J20</f>
        <v>4.9701604502875849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13796.415802343299</v>
      </c>
      <c r="C30" s="39">
        <f>IF(ISERROR(B30*3.6/1000000/'E Balans VL '!Z18*100),0,B30*3.6/1000000/'E Balans VL '!Z18*100)</f>
        <v>0.684822986773585</v>
      </c>
      <c r="D30" s="233" t="s">
        <v>691</v>
      </c>
    </row>
    <row r="31" spans="1:18">
      <c r="A31" s="6" t="s">
        <v>32</v>
      </c>
      <c r="B31" s="37">
        <f>IF( ISERROR(IND_ander_ele_kWh/1000),0,IND_ander_ele_kWh/1000)</f>
        <v>3610.1046486170999</v>
      </c>
      <c r="C31" s="39">
        <f>IF(ISERROR(B31*3.6/1000000/'E Balans VL '!Z19*100),0,B31*3.6/1000000/'E Balans VL '!Z19*100)</f>
        <v>0.12182253256996176</v>
      </c>
      <c r="D31" s="233" t="s">
        <v>691</v>
      </c>
    </row>
    <row r="32" spans="1:18">
      <c r="A32" s="168" t="s">
        <v>40</v>
      </c>
      <c r="B32" s="37">
        <f>IF( ISERROR(IND_voed_ele_kWh/1000),0,IND_voed_ele_kWh/1000)</f>
        <v>63133.328345597496</v>
      </c>
      <c r="C32" s="39">
        <f>IF(ISERROR(B32*3.6/1000000/'E Balans VL '!Z20*100),0,B32*3.6/1000000/'E Balans VL '!Z20*100)</f>
        <v>1.4826428486685177</v>
      </c>
      <c r="D32" s="233" t="s">
        <v>691</v>
      </c>
    </row>
    <row r="33" spans="1:5">
      <c r="A33" s="168" t="s">
        <v>39</v>
      </c>
      <c r="B33" s="37">
        <f>IF( ISERROR(IND_textiel_ele_kWh/1000),0,IND_textiel_ele_kWh/1000)</f>
        <v>164.20281690217101</v>
      </c>
      <c r="C33" s="39">
        <f>IF(ISERROR(B33*3.6/1000000/'E Balans VL '!Z21*100),0,B33*3.6/1000000/'E Balans VL '!Z21*100)</f>
        <v>1.8021051018313965E-2</v>
      </c>
      <c r="D33" s="233" t="s">
        <v>691</v>
      </c>
    </row>
    <row r="34" spans="1:5">
      <c r="A34" s="168" t="s">
        <v>36</v>
      </c>
      <c r="B34" s="37">
        <f>IF( ISERROR(IND_min_ele_kWh/1000),0,IND_min_ele_kWh/1000)</f>
        <v>1082.5055239282699</v>
      </c>
      <c r="C34" s="39">
        <f>IF(ISERROR(B34*3.6/1000000/'E Balans VL '!Z22*100),0,B34*3.6/1000000/'E Balans VL '!Z22*100)</f>
        <v>0.15357587981315127</v>
      </c>
      <c r="D34" s="233" t="s">
        <v>691</v>
      </c>
    </row>
    <row r="35" spans="1:5">
      <c r="A35" s="168" t="s">
        <v>38</v>
      </c>
      <c r="B35" s="37">
        <f>IF( ISERROR(IND_papier_ele_kWh/1000),0,IND_papier_ele_kWh/1000)</f>
        <v>7374.4346602720198</v>
      </c>
      <c r="C35" s="39">
        <f>IF(ISERROR(B35*3.6/1000000/'E Balans VL '!Z22*100),0,B35*3.6/1000000/'E Balans VL '!Z22*100)</f>
        <v>1.0462166391225898</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786.21321069467001</v>
      </c>
      <c r="C37" s="39">
        <f>IF(ISERROR(B37*3.6/1000000/'E Balans VL '!Z15*100),0,B37*3.6/1000000/'E Balans VL '!Z15*100)</f>
        <v>2.946356966618362E-3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6714.4988731824806</v>
      </c>
      <c r="C5" s="17">
        <f>'Eigen informatie GS &amp; warmtenet'!B62</f>
        <v>0</v>
      </c>
      <c r="D5" s="30">
        <f>IF(ISERROR(SUM(LB_lb_gas_kWh,LB_rest_gas_kWh)/1000),0,SUM(LB_lb_gas_kWh,LB_rest_gas_kWh)/1000)*0.903</f>
        <v>6747.6567066632106</v>
      </c>
      <c r="E5" s="17">
        <f>B17*'E Balans VL '!I25/3.6*1000000/100</f>
        <v>250.40420116792015</v>
      </c>
      <c r="F5" s="17">
        <f>B17*('E Balans VL '!L25/3.6*1000000+'E Balans VL '!N25/3.6*1000000)/100</f>
        <v>21784.428929099351</v>
      </c>
      <c r="G5" s="18"/>
      <c r="H5" s="17"/>
      <c r="I5" s="17"/>
      <c r="J5" s="17">
        <f>('E Balans VL '!D25+'E Balans VL '!E25)/3.6*1000000*landbouw!B17/100</f>
        <v>1762.5891030677865</v>
      </c>
      <c r="K5" s="17"/>
      <c r="L5" s="17">
        <f>L6*(-1)</f>
        <v>0</v>
      </c>
      <c r="M5" s="17"/>
      <c r="N5" s="17">
        <f>N6*(-1)</f>
        <v>36385.71428571429</v>
      </c>
      <c r="O5" s="17"/>
      <c r="P5" s="17"/>
      <c r="R5" s="32"/>
    </row>
    <row r="6" spans="1:18">
      <c r="A6" s="16" t="s">
        <v>473</v>
      </c>
      <c r="B6" s="17" t="s">
        <v>210</v>
      </c>
      <c r="C6" s="17">
        <f>'lokale energieproductie'!O41+'lokale energieproductie'!O34</f>
        <v>18192.857142857145</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-36385.71428571429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6714.4988731824806</v>
      </c>
      <c r="C8" s="21">
        <f>C5+C6</f>
        <v>18192.857142857145</v>
      </c>
      <c r="D8" s="21">
        <f>MAX((D5+D6),0)</f>
        <v>6747.6567066632106</v>
      </c>
      <c r="E8" s="21">
        <f>MAX((E5+E6),0)</f>
        <v>250.40420116792015</v>
      </c>
      <c r="F8" s="21">
        <f>MAX((F5+F6),0)</f>
        <v>21784.428929099351</v>
      </c>
      <c r="G8" s="21"/>
      <c r="H8" s="21"/>
      <c r="I8" s="21"/>
      <c r="J8" s="21">
        <f>MAX((J5+J6),0)</f>
        <v>1762.5891030677865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0.18813950321147199</v>
      </c>
      <c r="C10" s="31">
        <f ca="1">'EF ele_warmte'!B22</f>
        <v>1.1886341646426952E-2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1263.2624823145404</v>
      </c>
      <c r="C12" s="23">
        <f ca="1">C8*C10</f>
        <v>216.24651552463894</v>
      </c>
      <c r="D12" s="23">
        <f>D8*D10</f>
        <v>1363.0266547459687</v>
      </c>
      <c r="E12" s="23">
        <f>E8*E10</f>
        <v>56.841753665117878</v>
      </c>
      <c r="F12" s="23">
        <f>F8*F10</f>
        <v>5816.4425240695273</v>
      </c>
      <c r="G12" s="23"/>
      <c r="H12" s="23"/>
      <c r="I12" s="23"/>
      <c r="J12" s="23">
        <f>J8*J10</f>
        <v>623.95654248599635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0.92221889862356554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1089.2363502903065</v>
      </c>
      <c r="C26" s="243">
        <f>B26*'GWP N2O_CH4'!B5</f>
        <v>22873.963356096436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657.66864476887383</v>
      </c>
      <c r="C27" s="243">
        <f>B27*'GWP N2O_CH4'!B5</f>
        <v>13811.041540146351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16.084597228493887</v>
      </c>
      <c r="C28" s="243">
        <f>B28*'GWP N2O_CH4'!B4</f>
        <v>4986.2251408331049</v>
      </c>
      <c r="D28" s="50"/>
    </row>
    <row r="29" spans="1:4">
      <c r="A29" s="41" t="s">
        <v>272</v>
      </c>
      <c r="B29" s="243">
        <f>B34*'ha_N2O bodem landbouw'!B4</f>
        <v>32.164181381857922</v>
      </c>
      <c r="C29" s="243">
        <f>B29*'GWP N2O_CH4'!B4</f>
        <v>9970.8962283759556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7.3303087917765981E-3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3.0785593946114523E-3</v>
      </c>
      <c r="C5" s="434" t="s">
        <v>210</v>
      </c>
      <c r="D5" s="419">
        <f>SUM(D6:D11)</f>
        <v>4.7371568817457452E-3</v>
      </c>
      <c r="E5" s="419">
        <f>SUM(E6:E11)</f>
        <v>2.9987211528773147E-3</v>
      </c>
      <c r="F5" s="432" t="s">
        <v>210</v>
      </c>
      <c r="G5" s="419">
        <f>SUM(G6:G11)</f>
        <v>1.572679255428661</v>
      </c>
      <c r="H5" s="419">
        <f>SUM(H6:H11)</f>
        <v>0.29730785893085415</v>
      </c>
      <c r="I5" s="434" t="s">
        <v>210</v>
      </c>
      <c r="J5" s="434" t="s">
        <v>210</v>
      </c>
      <c r="K5" s="434" t="s">
        <v>210</v>
      </c>
      <c r="L5" s="434" t="s">
        <v>210</v>
      </c>
      <c r="M5" s="419">
        <f>SUM(M6:M11)</f>
        <v>0.10921161522762673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5.4963067123215618E-4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9.5508529252850049E-4</v>
      </c>
      <c r="E6" s="885">
        <f>vkm_GW_PW*SUMIFS(TableVerdeelsleutelVkm[LPG],TableVerdeelsleutelVkm[Voertuigtype],"Lichte voertuigen")*SUMIFS(TableECFTransport[EnergieConsumptieFactor (PJ per km)],TableECFTransport[Index],CONCATENATE($A6,"_LPG_LPG"))</f>
        <v>5.3108972580320421E-4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0.15959751217472645</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5.8189786478174022E-2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1.3030752389879236E-2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3.596956677236536E-6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0.14886903657874637</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1.5144695282620697E-6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8.3815562712464993E-3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2.8651659746647886E-4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6.3925925734128293E-4</v>
      </c>
      <c r="E8" s="422">
        <f>vkm_NGW_PW*SUMIFS(TableVerdeelsleutelVkm[LPG],TableVerdeelsleutelVkm[Voertuigtype],"Lichte voertuigen")*SUMIFS(TableECFTransport[EnergieConsumptieFactor (PJ per km)],TableECFTransport[Index],CONCATENATE($A8,"_LPG_LPG"))</f>
        <v>3.4046815586306428E-4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9.4159511837953541E-2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3.8470791593406245E-2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7.9756991477814392E-3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2.1408885499408301E-7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1.1410391205222602E-2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1.0880173933550609E-7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6.4242211032785636E-4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2.2238308304538294E-3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3.1428123318759616E-3</v>
      </c>
      <c r="E10" s="422">
        <f>vkm_SW_PW*SUMIFS(TableVerdeelsleutelVkm[LPG],TableVerdeelsleutelVkm[Voertuigtype],"Lichte voertuigen")*SUMIFS(TableECFTransport[EnergieConsumptieFactor (PJ per km)],TableECFTransport[Index],CONCATENATE($A10,"_LPG_LPG"))</f>
        <v>2.1271632712110463E-3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0.58113135243118641</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0.20063925665007568</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4.6666363700391421E-2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1.4770249926757262E-5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0.5775114512008257</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6.4009379306490442E-6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3.2514821608000295E-2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855.15538739207011</v>
      </c>
      <c r="C14" s="21"/>
      <c r="D14" s="21">
        <f t="shared" ref="D14:M14" si="0">((D5)*10^9/3600)+D12</f>
        <v>1315.8769115960404</v>
      </c>
      <c r="E14" s="21">
        <f t="shared" si="0"/>
        <v>832.9780980214764</v>
      </c>
      <c r="F14" s="21"/>
      <c r="G14" s="21">
        <f t="shared" si="0"/>
        <v>436855.34873018361</v>
      </c>
      <c r="H14" s="21">
        <f t="shared" si="0"/>
        <v>82585.516369681704</v>
      </c>
      <c r="I14" s="21"/>
      <c r="J14" s="21"/>
      <c r="K14" s="21"/>
      <c r="L14" s="21"/>
      <c r="M14" s="21">
        <f t="shared" si="0"/>
        <v>30336.559785451871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0.18813950321147199</v>
      </c>
      <c r="C16" s="56">
        <f ca="1">'EF ele_warmte'!B22</f>
        <v>1.1886341646426952E-2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160.88850975255795</v>
      </c>
      <c r="C18" s="23"/>
      <c r="D18" s="23">
        <f t="shared" ref="D18:M18" si="1">D14*D16</f>
        <v>265.80713614240017</v>
      </c>
      <c r="E18" s="23">
        <f t="shared" si="1"/>
        <v>189.08602825087516</v>
      </c>
      <c r="F18" s="23"/>
      <c r="G18" s="23">
        <f t="shared" si="1"/>
        <v>116640.37811095903</v>
      </c>
      <c r="H18" s="23">
        <f t="shared" si="1"/>
        <v>20563.793576050743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3.0972735433045762E-5</v>
      </c>
      <c r="C50" s="315">
        <f t="shared" ref="C50:P50" si="2">SUM(C51:C52)</f>
        <v>0</v>
      </c>
      <c r="D50" s="315">
        <f t="shared" si="2"/>
        <v>0</v>
      </c>
      <c r="E50" s="315">
        <f t="shared" si="2"/>
        <v>0</v>
      </c>
      <c r="F50" s="315">
        <f t="shared" si="2"/>
        <v>0</v>
      </c>
      <c r="G50" s="315">
        <f t="shared" si="2"/>
        <v>2.2107780187453816E-3</v>
      </c>
      <c r="H50" s="315">
        <f t="shared" si="2"/>
        <v>0</v>
      </c>
      <c r="I50" s="315">
        <f t="shared" si="2"/>
        <v>0</v>
      </c>
      <c r="J50" s="315">
        <f t="shared" si="2"/>
        <v>0</v>
      </c>
      <c r="K50" s="315">
        <f t="shared" si="2"/>
        <v>0</v>
      </c>
      <c r="L50" s="315">
        <f t="shared" si="2"/>
        <v>0</v>
      </c>
      <c r="M50" s="315">
        <f t="shared" si="2"/>
        <v>1.2207605350414172E-4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3.0972735433045762E-5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2.2107780187453816E-3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1.2207605350414172E-4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8.6035376202904885</v>
      </c>
      <c r="C54" s="21">
        <f t="shared" ref="C54:P54" si="3">(C50)*10^9/3600</f>
        <v>0</v>
      </c>
      <c r="D54" s="21">
        <f t="shared" si="3"/>
        <v>0</v>
      </c>
      <c r="E54" s="21">
        <f t="shared" si="3"/>
        <v>0</v>
      </c>
      <c r="F54" s="21">
        <f t="shared" si="3"/>
        <v>0</v>
      </c>
      <c r="G54" s="21">
        <f t="shared" si="3"/>
        <v>614.10500520705034</v>
      </c>
      <c r="H54" s="21">
        <f t="shared" si="3"/>
        <v>0</v>
      </c>
      <c r="I54" s="21">
        <f t="shared" si="3"/>
        <v>0</v>
      </c>
      <c r="J54" s="21">
        <f t="shared" si="3"/>
        <v>0</v>
      </c>
      <c r="K54" s="21">
        <f t="shared" si="3"/>
        <v>0</v>
      </c>
      <c r="L54" s="21">
        <f t="shared" si="3"/>
        <v>0</v>
      </c>
      <c r="M54" s="21">
        <f t="shared" si="3"/>
        <v>33.91001486226159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0.18813950321147199</v>
      </c>
      <c r="C56" s="56">
        <f ca="1">'EF ele_warmte'!B22</f>
        <v>1.1886341646426952E-2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1.6186652937426624</v>
      </c>
      <c r="C58" s="23">
        <f t="shared" ref="C58:P58" ca="1" si="4">C54*C56</f>
        <v>0</v>
      </c>
      <c r="D58" s="23">
        <f t="shared" si="4"/>
        <v>0</v>
      </c>
      <c r="E58" s="23">
        <f t="shared" si="4"/>
        <v>0</v>
      </c>
      <c r="F58" s="23">
        <f t="shared" si="4"/>
        <v>0</v>
      </c>
      <c r="G58" s="23">
        <f t="shared" si="4"/>
        <v>163.96603639028245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12875.905523394566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13405.5</v>
      </c>
      <c r="C8" s="544">
        <f>B50</f>
        <v>788.82352941176487</v>
      </c>
      <c r="D8" s="545"/>
      <c r="E8" s="545">
        <f>E50</f>
        <v>0</v>
      </c>
      <c r="F8" s="546"/>
      <c r="G8" s="547"/>
      <c r="H8" s="545">
        <f>I50</f>
        <v>0</v>
      </c>
      <c r="I8" s="545">
        <f>G50+F50</f>
        <v>0</v>
      </c>
      <c r="J8" s="545">
        <f>H50+D50+C50</f>
        <v>14982.352941176472</v>
      </c>
      <c r="K8" s="545"/>
      <c r="L8" s="545"/>
      <c r="M8" s="545"/>
      <c r="N8" s="548"/>
      <c r="O8" s="549">
        <f>C8*$C$12+D8*$D$12+E8*$E$12+F8*$F$12+G8*$G$12+H8*$H$12+I8*$I$12+J8*$J$12</f>
        <v>159.3423529411765</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26281.405523394566</v>
      </c>
      <c r="C10" s="559">
        <f t="shared" ref="C10:L10" si="0">SUM(C8:C9)</f>
        <v>788.82352941176487</v>
      </c>
      <c r="D10" s="559">
        <f t="shared" si="0"/>
        <v>0</v>
      </c>
      <c r="E10" s="559">
        <f t="shared" si="0"/>
        <v>0</v>
      </c>
      <c r="F10" s="559">
        <f t="shared" si="0"/>
        <v>0</v>
      </c>
      <c r="G10" s="559">
        <f t="shared" si="0"/>
        <v>0</v>
      </c>
      <c r="H10" s="559">
        <f t="shared" si="0"/>
        <v>0</v>
      </c>
      <c r="I10" s="559">
        <f t="shared" si="0"/>
        <v>0</v>
      </c>
      <c r="J10" s="559">
        <f t="shared" si="0"/>
        <v>14982.352941176472</v>
      </c>
      <c r="K10" s="559">
        <f t="shared" si="0"/>
        <v>0</v>
      </c>
      <c r="L10" s="559">
        <f t="shared" si="0"/>
        <v>0</v>
      </c>
      <c r="M10" s="960"/>
      <c r="N10" s="960"/>
      <c r="O10" s="560">
        <f>SUM(O4:O9)</f>
        <v>159.3423529411765</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19150.714285714286</v>
      </c>
      <c r="C17" s="575">
        <f>B51</f>
        <v>1126.8907563025214</v>
      </c>
      <c r="D17" s="576"/>
      <c r="E17" s="576">
        <f>E51</f>
        <v>0</v>
      </c>
      <c r="F17" s="577"/>
      <c r="G17" s="578"/>
      <c r="H17" s="575">
        <f>I51</f>
        <v>0</v>
      </c>
      <c r="I17" s="576">
        <f>G51+F51</f>
        <v>0</v>
      </c>
      <c r="J17" s="576">
        <f>H51+D51+C51</f>
        <v>21403.361344537818</v>
      </c>
      <c r="K17" s="576"/>
      <c r="L17" s="576"/>
      <c r="M17" s="576"/>
      <c r="N17" s="961"/>
      <c r="O17" s="579">
        <f>C17*$C$22+E17*$E$22+H17*$H$22+I17*$I$22+J17*$J$22+D17*$D$22+F17*$F$22+G17*$G$22+K17*$K$22+L17*$L$22</f>
        <v>227.63193277310933</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19150.714285714286</v>
      </c>
      <c r="C20" s="558">
        <f>SUM(C17:C19)</f>
        <v>1126.8907563025214</v>
      </c>
      <c r="D20" s="558">
        <f t="shared" ref="D20:L20" si="1">SUM(D17:D19)</f>
        <v>0</v>
      </c>
      <c r="E20" s="558">
        <f t="shared" si="1"/>
        <v>0</v>
      </c>
      <c r="F20" s="558">
        <f t="shared" si="1"/>
        <v>0</v>
      </c>
      <c r="G20" s="558">
        <f t="shared" si="1"/>
        <v>0</v>
      </c>
      <c r="H20" s="558">
        <f t="shared" si="1"/>
        <v>0</v>
      </c>
      <c r="I20" s="558">
        <f t="shared" si="1"/>
        <v>0</v>
      </c>
      <c r="J20" s="558">
        <f t="shared" si="1"/>
        <v>21403.361344537818</v>
      </c>
      <c r="K20" s="558">
        <f t="shared" si="1"/>
        <v>0</v>
      </c>
      <c r="L20" s="558">
        <f t="shared" si="1"/>
        <v>0</v>
      </c>
      <c r="M20" s="558"/>
      <c r="N20" s="558"/>
      <c r="O20" s="584">
        <f>SUM(O17:O19)</f>
        <v>227.63193277310933</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44001</v>
      </c>
      <c r="C28" s="786">
        <v>9880</v>
      </c>
      <c r="D28" s="636" t="s">
        <v>883</v>
      </c>
      <c r="E28" s="635" t="s">
        <v>884</v>
      </c>
      <c r="F28" s="635" t="s">
        <v>885</v>
      </c>
      <c r="G28" s="635" t="s">
        <v>886</v>
      </c>
      <c r="H28" s="635" t="s">
        <v>887</v>
      </c>
      <c r="I28" s="635" t="s">
        <v>888</v>
      </c>
      <c r="J28" s="785">
        <v>41128</v>
      </c>
      <c r="K28" s="785">
        <v>41130</v>
      </c>
      <c r="L28" s="635" t="s">
        <v>889</v>
      </c>
      <c r="M28" s="635">
        <v>2830</v>
      </c>
      <c r="N28" s="635">
        <v>12735</v>
      </c>
      <c r="O28" s="635">
        <v>18192.857142857145</v>
      </c>
      <c r="P28" s="635">
        <v>0</v>
      </c>
      <c r="Q28" s="635">
        <v>36385.71428571429</v>
      </c>
      <c r="R28" s="635">
        <v>0</v>
      </c>
      <c r="S28" s="635">
        <v>0</v>
      </c>
      <c r="T28" s="635">
        <v>0</v>
      </c>
      <c r="U28" s="635">
        <v>0</v>
      </c>
      <c r="V28" s="635">
        <v>0</v>
      </c>
      <c r="W28" s="635">
        <v>0</v>
      </c>
      <c r="X28" s="635">
        <v>10</v>
      </c>
      <c r="Y28" s="635" t="s">
        <v>111</v>
      </c>
      <c r="Z28" s="637" t="s">
        <v>111</v>
      </c>
    </row>
    <row r="29" spans="1:26" s="589" customFormat="1" ht="25.5">
      <c r="A29" s="588"/>
      <c r="B29" s="786">
        <v>44001</v>
      </c>
      <c r="C29" s="786">
        <v>9880</v>
      </c>
      <c r="D29" s="636"/>
      <c r="E29" s="635"/>
      <c r="F29" s="635" t="s">
        <v>890</v>
      </c>
      <c r="G29" s="635" t="s">
        <v>886</v>
      </c>
      <c r="H29" s="635" t="s">
        <v>887</v>
      </c>
      <c r="I29" s="635" t="s">
        <v>891</v>
      </c>
      <c r="J29" s="785">
        <v>42298</v>
      </c>
      <c r="K29" s="785">
        <v>42298</v>
      </c>
      <c r="L29" s="635" t="s">
        <v>889</v>
      </c>
      <c r="M29" s="635">
        <v>9</v>
      </c>
      <c r="N29" s="635">
        <v>40.5</v>
      </c>
      <c r="O29" s="635">
        <v>57.857142857142861</v>
      </c>
      <c r="P29" s="635">
        <v>115.71428571428572</v>
      </c>
      <c r="Q29" s="635">
        <v>0</v>
      </c>
      <c r="R29" s="635">
        <v>0</v>
      </c>
      <c r="S29" s="635">
        <v>0</v>
      </c>
      <c r="T29" s="635">
        <v>0</v>
      </c>
      <c r="U29" s="635">
        <v>0</v>
      </c>
      <c r="V29" s="635">
        <v>0</v>
      </c>
      <c r="W29" s="635">
        <v>0</v>
      </c>
      <c r="X29" s="635">
        <v>1100</v>
      </c>
      <c r="Y29" s="635" t="s">
        <v>51</v>
      </c>
      <c r="Z29" s="637" t="s">
        <v>155</v>
      </c>
    </row>
    <row r="30" spans="1:26" s="589" customFormat="1" ht="51">
      <c r="A30" s="588"/>
      <c r="B30" s="786">
        <v>44001</v>
      </c>
      <c r="C30" s="786">
        <v>9880</v>
      </c>
      <c r="D30" s="636" t="s">
        <v>892</v>
      </c>
      <c r="E30" s="635"/>
      <c r="F30" s="635" t="s">
        <v>893</v>
      </c>
      <c r="G30" s="635" t="s">
        <v>886</v>
      </c>
      <c r="H30" s="635" t="s">
        <v>887</v>
      </c>
      <c r="I30" s="635" t="s">
        <v>894</v>
      </c>
      <c r="J30" s="785">
        <v>41831</v>
      </c>
      <c r="K30" s="785">
        <v>42614</v>
      </c>
      <c r="L30" s="635" t="s">
        <v>895</v>
      </c>
      <c r="M30" s="635">
        <v>140</v>
      </c>
      <c r="N30" s="635">
        <v>630.00000000000011</v>
      </c>
      <c r="O30" s="635">
        <v>900.00000000000023</v>
      </c>
      <c r="P30" s="635">
        <v>1800.0000000000005</v>
      </c>
      <c r="Q30" s="635">
        <v>0</v>
      </c>
      <c r="R30" s="635">
        <v>0</v>
      </c>
      <c r="S30" s="635">
        <v>0</v>
      </c>
      <c r="T30" s="635">
        <v>0</v>
      </c>
      <c r="U30" s="635">
        <v>0</v>
      </c>
      <c r="V30" s="635">
        <v>0</v>
      </c>
      <c r="W30" s="635">
        <v>0</v>
      </c>
      <c r="X30" s="635">
        <v>1500</v>
      </c>
      <c r="Y30" s="635" t="s">
        <v>50</v>
      </c>
      <c r="Z30" s="637" t="s">
        <v>155</v>
      </c>
    </row>
    <row r="31" spans="1:26" s="569" customFormat="1">
      <c r="A31" s="591" t="s">
        <v>275</v>
      </c>
      <c r="B31" s="592"/>
      <c r="C31" s="592"/>
      <c r="D31" s="592"/>
      <c r="E31" s="592"/>
      <c r="F31" s="592"/>
      <c r="G31" s="592"/>
      <c r="H31" s="592"/>
      <c r="I31" s="592"/>
      <c r="J31" s="592"/>
      <c r="K31" s="592"/>
      <c r="L31" s="593"/>
      <c r="M31" s="593">
        <f>SUM(M28:M30)</f>
        <v>2979</v>
      </c>
      <c r="N31" s="593">
        <f>SUM(N28:N30)</f>
        <v>13405.5</v>
      </c>
      <c r="O31" s="593">
        <f>SUM(O28:O30)</f>
        <v>19150.714285714286</v>
      </c>
      <c r="P31" s="593">
        <f>SUM(P28:P30)</f>
        <v>1915.7142857142862</v>
      </c>
      <c r="Q31" s="593">
        <f>SUM(Q28:Q30)</f>
        <v>36385.71428571429</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149</v>
      </c>
      <c r="N33" s="593">
        <f ca="1">SUMIF($Z$28:AD30,"tertiair",N28:N30)</f>
        <v>670.50000000000011</v>
      </c>
      <c r="O33" s="593">
        <f ca="1">SUMIF($Z$28:AE30,"tertiair",O28:O30)</f>
        <v>957.85714285714312</v>
      </c>
      <c r="P33" s="593">
        <f ca="1">SUMIF($Z$28:AF30,"tertiair",P28:P30)</f>
        <v>1915.7142857142862</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2830</v>
      </c>
      <c r="N34" s="598">
        <f>SUMIF($Z$28:$Z$30,"landbouw",N28:N30)</f>
        <v>12735</v>
      </c>
      <c r="O34" s="598">
        <f>SUMIF($Z$28:$Z$30,"landbouw",O28:O30)</f>
        <v>18192.857142857145</v>
      </c>
      <c r="P34" s="598">
        <f>SUMIF($Z$28:$Z$30,"landbouw",P28:P30)</f>
        <v>0</v>
      </c>
      <c r="Q34" s="598">
        <f>SUMIF($Z$28:$Z$30,"landbouw",Q28:Q30)</f>
        <v>36385.71428571429</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0.41176470588235292</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788.82352941176487</v>
      </c>
      <c r="C50" s="627">
        <f t="shared" si="2"/>
        <v>14982.352941176472</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1126.8907563025214</v>
      </c>
      <c r="C51" s="630">
        <f t="shared" si="3"/>
        <v>21403.361344537818</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2021-06-29T14:34:27Z</dcterms:modified>
</cp:coreProperties>
</file>