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F5" i="13" s="1"/>
  <c r="F8" i="13" s="1"/>
  <c r="G11" i="14" s="1"/>
  <c r="B35" i="13"/>
  <c r="C35" i="13" s="1"/>
  <c r="B34" i="13"/>
  <c r="B33" i="13"/>
  <c r="B32" i="13"/>
  <c r="C34" i="13"/>
  <c r="P5" i="13"/>
  <c r="P8" i="13" s="1"/>
  <c r="Q11" i="14" s="1"/>
  <c r="B37" i="13"/>
  <c r="D6" i="17"/>
  <c r="B13" i="15"/>
  <c r="F6" i="17"/>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P4" i="48" l="1"/>
  <c r="P12" i="13"/>
  <c r="Q41" i="14" s="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G9" i="48" s="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I76" i="14" l="1"/>
  <c r="I8" i="59" s="1"/>
  <c r="I10" i="59" s="1"/>
  <c r="O33" i="48"/>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19"/>
  <c r="C19" i="19" s="1"/>
  <c r="D39" i="14" s="1"/>
  <c r="C17" i="49"/>
  <c r="C18" i="15"/>
  <c r="C20" i="15" s="1"/>
  <c r="D40" i="14" s="1"/>
  <c r="C10" i="13"/>
  <c r="C12" i="13" s="1"/>
  <c r="D41" i="14" s="1"/>
  <c r="D46" i="14" s="1"/>
  <c r="D61" i="14" s="1"/>
  <c r="D63" i="14" s="1"/>
  <c r="C29" i="20"/>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<sst xmlns="http://schemas.openxmlformats.org/spreadsheetml/2006/main" count="2466" uniqueCount="893">
  <si>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</si>
  <si>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</si>
  <si>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</si>
  <si>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</si>
  <si>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</si>
  <si>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</si>
  <si>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</si>
  <si>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</si>
  <si>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</si>
  <si>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</si>
  <si>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</si>
  <si>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</si>
  <si>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</si>
  <si>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</si>
  <si>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</si>
  <si>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</si>
  <si>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</si>
  <si>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</si>
  <si>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</si>
  <si>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</si>
  <si>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</si>
  <si>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</si>
  <si>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</si>
  <si>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</si>
  <si>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</si>
  <si>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</si>
  <si>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</si>
  <si>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</si>
  <si>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</si>
  <si>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</si>
  <si>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</si>
  <si>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</si>
  <si>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</si>
  <si>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</si>
  <si>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</si>
  <si>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</si>
  <si>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</si>
  <si>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</si>
  <si>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</si>
  <si>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</si>
  <si>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</si>
  <si>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</si>
  <si>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</si>
  <si>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</si>
  <si>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</si>
  <si>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</si>
  <si>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</si>
  <si>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</si>
  <si>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</si>
  <si>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</si>
  <si>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</si>
  <si>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</si>
  <si>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</si>
  <si>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</si>
  <si>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</si>
  <si>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</si>
  <si>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</si>
  <si>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</si>
  <si>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</si>
  <si>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</si>
  <si>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</si>
  <si>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</si>
  <si>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</si>
  <si>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</si>
  <si>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</si>
  <si>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</si>
  <si>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</si>
  <si>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</si>
  <si>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</si>
  <si>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</si>
  <si>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</si>
  <si>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</si>
  <si>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</si>
  <si>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</si>
  <si>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</si>
  <si>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</si>
  <si>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</si>
  <si>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</si>
  <si>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</si>
  <si>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</si>
  <si>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</si>
  <si>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</si>
  <si>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</si>
  <si>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</si>
  <si>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</si>
  <si>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</si>
  <si>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</si>
  <si>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</si>
  <si>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</si>
  <si>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</si>
  <si>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</si>
  <si>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</si>
  <si>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</si>
  <si>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</si>
  <si>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</si>
  <si>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</si>
  <si>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</si>
  <si>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</si>
  <si>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</si>
  <si>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</si>
  <si>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</si>
  <si>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</si>
  <si>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</si>
  <si>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</si>
  <si>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</si>
  <si>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</si>
  <si>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</si>
  <si>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</si>
  <si>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</si>
  <si>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</si>
  <si>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</si>
  <si>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</si>
  <si>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</si>
  <si>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</si>
  <si>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</si>
  <si>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</si>
  <si>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</si>
  <si>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</si>
  <si>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</si>
  <si>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</si>
  <si>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</si>
  <si>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</si>
  <si>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</si>
  <si>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</si>
  <si>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</si>
  <si>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</si>
  <si>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</si>
  <si>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</si>
  <si>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</si>
  <si>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</si>
  <si>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</si>
  <si>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</si>
  <si>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</si>
  <si>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</si>
  <si>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</si>
  <si>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</si>
  <si>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</si>
  <si>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</si>
  <si>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</si>
  <si>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</si>
  <si>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</si>
  <si>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</si>
  <si>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</si>
  <si>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</si>
  <si>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</si>
  <si>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</si>
  <si>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</si>
  <si>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</si>
  <si>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</si>
  <si>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</si>
  <si>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</si>
  <si>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</si>
  <si>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</si>
  <si>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</si>
  <si>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</si>
  <si>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</si>
  <si>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</si>
  <si>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</si>
  <si>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</si>
  <si>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</si>
  <si>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</si>
  <si>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</si>
  <si>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</si>
  <si>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</si>
  <si>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</si>
  <si>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</si>
  <si>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</si>
  <si>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</si>
  <si>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</si>
  <si>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</si>
  <si>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</si>
  <si>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</si>
  <si>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</si>
  <si>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</si>
  <si>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</si>
  <si>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</si>
  <si>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</si>
  <si>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</si>
  <si>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</si>
  <si>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</si>
  <si>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</si>
  <si>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</si>
  <si>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</si>
  <si>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</si>
  <si>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</si>
  <si>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</si>
  <si>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</si>
  <si>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</si>
  <si>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</si>
  <si>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</si>
  <si>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</si>
  <si>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</si>
  <si>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</si>
  <si>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</si>
  <si>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</si>
  <si>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</si>
  <si>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</si>
  <si>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</si>
  <si>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</si>
  <si>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</si>
  <si>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</si>
  <si>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</si>
  <si>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</si>
  <si>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</si>
  <si>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</si>
  <si>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</si>
  <si>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</si>
  <si>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</si>
  <si>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</si>
  <si>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</si>
  <si>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</si>
  <si>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</si>
  <si>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</si>
  <si>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</si>
  <si>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</si>
  <si>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</si>
  <si>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</si>
  <si>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</si>
  <si>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</si>
  <si>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</si>
  <si>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</si>
  <si>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</si>
  <si>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</si>
  <si>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</si>
  <si>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</si>
  <si>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</si>
  <si>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</si>
  <si>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</si>
  <si>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</si>
  <si>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</si>
  <si>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</si>
  <si>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</si>
  <si>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</si>
  <si>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</si>
  <si>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</si>
  <si>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</si>
  <si>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</si>
  <si>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</si>
  <si>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</si>
  <si>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</si>
  <si>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</si>
  <si>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</si>
  <si>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</si>
  <si>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</si>
  <si>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</si>
  <si>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</si>
  <si>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</si>
  <si>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</si>
  <si>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</si>
  <si>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</si>
  <si>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</si>
  <si>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</si>
  <si>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</si>
  <si>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</si>
  <si>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</si>
  <si>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</si>
  <si>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</si>
  <si>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</si>
  <si>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</si>
  <si>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</si>
  <si>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</si>
  <si>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</si>
  <si>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</si>
  <si>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</si>
  <si>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</si>
  <si>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</si>
  <si>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</si>
  <si>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</si>
  <si>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</si>
  <si>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</si>
  <si>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</si>
  <si>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</si>
  <si>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</si>
  <si>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</si>
  <si>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</si>
  <si>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</si>
  <si>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</si>
  <si>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</si>
  <si>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</si>
  <si>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</si>
  <si>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</si>
  <si>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</si>
  <si>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</si>
  <si>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</si>
  <si>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</si>
  <si>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</si>
  <si>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</si>
  <si>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</si>
  <si>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</si>
  <si>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</si>
  <si>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</si>
  <si>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</si>
  <si>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</si>
  <si>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</si>
  <si>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</si>
  <si>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</si>
  <si>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</si>
  <si>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</si>
  <si>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</si>
  <si>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</si>
  <si>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</si>
  <si>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</si>
  <si>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</si>
  <si>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</si>
  <si>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</si>
  <si>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</si>
  <si>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</si>
  <si>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</si>
  <si>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</si>
  <si>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</si>
  <si>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</si>
  <si>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</si>
  <si>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</si>
  <si>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</si>
  <si>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</si>
  <si>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</si>
  <si>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</si>
  <si>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</si>
  <si>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</si>
  <si>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</si>
  <si>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</si>
  <si>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</si>
  <si>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</si>
  <si>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</si>
  <si>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</si>
  <si>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</si>
  <si>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</si>
  <si>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</si>
  <si>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</si>
  <si>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</si>
  <si>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</si>
  <si>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</si>
  <si>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</si>
  <si>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</si>
  <si>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</si>
  <si>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</si>
  <si>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</si>
  <si>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</si>
  <si>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</si>
  <si>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</si>
  <si>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</si>
  <si>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</si>
  <si>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</si>
  <si>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</si>
  <si>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</si>
  <si>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</si>
  <si>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</si>
  <si>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</si>
  <si>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</si>
  <si>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</si>
  <si>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</si>
  <si>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</si>
  <si>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</si>
  <si>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</si>
  <si>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</si>
  <si>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</si>
  <si>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</si>
  <si>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</si>
  <si>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</si>
  <si>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</si>
  <si>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</si>
  <si>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</si>
  <si>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</si>
  <si>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</si>
  <si>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</si>
  <si>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</si>
  <si>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</si>
  <si>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</si>
  <si>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</si>
  <si>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</si>
  <si>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</si>
  <si>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</si>
  <si>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</si>
  <si>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</si>
  <si>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</si>
  <si>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</si>
  <si>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</si>
  <si>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</si>
  <si>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</si>
  <si>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</si>
  <si>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</si>
  <si>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</si>
  <si>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</si>
  <si>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</si>
  <si>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</si>
  <si>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</si>
  <si>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</si>
  <si>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</si>
  <si>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</si>
  <si>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</si>
  <si>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</si>
  <si>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</si>
  <si>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</si>
  <si>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</si>
  <si>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</si>
  <si>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</si>
  <si>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</si>
  <si>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</si>
  <si>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</si>
  <si>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</si>
  <si>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</si>
  <si>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</si>
  <si>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</si>
  <si>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</si>
  <si>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</si>
  <si>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</si>
  <si>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</si>
  <si>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</si>
  <si>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</si>
  <si>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</si>
  <si>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</si>
  <si>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</si>
  <si>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</si>
  <si>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</si>
  <si>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</si>
  <si>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</si>
  <si>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</si>
  <si>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</si>
  <si>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</si>
  <si>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</si>
  <si>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</si>
  <si>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</si>
  <si>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</si>
  <si>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</si>
  <si>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</si>
  <si>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</si>
  <si>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</si>
  <si>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</si>
  <si>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</si>
  <si>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</si>
  <si>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</si>
  <si>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</si>
  <si>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</si>
  <si>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</si>
  <si>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</si>
  <si>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</si>
  <si>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</si>
  <si>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</si>
  <si>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</si>
  <si>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</si>
  <si>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</si>
  <si>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</si>
  <si>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</si>
  <si>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</si>
  <si>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</si>
  <si>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</si>
  <si>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</si>
  <si>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</si>
  <si>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</si>
  <si>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</si>
  <si>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</si>
  <si>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</si>
  <si>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</si>
  <si>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</si>
  <si>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</si>
  <si>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</si>
  <si>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</si>
  <si>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</si>
  <si>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</si>
  <si>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</si>
  <si>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</si>
  <si>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</si>
  <si>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</si>
  <si>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</si>
  <si>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</si>
  <si>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</si>
  <si>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</si>
  <si>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</si>
  <si>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</si>
  <si>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</si>
  <si>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</si>
  <si>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</si>
  <si>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</si>
  <si>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</si>
  <si>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</si>
  <si>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</si>
  <si>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</si>
  <si>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</si>
  <si>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</si>
  <si>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</si>
  <si>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</si>
  <si>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</si>
  <si>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</si>
  <si>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</si>
  <si>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</si>
  <si>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</si>
  <si>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</si>
  <si>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</si>
  <si>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</si>
  <si>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</si>
  <si>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</si>
  <si>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</si>
  <si>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</si>
  <si>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</si>
  <si>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</si>
  <si>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</si>
  <si>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</si>
  <si>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</si>
  <si>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</si>
  <si>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</si>
  <si>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</si>
  <si>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</si>
  <si>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</si>
  <si>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</si>
  <si>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</si>
  <si>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</si>
  <si>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</si>
  <si>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</si>
  <si>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</si>
  <si>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</si>
  <si>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</si>
  <si>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</si>
  <si>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</si>
  <si>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</si>
  <si>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</si>
  <si>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</si>
  <si>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</si>
  <si>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</si>
  <si>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</si>
  <si>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</si>
  <si>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</si>
  <si>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</si>
  <si>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</si>
  <si>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</si>
  <si>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</si>
  <si>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</si>
  <si>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</si>
  <si>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</si>
  <si>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</si>
  <si>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</si>
  <si>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</si>
  <si>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</si>
  <si>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</si>
  <si>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</si>
  <si>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</si>
  <si>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</si>
  <si>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</si>
  <si>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</si>
  <si>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</si>
  <si>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</si>
  <si>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</si>
  <si>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</si>
  <si>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</si>
  <si>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</si>
  <si>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</si>
  <si>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</si>
  <si>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</si>
  <si>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</si>
  <si>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</si>
  <si>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</si>
  <si>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</si>
  <si>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</si>
  <si>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</si>
  <si>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</si>
  <si>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</si>
  <si>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</si>
  <si>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</si>
  <si>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</si>
  <si>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</si>
  <si>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</si>
  <si>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</si>
  <si>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</si>
  <si>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</si>
  <si>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</si>
  <si>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</si>
  <si>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</si>
  <si>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</si>
  <si>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</si>
  <si>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</si>
  <si>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</si>
  <si>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</si>
  <si>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</si>
  <si>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</si>
  <si>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</si>
  <si>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</si>
  <si>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</si>
  <si>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</si>
  <si>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</si>
  <si>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</si>
  <si>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</si>
  <si>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</si>
  <si>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</si>
  <si>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</si>
  <si>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</si>
  <si>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</si>
  <si>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</si>
  <si>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</si>
  <si>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</si>
  <si>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</si>
  <si>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</si>
  <si>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</si>
  <si>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</si>
  <si>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</si>
  <si>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</si>
  <si>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</si>
  <si>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</si>
  <si>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</si>
  <si>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</si>
  <si>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</si>
  <si>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</si>
  <si>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</si>
  <si>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</si>
  <si>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</si>
  <si>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</si>
  <si>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</si>
  <si>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</si>
  <si>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</si>
  <si>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</si>
  <si>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</si>
  <si>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</si>
  <si>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</si>
  <si>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</si>
  <si>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</si>
  <si>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</si>
  <si>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</si>
  <si>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</si>
  <si>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</si>
  <si>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</si>
  <si>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</si>
  <si>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</si>
  <si>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</si>
  <si>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</si>
  <si>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</si>
  <si>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</si>
  <si>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</si>
  <si>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</si>
  <si>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</si>
  <si>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</si>
  <si>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</si>
  <si>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</si>
  <si>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</si>
  <si>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</si>
  <si>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</si>
  <si>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</si>
  <si>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</si>
  <si>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</si>
  <si>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</si>
  <si>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</si>
  <si>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</si>
  <si>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</si>
  <si>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</si>
  <si>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</si>
  <si>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</si>
  <si>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</si>
  <si>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</si>
  <si>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</si>
  <si>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</si>
  <si>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</si>
  <si>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</si>
  <si>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</si>
  <si>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</si>
  <si>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</si>
  <si>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</si>
  <si>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</si>
  <si>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</si>
  <si>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</si>
  <si>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</si>
  <si>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</si>
  <si>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</si>
  <si>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</si>
  <si>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</si>
  <si>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</si>
  <si>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</si>
  <si>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</si>
  <si>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</si>
  <si>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</si>
  <si>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</si>
  <si>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</si>
  <si>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</si>
  <si>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</si>
  <si>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</si>
  <si>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</si>
  <si>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</si>
  <si>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</si>
  <si>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</si>
  <si>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</si>
  <si>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</si>
  <si>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</si>
  <si>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</si>
  <si>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</si>
  <si>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</si>
  <si>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</si>
  <si>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</si>
  <si>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</si>
  <si>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</si>
  <si>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</si>
  <si>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</si>
  <si>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</si>
  <si>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</si>
  <si>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</si>
  <si>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</si>
  <si>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</si>
  <si>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</si>
  <si>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</si>
  <si>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</si>
  <si>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</si>
  <si>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</si>
  <si>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</si>
  <si>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</si>
  <si>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</si>
  <si>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</si>
  <si>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</si>
  <si>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</si>
  <si>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</si>
  <si>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</si>
  <si>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</si>
  <si>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</si>
  <si>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</si>
  <si>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</si>
  <si>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</si>
  <si>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</si>
  <si>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</si>
  <si>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</si>
  <si>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</si>
  <si>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</si>
  <si>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</si>
  <si>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</si>
  <si>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</si>
  <si>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</si>
  <si>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</si>
  <si>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</si>
  <si>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</si>
  <si>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</si>
  <si>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</si>
  <si>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</si>
  <si>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</si>
  <si>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</si>
  <si>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</si>
  <si>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</si>
  <si>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</si>
  <si>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</si>
  <si>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</si>
  <si>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</si>
  <si>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</si>
  <si>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</si>
  <si>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</si>
  <si>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</si>
  <si>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</si>
  <si>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</si>
  <si>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</si>
  <si>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</si>
  <si>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</si>
  <si>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</si>
  <si>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</si>
  <si>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</si>
  <si>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</si>
  <si>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</si>
  <si>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</si>
  <si>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</si>
  <si>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</si>
  <si>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</si>
  <si>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</si>
  <si>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</si>
  <si>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</si>
  <si>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</si>
  <si>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</si>
  <si>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</si>
  <si>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</si>
  <si>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</si>
  <si>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</si>
  <si>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</si>
  <si>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</si>
  <si>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</si>
  <si>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</si>
  <si>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</si>
  <si>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</si>
  <si>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</si>
  <si>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</si>
  <si>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</si>
  <si>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</si>
  <si>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</si>
  <si>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</si>
  <si>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</si>
  <si>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</si>
  <si>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</si>
  <si>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</si>
  <si>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</si>
  <si>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</si>
  <si>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</si>
  <si>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</si>
  <si>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</si>
  <si>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</si>
  <si>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</si>
  <si>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</si>
  <si>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</si>
  <si>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</si>
  <si>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</si>
  <si>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</si>
  <si>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</si>
  <si>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</si>
  <si>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</si>
  <si>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</si>
  <si>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</si>
  <si>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</si>
  <si>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</si>
  <si>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</si>
  <si>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</si>
  <si>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</si>
  <si>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</si>
  <si>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</si>
  <si>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</si>
  <si>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</si>
  <si>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</si>
  <si>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</si>
  <si>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</si>
  <si>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</si>
  <si>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</si>
  <si>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</si>
  <si>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</si>
  <si>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</si>
  <si>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</si>
  <si>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</si>
  <si>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</si>
  <si>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</si>
  <si>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</si>
  <si>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</si>
  <si>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</si>
  <si>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</si>
  <si>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</si>
  <si>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</si>
  <si>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</si>
  <si>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</si>
  <si>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</si>
  <si>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</si>
  <si>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</si>
  <si>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</si>
  <si>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</si>
  <si>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</si>
  <si>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</si>
  <si>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</si>
  <si>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</si>
  <si>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</si>
  <si>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</si>
  <si>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</si>
  <si>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</si>
  <si>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</si>
  <si>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</si>
  <si>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</si>
  <si>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</si>
  <si>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</si>
  <si>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</si>
  <si>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</si>
  <si>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</si>
  <si>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</si>
  <si>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</si>
  <si>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</si>
  <si>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</si>
  <si>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</si>
  <si>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</si>
  <si>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</si>
  <si>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</si>
  <si>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</si>
  <si>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</si>
  <si>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</si>
  <si>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</si>
  <si>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</si>
  <si>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</si>
  <si>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</si>
  <si>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</si>
  <si>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</si>
  <si>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</si>
  <si>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</si>
  <si>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</si>
  <si>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</si>
  <si>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</si>
  <si>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</si>
  <si>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</si>
  <si>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</si>
  <si>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</si>
  <si>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</si>
  <si>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</si>
  <si>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</si>
  <si>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</si>
  <si>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</si>
  <si>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</si>
  <si>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</si>
  <si>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</si>
  <si>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</si>
  <si>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</si>
  <si>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38025</t>
  </si>
  <si>
    <t>VEURNE</t>
  </si>
  <si>
    <t>referentietaak LNE (2017); Jaarverslag De Lijn</t>
  </si>
  <si>
    <t>waterkracht</t>
  </si>
  <si>
    <t>AZ Sint-Augustinus Veurne</t>
  </si>
  <si>
    <t>Ieperse Steenweg 100 , 8630 Veurne</t>
  </si>
  <si>
    <t>WKK-0251 AZ Sint-Augustinus Veurne</t>
  </si>
  <si>
    <t>interne verbrandingsmotor</t>
  </si>
  <si>
    <t>WKK interne verbrandinsgmotor (gas)</t>
  </si>
  <si>
    <t>GASELWEST</t>
  </si>
  <si>
    <t>Biolectric nv</t>
  </si>
  <si>
    <t>Jan de Malschelaan 4 B, 9140 Temse</t>
  </si>
  <si>
    <t>WKK-0454 Pieter De Zeure</t>
  </si>
  <si>
    <t>Zwart-Paardstraat 2 , 8630 Veurne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</si>
</sst>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92365.357786996858</c:v>
                </c:pt>
                <c:pt idx="1">
                  <c:v>62474.97600113065</c:v>
                </c:pt>
                <c:pt idx="2">
                  <c:v>916.62599999999998</c:v>
                </c:pt>
                <c:pt idx="3">
                  <c:v>20906.21789235856</c:v>
                </c:pt>
                <c:pt idx="4">
                  <c:v>234298.71209417077</c:v>
                </c:pt>
                <c:pt idx="5">
                  <c:v>194593.46822720626</c:v>
                </c:pt>
                <c:pt idx="6">
                  <c:v>1133.7406057825935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92365.357786996858</c:v>
                </c:pt>
                <c:pt idx="1">
                  <c:v>62474.97600113065</c:v>
                </c:pt>
                <c:pt idx="2">
                  <c:v>916.62599999999998</c:v>
                </c:pt>
                <c:pt idx="3">
                  <c:v>20906.21789235856</c:v>
                </c:pt>
                <c:pt idx="4">
                  <c:v>234298.71209417077</c:v>
                </c:pt>
                <c:pt idx="5">
                  <c:v>194593.46822720626</c:v>
                </c:pt>
                <c:pt idx="6">
                  <c:v>1133.7406057825935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18329.546547747097</c:v>
                </c:pt>
                <c:pt idx="1">
                  <c:v>12541.432494565557</c:v>
                </c:pt>
                <c:pt idx="2">
                  <c:v>179.47236603000994</c:v>
                </c:pt>
                <c:pt idx="3">
                  <c:v>5338.9152957139513</c:v>
                </c:pt>
                <c:pt idx="4">
                  <c:v>46992.997002054333</c:v>
                </c:pt>
                <c:pt idx="5">
                  <c:v>48645.810321041703</c:v>
                </c:pt>
                <c:pt idx="6">
                  <c:v>286.01809632925136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18329.546547747097</c:v>
                </c:pt>
                <c:pt idx="1">
                  <c:v>12541.432494565557</c:v>
                </c:pt>
                <c:pt idx="2">
                  <c:v>179.47236603000994</c:v>
                </c:pt>
                <c:pt idx="3">
                  <c:v>5338.9152957139513</c:v>
                </c:pt>
                <c:pt idx="4">
                  <c:v>46992.997002054333</c:v>
                </c:pt>
                <c:pt idx="5">
                  <c:v>48645.810321041703</c:v>
                </c:pt>
                <c:pt idx="6">
                  <c:v>286.01809632925136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38025</v>
      </c>
      <c r="B6" s="386"/>
      <c r="C6" s="387"/>
    </row>
    <row r="7" spans="1:7" s="384" customFormat="1" ht="15.75" customHeight="1">
      <c r="A7" s="388" t="str">
        <f>txtMunicipality</f>
        <v>VEURNE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30270.167578326811</v>
      </c>
      <c r="D10" s="682">
        <f ca="1">tertiair!C16</f>
        <v>1870.7142857142858</v>
      </c>
      <c r="E10" s="682">
        <f ca="1">tertiair!D16</f>
        <v>26217.805480391886</v>
      </c>
      <c r="F10" s="682">
        <f>tertiair!E16</f>
        <v>73.961081979632439</v>
      </c>
      <c r="G10" s="682">
        <f ca="1">tertiair!F16</f>
        <v>3936.6385289590094</v>
      </c>
      <c r="H10" s="682">
        <f>tertiair!G16</f>
        <v>0</v>
      </c>
      <c r="I10" s="682">
        <f>tertiair!H16</f>
        <v>0</v>
      </c>
      <c r="J10" s="682">
        <f>tertiair!I16</f>
        <v>0</v>
      </c>
      <c r="K10" s="682">
        <f>tertiair!J16</f>
        <v>2.2961889231781323E-2</v>
      </c>
      <c r="L10" s="682">
        <f>tertiair!K16</f>
        <v>0</v>
      </c>
      <c r="M10" s="682">
        <f ca="1">tertiair!L16</f>
        <v>0</v>
      </c>
      <c r="N10" s="682">
        <f>tertiair!M16</f>
        <v>0</v>
      </c>
      <c r="O10" s="682">
        <f ca="1">tertiair!N16</f>
        <v>882.93298189591428</v>
      </c>
      <c r="P10" s="682">
        <f>tertiair!O16</f>
        <v>34.280825360888088</v>
      </c>
      <c r="Q10" s="683">
        <f>tertiair!P16</f>
        <v>105.07827661299004</v>
      </c>
      <c r="R10" s="685">
        <f ca="1">SUM(C10:Q10)</f>
        <v>63391.602001130654</v>
      </c>
      <c r="S10" s="67"/>
    </row>
    <row r="11" spans="1:19" s="445" customFormat="1">
      <c r="A11" s="803" t="s">
        <v>220</v>
      </c>
      <c r="B11" s="808"/>
      <c r="C11" s="682">
        <f>huishoudens!B8</f>
        <v>19000.156043222298</v>
      </c>
      <c r="D11" s="682">
        <f>huishoudens!C8</f>
        <v>0</v>
      </c>
      <c r="E11" s="682">
        <f>huishoudens!D8</f>
        <v>44972.52515702122</v>
      </c>
      <c r="F11" s="682">
        <f>huishoudens!E8</f>
        <v>872.56386444625048</v>
      </c>
      <c r="G11" s="682">
        <f>huishoudens!F8</f>
        <v>19819.311437774937</v>
      </c>
      <c r="H11" s="682">
        <f>huishoudens!G8</f>
        <v>0</v>
      </c>
      <c r="I11" s="682">
        <f>huishoudens!H8</f>
        <v>0</v>
      </c>
      <c r="J11" s="682">
        <f>huishoudens!I8</f>
        <v>0</v>
      </c>
      <c r="K11" s="682">
        <f>huishoudens!J8</f>
        <v>99.152671221422651</v>
      </c>
      <c r="L11" s="682">
        <f>huishoudens!K8</f>
        <v>0</v>
      </c>
      <c r="M11" s="682">
        <f>huishoudens!L8</f>
        <v>0</v>
      </c>
      <c r="N11" s="682">
        <f>huishoudens!M8</f>
        <v>0</v>
      </c>
      <c r="O11" s="682">
        <f>huishoudens!N8</f>
        <v>6810.5667442616459</v>
      </c>
      <c r="P11" s="682">
        <f>huishoudens!O8</f>
        <v>527.73288635695042</v>
      </c>
      <c r="Q11" s="683">
        <f>huishoudens!P8</f>
        <v>263.34898269212556</v>
      </c>
      <c r="R11" s="685">
        <f>SUM(C11:Q11)</f>
        <v>92365.357786996858</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56006.247118518557</v>
      </c>
      <c r="D13" s="682">
        <f>industrie!C18</f>
        <v>0</v>
      </c>
      <c r="E13" s="682">
        <f>industrie!D18</f>
        <v>170391.21677674275</v>
      </c>
      <c r="F13" s="682">
        <f>industrie!E18</f>
        <v>147.51053202394093</v>
      </c>
      <c r="G13" s="682">
        <f>industrie!F18</f>
        <v>5890.9080353556637</v>
      </c>
      <c r="H13" s="682">
        <f>industrie!G18</f>
        <v>0</v>
      </c>
      <c r="I13" s="682">
        <f>industrie!H18</f>
        <v>0</v>
      </c>
      <c r="J13" s="682">
        <f>industrie!I18</f>
        <v>0</v>
      </c>
      <c r="K13" s="682">
        <f>industrie!J18</f>
        <v>5.0121013834504877</v>
      </c>
      <c r="L13" s="682">
        <f>industrie!K18</f>
        <v>0</v>
      </c>
      <c r="M13" s="682">
        <f>industrie!L18</f>
        <v>0</v>
      </c>
      <c r="N13" s="682">
        <f>industrie!M18</f>
        <v>0</v>
      </c>
      <c r="O13" s="682">
        <f>industrie!N18</f>
        <v>1857.8175301464607</v>
      </c>
      <c r="P13" s="682">
        <f>industrie!O18</f>
        <v>0</v>
      </c>
      <c r="Q13" s="683">
        <f>industrie!P18</f>
        <v>0</v>
      </c>
      <c r="R13" s="685">
        <f>SUM(C13:Q13)</f>
        <v>234298.71209417077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105276.57074006766</v>
      </c>
      <c r="D16" s="718">
        <f t="shared" ref="D16:R16" ca="1" si="0">SUM(D9:D15)</f>
        <v>1870.7142857142858</v>
      </c>
      <c r="E16" s="718">
        <f t="shared" ca="1" si="0"/>
        <v>241581.54741415585</v>
      </c>
      <c r="F16" s="718">
        <f t="shared" si="0"/>
        <v>1094.0354784498238</v>
      </c>
      <c r="G16" s="718">
        <f t="shared" ca="1" si="0"/>
        <v>29646.858002089612</v>
      </c>
      <c r="H16" s="718">
        <f t="shared" si="0"/>
        <v>0</v>
      </c>
      <c r="I16" s="718">
        <f t="shared" si="0"/>
        <v>0</v>
      </c>
      <c r="J16" s="718">
        <f t="shared" si="0"/>
        <v>0</v>
      </c>
      <c r="K16" s="718">
        <f t="shared" si="0"/>
        <v>104.18773449410492</v>
      </c>
      <c r="L16" s="718">
        <f t="shared" si="0"/>
        <v>0</v>
      </c>
      <c r="M16" s="718">
        <f t="shared" ca="1" si="0"/>
        <v>0</v>
      </c>
      <c r="N16" s="718">
        <f t="shared" si="0"/>
        <v>0</v>
      </c>
      <c r="O16" s="718">
        <f t="shared" ca="1" si="0"/>
        <v>9551.3172563040207</v>
      </c>
      <c r="P16" s="718">
        <f t="shared" si="0"/>
        <v>562.01371171783853</v>
      </c>
      <c r="Q16" s="718">
        <f t="shared" si="0"/>
        <v>368.42725930511563</v>
      </c>
      <c r="R16" s="718">
        <f t="shared" ca="1" si="0"/>
        <v>390055.67188229831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14.855169472856232</v>
      </c>
      <c r="D19" s="682">
        <f>transport!C54</f>
        <v>0</v>
      </c>
      <c r="E19" s="682">
        <f>transport!D54</f>
        <v>0</v>
      </c>
      <c r="F19" s="682">
        <f>transport!E54</f>
        <v>0</v>
      </c>
      <c r="G19" s="682">
        <f>transport!F54</f>
        <v>0</v>
      </c>
      <c r="H19" s="682">
        <f>transport!G54</f>
        <v>1060.3352166398706</v>
      </c>
      <c r="I19" s="682">
        <f>transport!H54</f>
        <v>0</v>
      </c>
      <c r="J19" s="682">
        <f>transport!I54</f>
        <v>0</v>
      </c>
      <c r="K19" s="682">
        <f>transport!J54</f>
        <v>0</v>
      </c>
      <c r="L19" s="682">
        <f>transport!K54</f>
        <v>0</v>
      </c>
      <c r="M19" s="682">
        <f>transport!L54</f>
        <v>0</v>
      </c>
      <c r="N19" s="682">
        <f>transport!M54</f>
        <v>58.550219669866607</v>
      </c>
      <c r="O19" s="682">
        <f>transport!N54</f>
        <v>0</v>
      </c>
      <c r="P19" s="682">
        <f>transport!O54</f>
        <v>0</v>
      </c>
      <c r="Q19" s="683">
        <f>transport!P54</f>
        <v>0</v>
      </c>
      <c r="R19" s="685">
        <f>SUM(C19:Q19)</f>
        <v>1133.7406057825935</v>
      </c>
      <c r="S19" s="67"/>
    </row>
    <row r="20" spans="1:19" s="445" customFormat="1">
      <c r="A20" s="803" t="s">
        <v>302</v>
      </c>
      <c r="B20" s="808"/>
      <c r="C20" s="682">
        <f>transport!B14</f>
        <v>234.06018902526517</v>
      </c>
      <c r="D20" s="682">
        <f>transport!C14</f>
        <v>0</v>
      </c>
      <c r="E20" s="682">
        <f>transport!D14</f>
        <v>379.75903530544196</v>
      </c>
      <c r="F20" s="682">
        <f>transport!E14</f>
        <v>229.22147935138145</v>
      </c>
      <c r="G20" s="682">
        <f>transport!F14</f>
        <v>0</v>
      </c>
      <c r="H20" s="682">
        <f>transport!G14</f>
        <v>159566.373885298</v>
      </c>
      <c r="I20" s="682">
        <f>transport!H14</f>
        <v>23562.311947705595</v>
      </c>
      <c r="J20" s="682">
        <f>transport!I14</f>
        <v>0</v>
      </c>
      <c r="K20" s="682">
        <f>transport!J14</f>
        <v>0</v>
      </c>
      <c r="L20" s="682">
        <f>transport!K14</f>
        <v>0</v>
      </c>
      <c r="M20" s="682">
        <f>transport!L14</f>
        <v>0</v>
      </c>
      <c r="N20" s="682">
        <f>transport!M14</f>
        <v>10621.741690520585</v>
      </c>
      <c r="O20" s="682">
        <f>transport!N14</f>
        <v>0</v>
      </c>
      <c r="P20" s="682">
        <f>transport!O14</f>
        <v>0</v>
      </c>
      <c r="Q20" s="683">
        <f>transport!P14</f>
        <v>0</v>
      </c>
      <c r="R20" s="685">
        <f>SUM(C20:Q20)</f>
        <v>194593.46822720626</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248.91535849812141</v>
      </c>
      <c r="D22" s="806">
        <f t="shared" ref="D22:R22" si="1">SUM(D18:D21)</f>
        <v>0</v>
      </c>
      <c r="E22" s="806">
        <f t="shared" si="1"/>
        <v>379.75903530544196</v>
      </c>
      <c r="F22" s="806">
        <f t="shared" si="1"/>
        <v>229.22147935138145</v>
      </c>
      <c r="G22" s="806">
        <f t="shared" si="1"/>
        <v>0</v>
      </c>
      <c r="H22" s="806">
        <f t="shared" si="1"/>
        <v>160626.70910193789</v>
      </c>
      <c r="I22" s="806">
        <f t="shared" si="1"/>
        <v>23562.311947705595</v>
      </c>
      <c r="J22" s="806">
        <f t="shared" si="1"/>
        <v>0</v>
      </c>
      <c r="K22" s="806">
        <f t="shared" si="1"/>
        <v>0</v>
      </c>
      <c r="L22" s="806">
        <f t="shared" si="1"/>
        <v>0</v>
      </c>
      <c r="M22" s="806">
        <f t="shared" si="1"/>
        <v>0</v>
      </c>
      <c r="N22" s="806">
        <f t="shared" si="1"/>
        <v>10680.291910190452</v>
      </c>
      <c r="O22" s="806">
        <f t="shared" si="1"/>
        <v>0</v>
      </c>
      <c r="P22" s="806">
        <f t="shared" si="1"/>
        <v>0</v>
      </c>
      <c r="Q22" s="806">
        <f t="shared" si="1"/>
        <v>0</v>
      </c>
      <c r="R22" s="806">
        <f t="shared" si="1"/>
        <v>195727.20883298886</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4537.8687527476595</v>
      </c>
      <c r="D24" s="682">
        <f>+landbouw!C8</f>
        <v>62.357142857142847</v>
      </c>
      <c r="E24" s="682">
        <f>+landbouw!D8</f>
        <v>222.94830455791143</v>
      </c>
      <c r="F24" s="682">
        <f>+landbouw!E8</f>
        <v>169.23100614030926</v>
      </c>
      <c r="G24" s="682">
        <f>+landbouw!F8</f>
        <v>14722.599735422658</v>
      </c>
      <c r="H24" s="682">
        <f>+landbouw!G8</f>
        <v>0</v>
      </c>
      <c r="I24" s="682">
        <f>+landbouw!H8</f>
        <v>0</v>
      </c>
      <c r="J24" s="682">
        <f>+landbouw!I8</f>
        <v>0</v>
      </c>
      <c r="K24" s="682">
        <f>+landbouw!J8</f>
        <v>1191.2129506328774</v>
      </c>
      <c r="L24" s="682">
        <f>+landbouw!K8</f>
        <v>0</v>
      </c>
      <c r="M24" s="682">
        <f>+landbouw!L8</f>
        <v>0</v>
      </c>
      <c r="N24" s="682">
        <f>+landbouw!M8</f>
        <v>0</v>
      </c>
      <c r="O24" s="682">
        <f>+landbouw!N8</f>
        <v>0</v>
      </c>
      <c r="P24" s="682">
        <f>+landbouw!O8</f>
        <v>0</v>
      </c>
      <c r="Q24" s="683">
        <f>+landbouw!P8</f>
        <v>0</v>
      </c>
      <c r="R24" s="685">
        <f>SUM(C24:Q24)</f>
        <v>20906.21789235856</v>
      </c>
      <c r="S24" s="67"/>
    </row>
    <row r="25" spans="1:19" s="445" customFormat="1" ht="15" thickBot="1">
      <c r="A25" s="825" t="s">
        <v>703</v>
      </c>
      <c r="B25" s="938"/>
      <c r="C25" s="939">
        <f>IF(Onbekend_ele_kWh="---",0,Onbekend_ele_kWh)/1000+IF(REST_rest_ele_kWh="---",0,REST_rest_ele_kWh)/1000</f>
        <v>743.816946887119</v>
      </c>
      <c r="D25" s="939"/>
      <c r="E25" s="939">
        <f>IF(onbekend_gas_kWh="---",0,onbekend_gas_kWh)/1000+IF(REST_rest_gas_kWh="---",0,REST_rest_gas_kWh)/1000</f>
        <v>1902.89977504732</v>
      </c>
      <c r="F25" s="939"/>
      <c r="G25" s="939"/>
      <c r="H25" s="939"/>
      <c r="I25" s="939"/>
      <c r="J25" s="939"/>
      <c r="K25" s="939"/>
      <c r="L25" s="939"/>
      <c r="M25" s="939"/>
      <c r="N25" s="939"/>
      <c r="O25" s="939"/>
      <c r="P25" s="939"/>
      <c r="Q25" s="940"/>
      <c r="R25" s="685">
        <f>SUM(C25:Q25)</f>
        <v>2646.7167219344392</v>
      </c>
      <c r="S25" s="67"/>
    </row>
    <row r="26" spans="1:19" s="445" customFormat="1" ht="15.75" thickBot="1">
      <c r="A26" s="690" t="s">
        <v>704</v>
      </c>
      <c r="B26" s="811"/>
      <c r="C26" s="806">
        <f>SUM(C24:C25)</f>
        <v>5281.6856996347788</v>
      </c>
      <c r="D26" s="806">
        <f t="shared" ref="D26:R26" si="2">SUM(D24:D25)</f>
        <v>62.357142857142847</v>
      </c>
      <c r="E26" s="806">
        <f t="shared" si="2"/>
        <v>2125.8480796052313</v>
      </c>
      <c r="F26" s="806">
        <f t="shared" si="2"/>
        <v>169.23100614030926</v>
      </c>
      <c r="G26" s="806">
        <f t="shared" si="2"/>
        <v>14722.599735422658</v>
      </c>
      <c r="H26" s="806">
        <f t="shared" si="2"/>
        <v>0</v>
      </c>
      <c r="I26" s="806">
        <f t="shared" si="2"/>
        <v>0</v>
      </c>
      <c r="J26" s="806">
        <f t="shared" si="2"/>
        <v>0</v>
      </c>
      <c r="K26" s="806">
        <f t="shared" si="2"/>
        <v>1191.2129506328774</v>
      </c>
      <c r="L26" s="806">
        <f t="shared" si="2"/>
        <v>0</v>
      </c>
      <c r="M26" s="806">
        <f t="shared" si="2"/>
        <v>0</v>
      </c>
      <c r="N26" s="806">
        <f t="shared" si="2"/>
        <v>0</v>
      </c>
      <c r="O26" s="806">
        <f t="shared" si="2"/>
        <v>0</v>
      </c>
      <c r="P26" s="806">
        <f t="shared" si="2"/>
        <v>0</v>
      </c>
      <c r="Q26" s="806">
        <f t="shared" si="2"/>
        <v>0</v>
      </c>
      <c r="R26" s="806">
        <f t="shared" si="2"/>
        <v>23552.934614293001</v>
      </c>
      <c r="S26" s="67"/>
    </row>
    <row r="27" spans="1:19" s="445" customFormat="1" ht="17.25" thickTop="1" thickBot="1">
      <c r="A27" s="691" t="s">
        <v>115</v>
      </c>
      <c r="B27" s="798"/>
      <c r="C27" s="692">
        <f ca="1">C22+C16+C26</f>
        <v>110807.17179820056</v>
      </c>
      <c r="D27" s="692">
        <f t="shared" ref="D27:R27" ca="1" si="3">D22+D16+D26</f>
        <v>1933.0714285714287</v>
      </c>
      <c r="E27" s="692">
        <f t="shared" ca="1" si="3"/>
        <v>244087.15452906652</v>
      </c>
      <c r="F27" s="692">
        <f t="shared" si="3"/>
        <v>1492.4879639415146</v>
      </c>
      <c r="G27" s="692">
        <f t="shared" ca="1" si="3"/>
        <v>44369.457737512268</v>
      </c>
      <c r="H27" s="692">
        <f t="shared" si="3"/>
        <v>160626.70910193789</v>
      </c>
      <c r="I27" s="692">
        <f t="shared" si="3"/>
        <v>23562.311947705595</v>
      </c>
      <c r="J27" s="692">
        <f t="shared" si="3"/>
        <v>0</v>
      </c>
      <c r="K27" s="692">
        <f t="shared" si="3"/>
        <v>1295.4006851269824</v>
      </c>
      <c r="L27" s="692">
        <f t="shared" si="3"/>
        <v>0</v>
      </c>
      <c r="M27" s="692">
        <f t="shared" ca="1" si="3"/>
        <v>0</v>
      </c>
      <c r="N27" s="692">
        <f t="shared" si="3"/>
        <v>10680.291910190452</v>
      </c>
      <c r="O27" s="692">
        <f t="shared" ca="1" si="3"/>
        <v>9551.3172563040207</v>
      </c>
      <c r="P27" s="692">
        <f t="shared" si="3"/>
        <v>562.01371171783853</v>
      </c>
      <c r="Q27" s="692">
        <f t="shared" si="3"/>
        <v>368.42725930511563</v>
      </c>
      <c r="R27" s="692">
        <f t="shared" ca="1" si="3"/>
        <v>609335.81532958022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5926.7995839166779</v>
      </c>
      <c r="D40" s="682">
        <f ca="1">tertiair!C20</f>
        <v>430.22878828950934</v>
      </c>
      <c r="E40" s="682">
        <f ca="1">tertiair!D20</f>
        <v>5295.9967070391613</v>
      </c>
      <c r="F40" s="682">
        <f>tertiair!E20</f>
        <v>16.789165609376564</v>
      </c>
      <c r="G40" s="682">
        <f ca="1">tertiair!F20</f>
        <v>1051.0824872320557</v>
      </c>
      <c r="H40" s="682">
        <f>tertiair!G20</f>
        <v>0</v>
      </c>
      <c r="I40" s="682">
        <f>tertiair!H20</f>
        <v>0</v>
      </c>
      <c r="J40" s="682">
        <f>tertiair!I20</f>
        <v>0</v>
      </c>
      <c r="K40" s="682">
        <f>tertiair!J20</f>
        <v>8.1285087880505879E-3</v>
      </c>
      <c r="L40" s="682">
        <f>tertiair!K20</f>
        <v>0</v>
      </c>
      <c r="M40" s="682">
        <f ca="1">tertiair!L20</f>
        <v>0</v>
      </c>
      <c r="N40" s="682">
        <f>tertiair!M20</f>
        <v>0</v>
      </c>
      <c r="O40" s="682">
        <f ca="1">tertiair!N20</f>
        <v>0</v>
      </c>
      <c r="P40" s="682">
        <f>tertiair!O20</f>
        <v>0</v>
      </c>
      <c r="Q40" s="765">
        <f>tertiair!P20</f>
        <v>0</v>
      </c>
      <c r="R40" s="844">
        <f t="shared" ca="1" si="4"/>
        <v>12720.904860595567</v>
      </c>
    </row>
    <row r="41" spans="1:18">
      <c r="A41" s="816" t="s">
        <v>220</v>
      </c>
      <c r="B41" s="823"/>
      <c r="C41" s="682">
        <f ca="1">huishoudens!B12</f>
        <v>3720.1682693012172</v>
      </c>
      <c r="D41" s="682">
        <f ca="1">huishoudens!C12</f>
        <v>0</v>
      </c>
      <c r="E41" s="682">
        <f>huishoudens!D12</f>
        <v>9084.450081718287</v>
      </c>
      <c r="F41" s="682">
        <f>huishoudens!E12</f>
        <v>198.07199722929886</v>
      </c>
      <c r="G41" s="682">
        <f>huishoudens!F12</f>
        <v>5291.7561538859081</v>
      </c>
      <c r="H41" s="682">
        <f>huishoudens!G12</f>
        <v>0</v>
      </c>
      <c r="I41" s="682">
        <f>huishoudens!H12</f>
        <v>0</v>
      </c>
      <c r="J41" s="682">
        <f>huishoudens!I12</f>
        <v>0</v>
      </c>
      <c r="K41" s="682">
        <f>huishoudens!J12</f>
        <v>35.100045612383617</v>
      </c>
      <c r="L41" s="682">
        <f>huishoudens!K12</f>
        <v>0</v>
      </c>
      <c r="M41" s="682">
        <f>huishoudens!L12</f>
        <v>0</v>
      </c>
      <c r="N41" s="682">
        <f>huishoudens!M12</f>
        <v>0</v>
      </c>
      <c r="O41" s="682">
        <f>huishoudens!N12</f>
        <v>0</v>
      </c>
      <c r="P41" s="682">
        <f>huishoudens!O12</f>
        <v>0</v>
      </c>
      <c r="Q41" s="765">
        <f>huishoudens!P12</f>
        <v>0</v>
      </c>
      <c r="R41" s="844">
        <f t="shared" ca="1" si="4"/>
        <v>18329.546547747097</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10965.839593053166</v>
      </c>
      <c r="D43" s="682">
        <f ca="1">industrie!C22</f>
        <v>0</v>
      </c>
      <c r="E43" s="682">
        <f>industrie!D22</f>
        <v>34419.025788902036</v>
      </c>
      <c r="F43" s="682">
        <f>industrie!E22</f>
        <v>33.484890769434593</v>
      </c>
      <c r="G43" s="682">
        <f>industrie!F22</f>
        <v>1572.8724454399623</v>
      </c>
      <c r="H43" s="682">
        <f>industrie!G22</f>
        <v>0</v>
      </c>
      <c r="I43" s="682">
        <f>industrie!H22</f>
        <v>0</v>
      </c>
      <c r="J43" s="682">
        <f>industrie!I22</f>
        <v>0</v>
      </c>
      <c r="K43" s="682">
        <f>industrie!J22</f>
        <v>1.7742838897414726</v>
      </c>
      <c r="L43" s="682">
        <f>industrie!K22</f>
        <v>0</v>
      </c>
      <c r="M43" s="682">
        <f>industrie!L22</f>
        <v>0</v>
      </c>
      <c r="N43" s="682">
        <f>industrie!M22</f>
        <v>0</v>
      </c>
      <c r="O43" s="682">
        <f>industrie!N22</f>
        <v>0</v>
      </c>
      <c r="P43" s="682">
        <f>industrie!O22</f>
        <v>0</v>
      </c>
      <c r="Q43" s="765">
        <f>industrie!P22</f>
        <v>0</v>
      </c>
      <c r="R43" s="843">
        <f t="shared" ca="1" si="4"/>
        <v>46992.997002054333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20612.807446271061</v>
      </c>
      <c r="D46" s="718">
        <f t="shared" ref="D46:Q46" ca="1" si="5">SUM(D39:D45)</f>
        <v>430.22878828950934</v>
      </c>
      <c r="E46" s="718">
        <f t="shared" ca="1" si="5"/>
        <v>48799.472577659486</v>
      </c>
      <c r="F46" s="718">
        <f t="shared" si="5"/>
        <v>248.34605360811003</v>
      </c>
      <c r="G46" s="718">
        <f t="shared" ca="1" si="5"/>
        <v>7915.7110865579261</v>
      </c>
      <c r="H46" s="718">
        <f t="shared" si="5"/>
        <v>0</v>
      </c>
      <c r="I46" s="718">
        <f t="shared" si="5"/>
        <v>0</v>
      </c>
      <c r="J46" s="718">
        <f t="shared" si="5"/>
        <v>0</v>
      </c>
      <c r="K46" s="718">
        <f t="shared" si="5"/>
        <v>36.88245801091314</v>
      </c>
      <c r="L46" s="718">
        <f t="shared" si="5"/>
        <v>0</v>
      </c>
      <c r="M46" s="718">
        <f t="shared" ca="1" si="5"/>
        <v>0</v>
      </c>
      <c r="N46" s="718">
        <f t="shared" si="5"/>
        <v>0</v>
      </c>
      <c r="O46" s="718">
        <f t="shared" ca="1" si="5"/>
        <v>0</v>
      </c>
      <c r="P46" s="718">
        <f t="shared" si="5"/>
        <v>0</v>
      </c>
      <c r="Q46" s="718">
        <f t="shared" si="5"/>
        <v>0</v>
      </c>
      <c r="R46" s="718">
        <f ca="1">SUM(R39:R45)</f>
        <v>78043.448410396988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2.9085934864058882</v>
      </c>
      <c r="D49" s="682">
        <f ca="1">transport!C58</f>
        <v>0</v>
      </c>
      <c r="E49" s="682">
        <f>transport!D58</f>
        <v>0</v>
      </c>
      <c r="F49" s="682">
        <f>transport!E58</f>
        <v>0</v>
      </c>
      <c r="G49" s="682">
        <f>transport!F58</f>
        <v>0</v>
      </c>
      <c r="H49" s="682">
        <f>transport!G58</f>
        <v>283.10950284284547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286.01809632925136</v>
      </c>
    </row>
    <row r="50" spans="1:18">
      <c r="A50" s="819" t="s">
        <v>302</v>
      </c>
      <c r="B50" s="829"/>
      <c r="C50" s="688">
        <f ca="1">transport!B18</f>
        <v>45.828217743982506</v>
      </c>
      <c r="D50" s="688">
        <f>transport!C18</f>
        <v>0</v>
      </c>
      <c r="E50" s="688">
        <f>transport!D18</f>
        <v>76.711325131699283</v>
      </c>
      <c r="F50" s="688">
        <f>transport!E18</f>
        <v>52.033275812763591</v>
      </c>
      <c r="G50" s="688">
        <f>transport!F18</f>
        <v>0</v>
      </c>
      <c r="H50" s="688">
        <f>transport!G18</f>
        <v>42604.221827374568</v>
      </c>
      <c r="I50" s="688">
        <f>transport!H18</f>
        <v>5867.0156749786929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48645.810321041703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48.736811230388398</v>
      </c>
      <c r="D52" s="718">
        <f t="shared" ref="D52:Q52" ca="1" si="6">SUM(D48:D51)</f>
        <v>0</v>
      </c>
      <c r="E52" s="718">
        <f t="shared" si="6"/>
        <v>76.711325131699283</v>
      </c>
      <c r="F52" s="718">
        <f t="shared" si="6"/>
        <v>52.033275812763591</v>
      </c>
      <c r="G52" s="718">
        <f t="shared" si="6"/>
        <v>0</v>
      </c>
      <c r="H52" s="718">
        <f t="shared" si="6"/>
        <v>42887.331330217414</v>
      </c>
      <c r="I52" s="718">
        <f t="shared" si="6"/>
        <v>5867.0156749786929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48931.828417370954</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888.49982630786451</v>
      </c>
      <c r="D54" s="688">
        <f ca="1">+landbouw!C12</f>
        <v>14.340959609650309</v>
      </c>
      <c r="E54" s="688">
        <f>+landbouw!D12</f>
        <v>45.035557520698113</v>
      </c>
      <c r="F54" s="688">
        <f>+landbouw!E12</f>
        <v>38.415438393850202</v>
      </c>
      <c r="G54" s="688">
        <f>+landbouw!F12</f>
        <v>3930.93412935785</v>
      </c>
      <c r="H54" s="688">
        <f>+landbouw!G12</f>
        <v>0</v>
      </c>
      <c r="I54" s="688">
        <f>+landbouw!H12</f>
        <v>0</v>
      </c>
      <c r="J54" s="688">
        <f>+landbouw!I12</f>
        <v>0</v>
      </c>
      <c r="K54" s="688">
        <f>+landbouw!J12</f>
        <v>421.68938452403859</v>
      </c>
      <c r="L54" s="688">
        <f>+landbouw!K12</f>
        <v>0</v>
      </c>
      <c r="M54" s="688">
        <f>+landbouw!L12</f>
        <v>0</v>
      </c>
      <c r="N54" s="688">
        <f>+landbouw!M12</f>
        <v>0</v>
      </c>
      <c r="O54" s="688">
        <f>+landbouw!N12</f>
        <v>0</v>
      </c>
      <c r="P54" s="688">
        <f>+landbouw!O12</f>
        <v>0</v>
      </c>
      <c r="Q54" s="689">
        <f>+landbouw!P12</f>
        <v>0</v>
      </c>
      <c r="R54" s="717">
        <f ca="1">SUM(C54:Q54)</f>
        <v>5338.9152957139513</v>
      </c>
    </row>
    <row r="55" spans="1:18" ht="15" thickBot="1">
      <c r="A55" s="819" t="s">
        <v>703</v>
      </c>
      <c r="B55" s="829"/>
      <c r="C55" s="688">
        <f ca="1">C25*'EF ele_warmte'!B12</f>
        <v>145.6369199117737</v>
      </c>
      <c r="D55" s="688"/>
      <c r="E55" s="688">
        <f>E25*EF_CO2_aardgas</f>
        <v>384.38575455955868</v>
      </c>
      <c r="F55" s="688"/>
      <c r="G55" s="688"/>
      <c r="H55" s="688"/>
      <c r="I55" s="688"/>
      <c r="J55" s="688"/>
      <c r="K55" s="688"/>
      <c r="L55" s="688"/>
      <c r="M55" s="688"/>
      <c r="N55" s="688"/>
      <c r="O55" s="688"/>
      <c r="P55" s="688"/>
      <c r="Q55" s="689"/>
      <c r="R55" s="717">
        <f ca="1">SUM(C55:Q55)</f>
        <v>530.02267447133238</v>
      </c>
    </row>
    <row r="56" spans="1:18" ht="15.75" thickBot="1">
      <c r="A56" s="817" t="s">
        <v>704</v>
      </c>
      <c r="B56" s="830"/>
      <c r="C56" s="718">
        <f ca="1">SUM(C54:C55)</f>
        <v>1034.1367462196381</v>
      </c>
      <c r="D56" s="718">
        <f t="shared" ref="D56:Q56" ca="1" si="7">SUM(D54:D55)</f>
        <v>14.340959609650309</v>
      </c>
      <c r="E56" s="718">
        <f t="shared" si="7"/>
        <v>429.42131208025677</v>
      </c>
      <c r="F56" s="718">
        <f t="shared" si="7"/>
        <v>38.415438393850202</v>
      </c>
      <c r="G56" s="718">
        <f t="shared" si="7"/>
        <v>3930.93412935785</v>
      </c>
      <c r="H56" s="718">
        <f t="shared" si="7"/>
        <v>0</v>
      </c>
      <c r="I56" s="718">
        <f t="shared" si="7"/>
        <v>0</v>
      </c>
      <c r="J56" s="718">
        <f t="shared" si="7"/>
        <v>0</v>
      </c>
      <c r="K56" s="718">
        <f t="shared" si="7"/>
        <v>421.68938452403859</v>
      </c>
      <c r="L56" s="718">
        <f t="shared" si="7"/>
        <v>0</v>
      </c>
      <c r="M56" s="718">
        <f t="shared" si="7"/>
        <v>0</v>
      </c>
      <c r="N56" s="718">
        <f t="shared" si="7"/>
        <v>0</v>
      </c>
      <c r="O56" s="718">
        <f t="shared" si="7"/>
        <v>0</v>
      </c>
      <c r="P56" s="718">
        <f t="shared" si="7"/>
        <v>0</v>
      </c>
      <c r="Q56" s="719">
        <f t="shared" si="7"/>
        <v>0</v>
      </c>
      <c r="R56" s="720">
        <f ca="1">SUM(R54:R55)</f>
        <v>5868.937970185284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21695.681003721089</v>
      </c>
      <c r="D61" s="726">
        <f t="shared" ref="D61:Q61" ca="1" si="8">D46+D52+D56</f>
        <v>444.56974789915967</v>
      </c>
      <c r="E61" s="726">
        <f t="shared" ca="1" si="8"/>
        <v>49305.605214871444</v>
      </c>
      <c r="F61" s="726">
        <f t="shared" si="8"/>
        <v>338.7947678147238</v>
      </c>
      <c r="G61" s="726">
        <f t="shared" ca="1" si="8"/>
        <v>11846.645215915776</v>
      </c>
      <c r="H61" s="726">
        <f t="shared" si="8"/>
        <v>42887.331330217414</v>
      </c>
      <c r="I61" s="726">
        <f t="shared" si="8"/>
        <v>5867.0156749786929</v>
      </c>
      <c r="J61" s="726">
        <f t="shared" si="8"/>
        <v>0</v>
      </c>
      <c r="K61" s="726">
        <f t="shared" si="8"/>
        <v>458.57184253495171</v>
      </c>
      <c r="L61" s="726">
        <f t="shared" si="8"/>
        <v>0</v>
      </c>
      <c r="M61" s="726">
        <f t="shared" ca="1" si="8"/>
        <v>0</v>
      </c>
      <c r="N61" s="726">
        <f t="shared" si="8"/>
        <v>0</v>
      </c>
      <c r="O61" s="726">
        <f t="shared" ca="1" si="8"/>
        <v>0</v>
      </c>
      <c r="P61" s="726">
        <f t="shared" si="8"/>
        <v>0</v>
      </c>
      <c r="Q61" s="726">
        <f t="shared" si="8"/>
        <v>0</v>
      </c>
      <c r="R61" s="726">
        <f ca="1">R46+R52+R56</f>
        <v>132844.21479795323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0.19579672192367437</v>
      </c>
      <c r="D63" s="772">
        <f t="shared" ca="1" si="9"/>
        <v>0.22998102466793169</v>
      </c>
      <c r="E63" s="964">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12691.658991903376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43.65</v>
      </c>
      <c r="C76" s="739">
        <f>'lokale energieproductie'!B8*IFERROR(SUM(D76:H76)/SUM(D76:O76),0)</f>
        <v>1309.5000000000002</v>
      </c>
      <c r="D76" s="947">
        <f>'lokale energieproductie'!C8</f>
        <v>1540.5882352941176</v>
      </c>
      <c r="E76" s="948">
        <f>'lokale energieproductie'!D8</f>
        <v>0</v>
      </c>
      <c r="F76" s="948">
        <f>'lokale energieproductie'!E8</f>
        <v>0</v>
      </c>
      <c r="G76" s="948">
        <f>'lokale energieproductie'!F8</f>
        <v>0</v>
      </c>
      <c r="H76" s="948">
        <f>'lokale energieproductie'!G8</f>
        <v>0</v>
      </c>
      <c r="I76" s="948">
        <f>'lokale energieproductie'!I8</f>
        <v>0</v>
      </c>
      <c r="J76" s="948">
        <f>'lokale energieproductie'!J8</f>
        <v>51.35294117647058</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311.19882352941175</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12735.308991903375</v>
      </c>
      <c r="C78" s="744">
        <f>SUM(C72:C77)</f>
        <v>1309.5000000000002</v>
      </c>
      <c r="D78" s="745">
        <f t="shared" ref="D78:H78" si="10">SUM(D76:D77)</f>
        <v>1540.5882352941176</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311.19882352941175</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62.357142857142847</v>
      </c>
      <c r="C87" s="757">
        <f>'lokale energieproductie'!B17*IFERROR(SUM(D87:H87)/SUM(D87:O87),0)</f>
        <v>1870.7142857142858</v>
      </c>
      <c r="D87" s="768">
        <f>'lokale energieproductie'!C17</f>
        <v>2200.8403361344535</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73.3613445378151</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444.56974789915967</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62.357142857142847</v>
      </c>
      <c r="C90" s="744">
        <f>SUM(C87:C89)</f>
        <v>1870.7142857142858</v>
      </c>
      <c r="D90" s="744">
        <f t="shared" ref="D90:H90" si="12">SUM(D87:D89)</f>
        <v>2200.8403361344535</v>
      </c>
      <c r="E90" s="744">
        <f t="shared" si="12"/>
        <v>0</v>
      </c>
      <c r="F90" s="744">
        <f t="shared" si="12"/>
        <v>0</v>
      </c>
      <c r="G90" s="744">
        <f t="shared" si="12"/>
        <v>0</v>
      </c>
      <c r="H90" s="744">
        <f t="shared" si="12"/>
        <v>0</v>
      </c>
      <c r="I90" s="744">
        <f>SUM(I87:I89)</f>
        <v>0</v>
      </c>
      <c r="J90" s="744">
        <f>SUM(J87:J89)</f>
        <v>73.3613445378151</v>
      </c>
      <c r="K90" s="744">
        <f t="shared" ref="K90:L90" si="13">SUM(K87:K89)</f>
        <v>0</v>
      </c>
      <c r="L90" s="744">
        <f t="shared" si="13"/>
        <v>0</v>
      </c>
      <c r="M90" s="744">
        <f>SUM(M87:M89)</f>
        <v>0</v>
      </c>
      <c r="N90" s="744">
        <f>SUM(N87:N89)</f>
        <v>0</v>
      </c>
      <c r="O90" s="744">
        <f>SUM(O87:O89)</f>
        <v>0</v>
      </c>
      <c r="P90" s="744">
        <v>0</v>
      </c>
      <c r="Q90" s="744">
        <f>SUM(Q87:Q89)</f>
        <v>444.56974789915967</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19000.156043222298</v>
      </c>
      <c r="C4" s="449">
        <f>huishoudens!C8</f>
        <v>0</v>
      </c>
      <c r="D4" s="449">
        <f>huishoudens!D8</f>
        <v>44972.52515702122</v>
      </c>
      <c r="E4" s="449">
        <f>huishoudens!E8</f>
        <v>872.56386444625048</v>
      </c>
      <c r="F4" s="449">
        <f>huishoudens!F8</f>
        <v>19819.311437774937</v>
      </c>
      <c r="G4" s="449">
        <f>huishoudens!G8</f>
        <v>0</v>
      </c>
      <c r="H4" s="449">
        <f>huishoudens!H8</f>
        <v>0</v>
      </c>
      <c r="I4" s="449">
        <f>huishoudens!I8</f>
        <v>0</v>
      </c>
      <c r="J4" s="449">
        <f>huishoudens!J8</f>
        <v>99.152671221422651</v>
      </c>
      <c r="K4" s="449">
        <f>huishoudens!K8</f>
        <v>0</v>
      </c>
      <c r="L4" s="449">
        <f>huishoudens!L8</f>
        <v>0</v>
      </c>
      <c r="M4" s="449">
        <f>huishoudens!M8</f>
        <v>0</v>
      </c>
      <c r="N4" s="449">
        <f>huishoudens!N8</f>
        <v>6810.5667442616459</v>
      </c>
      <c r="O4" s="449">
        <f>huishoudens!O8</f>
        <v>527.73288635695042</v>
      </c>
      <c r="P4" s="450">
        <f>huishoudens!P8</f>
        <v>263.34898269212556</v>
      </c>
      <c r="Q4" s="451">
        <f>SUM(B4:P4)</f>
        <v>92365.357786996858</v>
      </c>
    </row>
    <row r="5" spans="1:17">
      <c r="A5" s="448" t="s">
        <v>155</v>
      </c>
      <c r="B5" s="449">
        <f ca="1">tertiair!B16</f>
        <v>29353.541578326811</v>
      </c>
      <c r="C5" s="449">
        <f ca="1">tertiair!C16</f>
        <v>1870.7142857142858</v>
      </c>
      <c r="D5" s="449">
        <f ca="1">tertiair!D16</f>
        <v>26217.805480391886</v>
      </c>
      <c r="E5" s="449">
        <f>tertiair!E16</f>
        <v>73.961081979632439</v>
      </c>
      <c r="F5" s="449">
        <f ca="1">tertiair!F16</f>
        <v>3936.6385289590094</v>
      </c>
      <c r="G5" s="449">
        <f>tertiair!G16</f>
        <v>0</v>
      </c>
      <c r="H5" s="449">
        <f>tertiair!H16</f>
        <v>0</v>
      </c>
      <c r="I5" s="449">
        <f>tertiair!I16</f>
        <v>0</v>
      </c>
      <c r="J5" s="449">
        <f>tertiair!J16</f>
        <v>2.2961889231781323E-2</v>
      </c>
      <c r="K5" s="449">
        <f>tertiair!K16</f>
        <v>0</v>
      </c>
      <c r="L5" s="449">
        <f ca="1">tertiair!L16</f>
        <v>0</v>
      </c>
      <c r="M5" s="449">
        <f>tertiair!M16</f>
        <v>0</v>
      </c>
      <c r="N5" s="449">
        <f ca="1">tertiair!N16</f>
        <v>882.93298189591428</v>
      </c>
      <c r="O5" s="449">
        <f>tertiair!O16</f>
        <v>34.280825360888088</v>
      </c>
      <c r="P5" s="450">
        <f>tertiair!P16</f>
        <v>105.07827661299004</v>
      </c>
      <c r="Q5" s="448">
        <f t="shared" ref="Q5:Q14" ca="1" si="0">SUM(B5:P5)</f>
        <v>62474.97600113065</v>
      </c>
    </row>
    <row r="6" spans="1:17">
      <c r="A6" s="448" t="s">
        <v>193</v>
      </c>
      <c r="B6" s="449">
        <f>'openbare verlichting'!B8</f>
        <v>916.62599999999998</v>
      </c>
      <c r="C6" s="449"/>
      <c r="D6" s="449"/>
      <c r="E6" s="449"/>
      <c r="F6" s="449"/>
      <c r="G6" s="449"/>
      <c r="H6" s="449"/>
      <c r="I6" s="449"/>
      <c r="J6" s="449"/>
      <c r="K6" s="449"/>
      <c r="L6" s="449"/>
      <c r="M6" s="449"/>
      <c r="N6" s="449"/>
      <c r="O6" s="449"/>
      <c r="P6" s="450"/>
      <c r="Q6" s="448">
        <f t="shared" si="0"/>
        <v>916.62599999999998</v>
      </c>
    </row>
    <row r="7" spans="1:17">
      <c r="A7" s="448" t="s">
        <v>111</v>
      </c>
      <c r="B7" s="449">
        <f>landbouw!B8</f>
        <v>4537.8687527476595</v>
      </c>
      <c r="C7" s="449">
        <f>landbouw!C8</f>
        <v>62.357142857142847</v>
      </c>
      <c r="D7" s="449">
        <f>landbouw!D8</f>
        <v>222.94830455791143</v>
      </c>
      <c r="E7" s="449">
        <f>landbouw!E8</f>
        <v>169.23100614030926</v>
      </c>
      <c r="F7" s="449">
        <f>landbouw!F8</f>
        <v>14722.599735422658</v>
      </c>
      <c r="G7" s="449">
        <f>landbouw!G8</f>
        <v>0</v>
      </c>
      <c r="H7" s="449">
        <f>landbouw!H8</f>
        <v>0</v>
      </c>
      <c r="I7" s="449">
        <f>landbouw!I8</f>
        <v>0</v>
      </c>
      <c r="J7" s="449">
        <f>landbouw!J8</f>
        <v>1191.2129506328774</v>
      </c>
      <c r="K7" s="449">
        <f>landbouw!K8</f>
        <v>0</v>
      </c>
      <c r="L7" s="449">
        <f>landbouw!L8</f>
        <v>0</v>
      </c>
      <c r="M7" s="449">
        <f>landbouw!M8</f>
        <v>0</v>
      </c>
      <c r="N7" s="449">
        <f>landbouw!N8</f>
        <v>0</v>
      </c>
      <c r="O7" s="449">
        <f>landbouw!O8</f>
        <v>0</v>
      </c>
      <c r="P7" s="450">
        <f>landbouw!P8</f>
        <v>0</v>
      </c>
      <c r="Q7" s="448">
        <f t="shared" si="0"/>
        <v>20906.21789235856</v>
      </c>
    </row>
    <row r="8" spans="1:17">
      <c r="A8" s="448" t="s">
        <v>618</v>
      </c>
      <c r="B8" s="449">
        <f>industrie!B18</f>
        <v>56006.247118518557</v>
      </c>
      <c r="C8" s="449">
        <f>industrie!C18</f>
        <v>0</v>
      </c>
      <c r="D8" s="449">
        <f>industrie!D18</f>
        <v>170391.21677674275</v>
      </c>
      <c r="E8" s="449">
        <f>industrie!E18</f>
        <v>147.51053202394093</v>
      </c>
      <c r="F8" s="449">
        <f>industrie!F18</f>
        <v>5890.9080353556637</v>
      </c>
      <c r="G8" s="449">
        <f>industrie!G18</f>
        <v>0</v>
      </c>
      <c r="H8" s="449">
        <f>industrie!H18</f>
        <v>0</v>
      </c>
      <c r="I8" s="449">
        <f>industrie!I18</f>
        <v>0</v>
      </c>
      <c r="J8" s="449">
        <f>industrie!J18</f>
        <v>5.0121013834504877</v>
      </c>
      <c r="K8" s="449">
        <f>industrie!K18</f>
        <v>0</v>
      </c>
      <c r="L8" s="449">
        <f>industrie!L18</f>
        <v>0</v>
      </c>
      <c r="M8" s="449">
        <f>industrie!M18</f>
        <v>0</v>
      </c>
      <c r="N8" s="449">
        <f>industrie!N18</f>
        <v>1857.8175301464607</v>
      </c>
      <c r="O8" s="449">
        <f>industrie!O18</f>
        <v>0</v>
      </c>
      <c r="P8" s="450">
        <f>industrie!P18</f>
        <v>0</v>
      </c>
      <c r="Q8" s="448">
        <f t="shared" si="0"/>
        <v>234298.71209417077</v>
      </c>
    </row>
    <row r="9" spans="1:17" s="454" customFormat="1">
      <c r="A9" s="452" t="s">
        <v>544</v>
      </c>
      <c r="B9" s="453">
        <f>transport!B14</f>
        <v>234.06018902526517</v>
      </c>
      <c r="C9" s="453">
        <f>transport!C14</f>
        <v>0</v>
      </c>
      <c r="D9" s="453">
        <f>transport!D14</f>
        <v>379.75903530544196</v>
      </c>
      <c r="E9" s="453">
        <f>transport!E14</f>
        <v>229.22147935138145</v>
      </c>
      <c r="F9" s="453">
        <f>transport!F14</f>
        <v>0</v>
      </c>
      <c r="G9" s="453">
        <f>transport!G14</f>
        <v>159566.373885298</v>
      </c>
      <c r="H9" s="453">
        <f>transport!H14</f>
        <v>23562.311947705595</v>
      </c>
      <c r="I9" s="453">
        <f>transport!I14</f>
        <v>0</v>
      </c>
      <c r="J9" s="453">
        <f>transport!J14</f>
        <v>0</v>
      </c>
      <c r="K9" s="453">
        <f>transport!K14</f>
        <v>0</v>
      </c>
      <c r="L9" s="453">
        <f>transport!L14</f>
        <v>0</v>
      </c>
      <c r="M9" s="453">
        <f>transport!M14</f>
        <v>10621.741690520585</v>
      </c>
      <c r="N9" s="453">
        <f>transport!N14</f>
        <v>0</v>
      </c>
      <c r="O9" s="453">
        <f>transport!O14</f>
        <v>0</v>
      </c>
      <c r="P9" s="453">
        <f>transport!P14</f>
        <v>0</v>
      </c>
      <c r="Q9" s="452">
        <f>SUM(B9:P9)</f>
        <v>194593.46822720626</v>
      </c>
    </row>
    <row r="10" spans="1:17">
      <c r="A10" s="448" t="s">
        <v>534</v>
      </c>
      <c r="B10" s="449">
        <f>transport!B54</f>
        <v>14.855169472856232</v>
      </c>
      <c r="C10" s="449">
        <f>transport!C54</f>
        <v>0</v>
      </c>
      <c r="D10" s="449">
        <f>transport!D54</f>
        <v>0</v>
      </c>
      <c r="E10" s="449">
        <f>transport!E54</f>
        <v>0</v>
      </c>
      <c r="F10" s="449">
        <f>transport!F54</f>
        <v>0</v>
      </c>
      <c r="G10" s="449">
        <f>transport!G54</f>
        <v>1060.3352166398706</v>
      </c>
      <c r="H10" s="449">
        <f>transport!H54</f>
        <v>0</v>
      </c>
      <c r="I10" s="449">
        <f>transport!I54</f>
        <v>0</v>
      </c>
      <c r="J10" s="449">
        <f>transport!J54</f>
        <v>0</v>
      </c>
      <c r="K10" s="449">
        <f>transport!K54</f>
        <v>0</v>
      </c>
      <c r="L10" s="449">
        <f>transport!L54</f>
        <v>0</v>
      </c>
      <c r="M10" s="449">
        <f>transport!M54</f>
        <v>58.550219669866607</v>
      </c>
      <c r="N10" s="449">
        <f>transport!N54</f>
        <v>0</v>
      </c>
      <c r="O10" s="449">
        <f>transport!O54</f>
        <v>0</v>
      </c>
      <c r="P10" s="450">
        <f>transport!P54</f>
        <v>0</v>
      </c>
      <c r="Q10" s="448">
        <f t="shared" si="0"/>
        <v>1133.7406057825935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743.816946887119</v>
      </c>
      <c r="C14" s="456"/>
      <c r="D14" s="456">
        <f>'SEAP template'!E25</f>
        <v>1902.89977504732</v>
      </c>
      <c r="E14" s="456"/>
      <c r="F14" s="456"/>
      <c r="G14" s="456"/>
      <c r="H14" s="456"/>
      <c r="I14" s="456"/>
      <c r="J14" s="456"/>
      <c r="K14" s="456"/>
      <c r="L14" s="456"/>
      <c r="M14" s="456"/>
      <c r="N14" s="456"/>
      <c r="O14" s="456"/>
      <c r="P14" s="457"/>
      <c r="Q14" s="448">
        <f t="shared" si="0"/>
        <v>2646.7167219344392</v>
      </c>
    </row>
    <row r="15" spans="1:17" s="460" customFormat="1">
      <c r="A15" s="458" t="s">
        <v>538</v>
      </c>
      <c r="B15" s="459">
        <f ca="1">SUM(B4:B14)</f>
        <v>110807.17179820055</v>
      </c>
      <c r="C15" s="459">
        <f t="shared" ref="C15:Q15" ca="1" si="1">SUM(C4:C14)</f>
        <v>1933.0714285714287</v>
      </c>
      <c r="D15" s="459">
        <f t="shared" ca="1" si="1"/>
        <v>244087.15452906652</v>
      </c>
      <c r="E15" s="459">
        <f t="shared" si="1"/>
        <v>1492.4879639415146</v>
      </c>
      <c r="F15" s="459">
        <f t="shared" ca="1" si="1"/>
        <v>44369.457737512268</v>
      </c>
      <c r="G15" s="459">
        <f t="shared" si="1"/>
        <v>160626.70910193789</v>
      </c>
      <c r="H15" s="459">
        <f t="shared" si="1"/>
        <v>23562.311947705595</v>
      </c>
      <c r="I15" s="459">
        <f t="shared" si="1"/>
        <v>0</v>
      </c>
      <c r="J15" s="459">
        <f t="shared" si="1"/>
        <v>1295.4006851269824</v>
      </c>
      <c r="K15" s="459">
        <f t="shared" si="1"/>
        <v>0</v>
      </c>
      <c r="L15" s="459">
        <f t="shared" ca="1" si="1"/>
        <v>0</v>
      </c>
      <c r="M15" s="459">
        <f t="shared" si="1"/>
        <v>10680.291910190452</v>
      </c>
      <c r="N15" s="459">
        <f t="shared" ca="1" si="1"/>
        <v>9551.3172563040207</v>
      </c>
      <c r="O15" s="459">
        <f t="shared" si="1"/>
        <v>562.01371171783853</v>
      </c>
      <c r="P15" s="459">
        <f t="shared" si="1"/>
        <v>368.42725930511563</v>
      </c>
      <c r="Q15" s="459">
        <f t="shared" ca="1" si="1"/>
        <v>609335.8153295801</v>
      </c>
    </row>
    <row r="17" spans="1:17">
      <c r="A17" s="461" t="s">
        <v>539</v>
      </c>
      <c r="B17" s="777">
        <f ca="1">huishoudens!B10</f>
        <v>0.19579672192367437</v>
      </c>
      <c r="C17" s="777">
        <f ca="1">huishoudens!C10</f>
        <v>0.22998102466793169</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3720.1682693012172</v>
      </c>
      <c r="C22" s="449">
        <f t="shared" ref="C22:C32" ca="1" si="3">C4*$C$17</f>
        <v>0</v>
      </c>
      <c r="D22" s="449">
        <f t="shared" ref="D22:D32" si="4">D4*$D$17</f>
        <v>9084.450081718287</v>
      </c>
      <c r="E22" s="449">
        <f t="shared" ref="E22:E32" si="5">E4*$E$17</f>
        <v>198.07199722929886</v>
      </c>
      <c r="F22" s="449">
        <f t="shared" ref="F22:F32" si="6">F4*$F$17</f>
        <v>5291.7561538859081</v>
      </c>
      <c r="G22" s="449">
        <f t="shared" ref="G22:G32" si="7">G4*$G$17</f>
        <v>0</v>
      </c>
      <c r="H22" s="449">
        <f t="shared" ref="H22:H32" si="8">H4*$H$17</f>
        <v>0</v>
      </c>
      <c r="I22" s="449">
        <f t="shared" ref="I22:I32" si="9">I4*$I$17</f>
        <v>0</v>
      </c>
      <c r="J22" s="449">
        <f t="shared" ref="J22:J32" si="10">J4*$J$17</f>
        <v>35.100045612383617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18329.546547747097</v>
      </c>
    </row>
    <row r="23" spans="1:17">
      <c r="A23" s="448" t="s">
        <v>155</v>
      </c>
      <c r="B23" s="449">
        <f t="shared" ca="1" si="2"/>
        <v>5747.3272178866682</v>
      </c>
      <c r="C23" s="449">
        <f t="shared" ca="1" si="3"/>
        <v>430.22878828950934</v>
      </c>
      <c r="D23" s="449">
        <f t="shared" ca="1" si="4"/>
        <v>5295.9967070391613</v>
      </c>
      <c r="E23" s="449">
        <f t="shared" si="5"/>
        <v>16.789165609376564</v>
      </c>
      <c r="F23" s="449">
        <f t="shared" ca="1" si="6"/>
        <v>1051.0824872320557</v>
      </c>
      <c r="G23" s="449">
        <f t="shared" si="7"/>
        <v>0</v>
      </c>
      <c r="H23" s="449">
        <f t="shared" si="8"/>
        <v>0</v>
      </c>
      <c r="I23" s="449">
        <f t="shared" si="9"/>
        <v>0</v>
      </c>
      <c r="J23" s="449">
        <f t="shared" si="10"/>
        <v>8.1285087880505879E-3</v>
      </c>
      <c r="K23" s="449">
        <f t="shared" si="11"/>
        <v>0</v>
      </c>
      <c r="L23" s="449">
        <f t="shared" ca="1" si="12"/>
        <v>0</v>
      </c>
      <c r="M23" s="449">
        <f t="shared" si="13"/>
        <v>0</v>
      </c>
      <c r="N23" s="449">
        <f t="shared" ca="1" si="14"/>
        <v>0</v>
      </c>
      <c r="O23" s="449">
        <f t="shared" si="15"/>
        <v>0</v>
      </c>
      <c r="P23" s="450">
        <f t="shared" si="16"/>
        <v>0</v>
      </c>
      <c r="Q23" s="448">
        <f t="shared" ref="Q23:Q31" ca="1" si="17">SUM(B23:P23)</f>
        <v>12541.432494565557</v>
      </c>
    </row>
    <row r="24" spans="1:17">
      <c r="A24" s="448" t="s">
        <v>193</v>
      </c>
      <c r="B24" s="449">
        <f t="shared" ca="1" si="2"/>
        <v>179.47236603000994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179.47236603000994</v>
      </c>
    </row>
    <row r="25" spans="1:17">
      <c r="A25" s="448" t="s">
        <v>111</v>
      </c>
      <c r="B25" s="449">
        <f t="shared" ca="1" si="2"/>
        <v>888.49982630786451</v>
      </c>
      <c r="C25" s="449">
        <f t="shared" ca="1" si="3"/>
        <v>14.340959609650309</v>
      </c>
      <c r="D25" s="449">
        <f t="shared" si="4"/>
        <v>45.035557520698113</v>
      </c>
      <c r="E25" s="449">
        <f t="shared" si="5"/>
        <v>38.415438393850202</v>
      </c>
      <c r="F25" s="449">
        <f t="shared" si="6"/>
        <v>3930.93412935785</v>
      </c>
      <c r="G25" s="449">
        <f t="shared" si="7"/>
        <v>0</v>
      </c>
      <c r="H25" s="449">
        <f t="shared" si="8"/>
        <v>0</v>
      </c>
      <c r="I25" s="449">
        <f t="shared" si="9"/>
        <v>0</v>
      </c>
      <c r="J25" s="449">
        <f t="shared" si="10"/>
        <v>421.68938452403859</v>
      </c>
      <c r="K25" s="449">
        <f t="shared" si="11"/>
        <v>0</v>
      </c>
      <c r="L25" s="449">
        <f t="shared" si="12"/>
        <v>0</v>
      </c>
      <c r="M25" s="449">
        <f t="shared" si="13"/>
        <v>0</v>
      </c>
      <c r="N25" s="449">
        <f t="shared" si="14"/>
        <v>0</v>
      </c>
      <c r="O25" s="449">
        <f t="shared" si="15"/>
        <v>0</v>
      </c>
      <c r="P25" s="450">
        <f t="shared" si="16"/>
        <v>0</v>
      </c>
      <c r="Q25" s="448">
        <f t="shared" ca="1" si="17"/>
        <v>5338.9152957139513</v>
      </c>
    </row>
    <row r="26" spans="1:17">
      <c r="A26" s="448" t="s">
        <v>618</v>
      </c>
      <c r="B26" s="449">
        <f t="shared" ca="1" si="2"/>
        <v>10965.839593053166</v>
      </c>
      <c r="C26" s="449">
        <f t="shared" ca="1" si="3"/>
        <v>0</v>
      </c>
      <c r="D26" s="449">
        <f t="shared" si="4"/>
        <v>34419.025788902036</v>
      </c>
      <c r="E26" s="449">
        <f t="shared" si="5"/>
        <v>33.484890769434593</v>
      </c>
      <c r="F26" s="449">
        <f t="shared" si="6"/>
        <v>1572.8724454399623</v>
      </c>
      <c r="G26" s="449">
        <f t="shared" si="7"/>
        <v>0</v>
      </c>
      <c r="H26" s="449">
        <f t="shared" si="8"/>
        <v>0</v>
      </c>
      <c r="I26" s="449">
        <f t="shared" si="9"/>
        <v>0</v>
      </c>
      <c r="J26" s="449">
        <f t="shared" si="10"/>
        <v>1.7742838897414726</v>
      </c>
      <c r="K26" s="449">
        <f t="shared" si="11"/>
        <v>0</v>
      </c>
      <c r="L26" s="449">
        <f t="shared" si="12"/>
        <v>0</v>
      </c>
      <c r="M26" s="449">
        <f t="shared" si="13"/>
        <v>0</v>
      </c>
      <c r="N26" s="449">
        <f t="shared" si="14"/>
        <v>0</v>
      </c>
      <c r="O26" s="449">
        <f t="shared" si="15"/>
        <v>0</v>
      </c>
      <c r="P26" s="450">
        <f t="shared" si="16"/>
        <v>0</v>
      </c>
      <c r="Q26" s="448">
        <f t="shared" ca="1" si="17"/>
        <v>46992.997002054333</v>
      </c>
    </row>
    <row r="27" spans="1:17" s="454" customFormat="1">
      <c r="A27" s="452" t="s">
        <v>544</v>
      </c>
      <c r="B27" s="771">
        <f t="shared" ca="1" si="2"/>
        <v>45.828217743982506</v>
      </c>
      <c r="C27" s="453">
        <f t="shared" ca="1" si="3"/>
        <v>0</v>
      </c>
      <c r="D27" s="453">
        <f t="shared" si="4"/>
        <v>76.711325131699283</v>
      </c>
      <c r="E27" s="453">
        <f t="shared" si="5"/>
        <v>52.033275812763591</v>
      </c>
      <c r="F27" s="453">
        <f t="shared" si="6"/>
        <v>0</v>
      </c>
      <c r="G27" s="453">
        <f t="shared" si="7"/>
        <v>42604.221827374568</v>
      </c>
      <c r="H27" s="453">
        <f t="shared" si="8"/>
        <v>5867.0156749786929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48645.810321041703</v>
      </c>
    </row>
    <row r="28" spans="1:17" ht="16.5" customHeight="1">
      <c r="A28" s="448" t="s">
        <v>534</v>
      </c>
      <c r="B28" s="449">
        <f t="shared" ca="1" si="2"/>
        <v>2.9085934864058882</v>
      </c>
      <c r="C28" s="449">
        <f t="shared" ca="1" si="3"/>
        <v>0</v>
      </c>
      <c r="D28" s="449">
        <f t="shared" si="4"/>
        <v>0</v>
      </c>
      <c r="E28" s="449">
        <f t="shared" si="5"/>
        <v>0</v>
      </c>
      <c r="F28" s="449">
        <f t="shared" si="6"/>
        <v>0</v>
      </c>
      <c r="G28" s="449">
        <f t="shared" si="7"/>
        <v>283.10950284284547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286.01809632925136</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145.6369199117737</v>
      </c>
      <c r="C32" s="449">
        <f t="shared" ca="1" si="3"/>
        <v>0</v>
      </c>
      <c r="D32" s="449">
        <f t="shared" si="4"/>
        <v>384.38575455955868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530.02267447133238</v>
      </c>
    </row>
    <row r="33" spans="1:17" s="460" customFormat="1">
      <c r="A33" s="458" t="s">
        <v>538</v>
      </c>
      <c r="B33" s="459">
        <f ca="1">SUM(B22:B32)</f>
        <v>21695.681003721085</v>
      </c>
      <c r="C33" s="459">
        <f t="shared" ref="C33:Q33" ca="1" si="19">SUM(C22:C32)</f>
        <v>444.56974789915967</v>
      </c>
      <c r="D33" s="459">
        <f t="shared" ca="1" si="19"/>
        <v>49305.605214871437</v>
      </c>
      <c r="E33" s="459">
        <f t="shared" si="19"/>
        <v>338.7947678147238</v>
      </c>
      <c r="F33" s="459">
        <f t="shared" ca="1" si="19"/>
        <v>11846.645215915776</v>
      </c>
      <c r="G33" s="459">
        <f t="shared" si="19"/>
        <v>42887.331330217414</v>
      </c>
      <c r="H33" s="459">
        <f t="shared" si="19"/>
        <v>5867.0156749786929</v>
      </c>
      <c r="I33" s="459">
        <f t="shared" si="19"/>
        <v>0</v>
      </c>
      <c r="J33" s="459">
        <f t="shared" si="19"/>
        <v>458.57184253495171</v>
      </c>
      <c r="K33" s="459">
        <f t="shared" si="19"/>
        <v>0</v>
      </c>
      <c r="L33" s="459">
        <f t="shared" ca="1" si="19"/>
        <v>0</v>
      </c>
      <c r="M33" s="459">
        <f t="shared" si="19"/>
        <v>0</v>
      </c>
      <c r="N33" s="459">
        <f t="shared" ca="1" si="19"/>
        <v>0</v>
      </c>
      <c r="O33" s="459">
        <f t="shared" si="19"/>
        <v>0</v>
      </c>
      <c r="P33" s="459">
        <f t="shared" si="19"/>
        <v>0</v>
      </c>
      <c r="Q33" s="459">
        <f t="shared" ca="1" si="19"/>
        <v>132844.21479795323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12691.658991903376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43.65</v>
      </c>
      <c r="C8" s="1015">
        <f>'SEAP template'!C76</f>
        <v>1309.5000000000002</v>
      </c>
      <c r="D8" s="1015">
        <f>'SEAP template'!D76</f>
        <v>1540.5882352941176</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311.19882352941175</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12735.308991903375</v>
      </c>
      <c r="C10" s="1017">
        <f>SUM(C4:C9)</f>
        <v>1309.5000000000002</v>
      </c>
      <c r="D10" s="1017">
        <f t="shared" ref="D10:H10" si="0">SUM(D8:D9)</f>
        <v>1540.5882352941176</v>
      </c>
      <c r="E10" s="1017">
        <f t="shared" si="0"/>
        <v>0</v>
      </c>
      <c r="F10" s="1017">
        <f t="shared" si="0"/>
        <v>0</v>
      </c>
      <c r="G10" s="1017">
        <f t="shared" si="0"/>
        <v>0</v>
      </c>
      <c r="H10" s="1017">
        <f t="shared" si="0"/>
        <v>0</v>
      </c>
      <c r="I10" s="1017">
        <f>SUM(I8:I9)</f>
        <v>0</v>
      </c>
      <c r="J10" s="1017">
        <f>SUM(J8:J9)</f>
        <v>51.35294117647058</v>
      </c>
      <c r="K10" s="1017">
        <f t="shared" ref="K10:L10" si="1">SUM(K8:K9)</f>
        <v>0</v>
      </c>
      <c r="L10" s="1017">
        <f t="shared" si="1"/>
        <v>0</v>
      </c>
      <c r="M10" s="1017">
        <f>SUM(M8:M9)</f>
        <v>0</v>
      </c>
      <c r="N10" s="1017">
        <f>SUM(N8:N9)</f>
        <v>0</v>
      </c>
      <c r="O10" s="1017">
        <f>SUM(O8:O9)</f>
        <v>0</v>
      </c>
      <c r="P10" s="1017">
        <f>SUM(P8:P9)</f>
        <v>311.19882352941175</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0.19579672192367437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62.357142857142847</v>
      </c>
      <c r="C17" s="1018">
        <f>'SEAP template'!C87</f>
        <v>1870.7142857142858</v>
      </c>
      <c r="D17" s="1016">
        <f>'SEAP template'!D87</f>
        <v>2200.8403361344535</v>
      </c>
      <c r="E17" s="1016">
        <f>'SEAP template'!E87</f>
        <v>0</v>
      </c>
      <c r="F17" s="1016">
        <f>'SEAP template'!F87</f>
        <v>0</v>
      </c>
      <c r="G17" s="1016">
        <f>'SEAP template'!G87</f>
        <v>0</v>
      </c>
      <c r="H17" s="1016">
        <f>'SEAP template'!H87</f>
        <v>0</v>
      </c>
      <c r="I17" s="1016">
        <f>'SEAP template'!I87</f>
        <v>0</v>
      </c>
      <c r="J17" s="1016">
        <f>'SEAP template'!J87</f>
        <v>73.3613445378151</v>
      </c>
      <c r="K17" s="1016">
        <f>'SEAP template'!K87</f>
        <v>0</v>
      </c>
      <c r="L17" s="1016">
        <f>'SEAP template'!L87</f>
        <v>0</v>
      </c>
      <c r="M17" s="1016">
        <f>'SEAP template'!M87</f>
        <v>0</v>
      </c>
      <c r="N17" s="1016">
        <f>'SEAP template'!N87</f>
        <v>0</v>
      </c>
      <c r="O17" s="1016">
        <f>'SEAP template'!O87</f>
        <v>0</v>
      </c>
      <c r="P17" s="1016">
        <f>'SEAP template'!Q87</f>
        <v>444.56974789915967</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62.357142857142847</v>
      </c>
      <c r="C20" s="1017">
        <f>SUM(C17:C19)</f>
        <v>1870.7142857142858</v>
      </c>
      <c r="D20" s="1017">
        <f t="shared" ref="D20:H20" si="2">SUM(D17:D19)</f>
        <v>2200.8403361344535</v>
      </c>
      <c r="E20" s="1017">
        <f t="shared" si="2"/>
        <v>0</v>
      </c>
      <c r="F20" s="1017">
        <f t="shared" si="2"/>
        <v>0</v>
      </c>
      <c r="G20" s="1017">
        <f t="shared" si="2"/>
        <v>0</v>
      </c>
      <c r="H20" s="1017">
        <f t="shared" si="2"/>
        <v>0</v>
      </c>
      <c r="I20" s="1017">
        <f>SUM(I17:I19)</f>
        <v>0</v>
      </c>
      <c r="J20" s="1017">
        <f>SUM(J17:J19)</f>
        <v>73.3613445378151</v>
      </c>
      <c r="K20" s="1017">
        <f t="shared" ref="K20:L20" si="3">SUM(K17:K19)</f>
        <v>0</v>
      </c>
      <c r="L20" s="1017">
        <f t="shared" si="3"/>
        <v>0</v>
      </c>
      <c r="M20" s="1017">
        <f>SUM(M17:M19)</f>
        <v>0</v>
      </c>
      <c r="N20" s="1017">
        <f>SUM(N17:N19)</f>
        <v>0</v>
      </c>
      <c r="O20" s="1017">
        <f>SUM(O17:O19)</f>
        <v>0</v>
      </c>
      <c r="P20" s="1017">
        <f>SUM(P17:P19)</f>
        <v>444.56974789915967</v>
      </c>
    </row>
    <row r="21" spans="1:16">
      <c r="B21" s="882"/>
    </row>
    <row r="22" spans="1:16">
      <c r="A22" s="461" t="s">
        <v>762</v>
      </c>
      <c r="B22" s="777" t="s">
        <v>760</v>
      </c>
      <c r="C22" s="777">
        <f ca="1">'EF ele_warmte'!B22</f>
        <v>0.22998102466793169</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0.19579672192367437</v>
      </c>
      <c r="C17" s="497">
        <f ca="1">'EF ele_warmte'!B22</f>
        <v>0.22998102466793169</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1</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52.539138306495019</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0.19579672192367437</v>
      </c>
      <c r="C17" s="497">
        <f ca="1">'EF ele_warmte'!B22</f>
        <v>0.22998102466793169</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0.19579672192367437</v>
      </c>
      <c r="C29" s="498">
        <f ca="1">'EF ele_warmte'!B22</f>
        <v>0.22998102466793169</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5212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8077.7</v>
      </c>
      <c r="C14" s="326"/>
      <c r="D14" s="326"/>
      <c r="E14" s="326"/>
      <c r="F14" s="326"/>
    </row>
    <row r="15" spans="1:6">
      <c r="A15" s="1307" t="s">
        <v>183</v>
      </c>
      <c r="B15" s="1308">
        <v>1103</v>
      </c>
      <c r="C15" s="326"/>
      <c r="D15" s="326"/>
      <c r="E15" s="326"/>
      <c r="F15" s="326"/>
    </row>
    <row r="16" spans="1:6">
      <c r="A16" s="1307" t="s">
        <v>6</v>
      </c>
      <c r="B16" s="1308">
        <v>2558</v>
      </c>
      <c r="C16" s="326"/>
      <c r="D16" s="326"/>
      <c r="E16" s="326"/>
      <c r="F16" s="326"/>
    </row>
    <row r="17" spans="1:6">
      <c r="A17" s="1307" t="s">
        <v>7</v>
      </c>
      <c r="B17" s="1308">
        <v>1911</v>
      </c>
      <c r="C17" s="326"/>
      <c r="D17" s="326"/>
      <c r="E17" s="326"/>
      <c r="F17" s="326"/>
    </row>
    <row r="18" spans="1:6">
      <c r="A18" s="1307" t="s">
        <v>8</v>
      </c>
      <c r="B18" s="1308">
        <v>2935</v>
      </c>
      <c r="C18" s="326"/>
      <c r="D18" s="326"/>
      <c r="E18" s="326"/>
      <c r="F18" s="326"/>
    </row>
    <row r="19" spans="1:6">
      <c r="A19" s="1307" t="s">
        <v>9</v>
      </c>
      <c r="B19" s="1308">
        <v>2952</v>
      </c>
      <c r="C19" s="326"/>
      <c r="D19" s="326"/>
      <c r="E19" s="326"/>
      <c r="F19" s="326"/>
    </row>
    <row r="20" spans="1:6">
      <c r="A20" s="1307" t="s">
        <v>10</v>
      </c>
      <c r="B20" s="1308">
        <v>1280</v>
      </c>
      <c r="C20" s="326"/>
      <c r="D20" s="326"/>
      <c r="E20" s="326"/>
      <c r="F20" s="326"/>
    </row>
    <row r="21" spans="1:6">
      <c r="A21" s="1307" t="s">
        <v>11</v>
      </c>
      <c r="B21" s="1308">
        <v>21696</v>
      </c>
      <c r="C21" s="326"/>
      <c r="D21" s="326"/>
      <c r="E21" s="326"/>
      <c r="F21" s="326"/>
    </row>
    <row r="22" spans="1:6">
      <c r="A22" s="1307" t="s">
        <v>12</v>
      </c>
      <c r="B22" s="1308">
        <v>50301</v>
      </c>
      <c r="C22" s="326"/>
      <c r="D22" s="326"/>
      <c r="E22" s="326"/>
      <c r="F22" s="326"/>
    </row>
    <row r="23" spans="1:6">
      <c r="A23" s="1307" t="s">
        <v>13</v>
      </c>
      <c r="B23" s="1308">
        <v>845</v>
      </c>
      <c r="C23" s="326"/>
      <c r="D23" s="326"/>
      <c r="E23" s="326"/>
      <c r="F23" s="326"/>
    </row>
    <row r="24" spans="1:6">
      <c r="A24" s="1307" t="s">
        <v>14</v>
      </c>
      <c r="B24" s="1308">
        <v>53</v>
      </c>
      <c r="C24" s="326"/>
      <c r="D24" s="326"/>
      <c r="E24" s="326"/>
      <c r="F24" s="326"/>
    </row>
    <row r="25" spans="1:6">
      <c r="A25" s="1307" t="s">
        <v>15</v>
      </c>
      <c r="B25" s="1308">
        <v>5386</v>
      </c>
      <c r="C25" s="326"/>
      <c r="D25" s="326"/>
      <c r="E25" s="326"/>
      <c r="F25" s="326"/>
    </row>
    <row r="26" spans="1:6">
      <c r="A26" s="1307" t="s">
        <v>16</v>
      </c>
      <c r="B26" s="1308">
        <v>453</v>
      </c>
      <c r="C26" s="326"/>
      <c r="D26" s="326"/>
      <c r="E26" s="326"/>
      <c r="F26" s="326"/>
    </row>
    <row r="27" spans="1:6">
      <c r="A27" s="1307" t="s">
        <v>17</v>
      </c>
      <c r="B27" s="1308">
        <v>0</v>
      </c>
      <c r="C27" s="326"/>
      <c r="D27" s="326"/>
      <c r="E27" s="326"/>
      <c r="F27" s="326"/>
    </row>
    <row r="28" spans="1:6" s="43" customFormat="1">
      <c r="A28" s="1309" t="s">
        <v>18</v>
      </c>
      <c r="B28" s="1310">
        <v>793714</v>
      </c>
      <c r="C28" s="332"/>
      <c r="D28" s="332"/>
      <c r="E28" s="332"/>
      <c r="F28" s="332"/>
    </row>
    <row r="29" spans="1:6">
      <c r="A29" s="1309" t="s">
        <v>688</v>
      </c>
      <c r="B29" s="1310">
        <v>192</v>
      </c>
      <c r="C29" s="332"/>
      <c r="D29" s="332"/>
      <c r="E29" s="332"/>
      <c r="F29" s="332"/>
    </row>
    <row r="30" spans="1:6">
      <c r="A30" s="1302" t="s">
        <v>689</v>
      </c>
      <c r="B30" s="1311">
        <v>69</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3</v>
      </c>
      <c r="D36" s="1308">
        <v>441992.71214065602</v>
      </c>
      <c r="E36" s="1308">
        <v>6</v>
      </c>
      <c r="F36" s="1308">
        <v>190845.27468829899</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41358.4222618489</v>
      </c>
    </row>
    <row r="39" spans="1:6">
      <c r="A39" s="1307" t="s">
        <v>29</v>
      </c>
      <c r="B39" s="1307" t="s">
        <v>30</v>
      </c>
      <c r="C39" s="1308">
        <v>3980</v>
      </c>
      <c r="D39" s="1308">
        <v>49788890.579178199</v>
      </c>
      <c r="E39" s="1308">
        <v>5026</v>
      </c>
      <c r="F39" s="1308">
        <v>15151553.951574299</v>
      </c>
    </row>
    <row r="40" spans="1:6">
      <c r="A40" s="1307" t="s">
        <v>29</v>
      </c>
      <c r="B40" s="1307" t="s">
        <v>28</v>
      </c>
      <c r="C40" s="1308">
        <v>1</v>
      </c>
      <c r="D40" s="1308">
        <v>14570.281310414401</v>
      </c>
      <c r="E40" s="1308">
        <v>0</v>
      </c>
      <c r="F40" s="1308">
        <v>0</v>
      </c>
    </row>
    <row r="41" spans="1:6">
      <c r="A41" s="1307" t="s">
        <v>31</v>
      </c>
      <c r="B41" s="1307" t="s">
        <v>32</v>
      </c>
      <c r="C41" s="1308">
        <v>96</v>
      </c>
      <c r="D41" s="1308">
        <v>2164755.86790484</v>
      </c>
      <c r="E41" s="1308">
        <v>177</v>
      </c>
      <c r="F41" s="1308">
        <v>8001325.3269272996</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14</v>
      </c>
      <c r="D44" s="1308">
        <v>4495150.2877025297</v>
      </c>
      <c r="E44" s="1308">
        <v>32</v>
      </c>
      <c r="F44" s="1308">
        <v>1932425.99694935</v>
      </c>
    </row>
    <row r="45" spans="1:6">
      <c r="A45" s="1307" t="s">
        <v>31</v>
      </c>
      <c r="B45" s="1307" t="s">
        <v>36</v>
      </c>
      <c r="C45" s="1308">
        <v>0</v>
      </c>
      <c r="D45" s="1308">
        <v>0</v>
      </c>
      <c r="E45" s="1308">
        <v>7</v>
      </c>
      <c r="F45" s="1308">
        <v>524048.47739206598</v>
      </c>
    </row>
    <row r="46" spans="1:6">
      <c r="A46" s="1307" t="s">
        <v>31</v>
      </c>
      <c r="B46" s="1307" t="s">
        <v>37</v>
      </c>
      <c r="C46" s="1308">
        <v>0</v>
      </c>
      <c r="D46" s="1308">
        <v>0</v>
      </c>
      <c r="E46" s="1308">
        <v>0</v>
      </c>
      <c r="F46" s="1308">
        <v>0</v>
      </c>
    </row>
    <row r="47" spans="1:6">
      <c r="A47" s="1307" t="s">
        <v>31</v>
      </c>
      <c r="B47" s="1307" t="s">
        <v>38</v>
      </c>
      <c r="C47" s="1308">
        <v>3</v>
      </c>
      <c r="D47" s="1308">
        <v>123506.483348376</v>
      </c>
      <c r="E47" s="1308">
        <v>4</v>
      </c>
      <c r="F47" s="1308">
        <v>244564.624232211</v>
      </c>
    </row>
    <row r="48" spans="1:6">
      <c r="A48" s="1307" t="s">
        <v>31</v>
      </c>
      <c r="B48" s="1307" t="s">
        <v>28</v>
      </c>
      <c r="C48" s="1308">
        <v>3</v>
      </c>
      <c r="D48" s="1308">
        <v>531158.63363272196</v>
      </c>
      <c r="E48" s="1308">
        <v>3</v>
      </c>
      <c r="F48" s="1308">
        <v>1612542.8347762299</v>
      </c>
    </row>
    <row r="49" spans="1:6">
      <c r="A49" s="1307" t="s">
        <v>31</v>
      </c>
      <c r="B49" s="1307" t="s">
        <v>39</v>
      </c>
      <c r="C49" s="1308">
        <v>0</v>
      </c>
      <c r="D49" s="1308">
        <v>0</v>
      </c>
      <c r="E49" s="1308">
        <v>0</v>
      </c>
      <c r="F49" s="1308">
        <v>0</v>
      </c>
    </row>
    <row r="50" spans="1:6">
      <c r="A50" s="1307" t="s">
        <v>31</v>
      </c>
      <c r="B50" s="1307" t="s">
        <v>40</v>
      </c>
      <c r="C50" s="1308">
        <v>28</v>
      </c>
      <c r="D50" s="1308">
        <v>181380020.949718</v>
      </c>
      <c r="E50" s="1308">
        <v>45</v>
      </c>
      <c r="F50" s="1308">
        <v>43691339.858241402</v>
      </c>
    </row>
    <row r="51" spans="1:6">
      <c r="A51" s="1307" t="s">
        <v>41</v>
      </c>
      <c r="B51" s="1307" t="s">
        <v>42</v>
      </c>
      <c r="C51" s="1308">
        <v>16</v>
      </c>
      <c r="D51" s="1308">
        <v>246897.347240212</v>
      </c>
      <c r="E51" s="1308">
        <v>205</v>
      </c>
      <c r="F51" s="1308">
        <v>4537868.7527476596</v>
      </c>
    </row>
    <row r="52" spans="1:6">
      <c r="A52" s="1307" t="s">
        <v>41</v>
      </c>
      <c r="B52" s="1307" t="s">
        <v>28</v>
      </c>
      <c r="C52" s="1308">
        <v>0</v>
      </c>
      <c r="D52" s="1308">
        <v>0</v>
      </c>
      <c r="E52" s="1308">
        <v>0</v>
      </c>
      <c r="F52" s="1308">
        <v>0</v>
      </c>
    </row>
    <row r="53" spans="1:6">
      <c r="A53" s="1307" t="s">
        <v>43</v>
      </c>
      <c r="B53" s="1307" t="s">
        <v>44</v>
      </c>
      <c r="C53" s="1308">
        <v>136</v>
      </c>
      <c r="D53" s="1308">
        <v>1902899.7750473199</v>
      </c>
      <c r="E53" s="1308">
        <v>281</v>
      </c>
      <c r="F53" s="1308">
        <v>743816.94688711897</v>
      </c>
    </row>
    <row r="54" spans="1:6">
      <c r="A54" s="1307" t="s">
        <v>45</v>
      </c>
      <c r="B54" s="1307" t="s">
        <v>46</v>
      </c>
      <c r="C54" s="1308">
        <v>0</v>
      </c>
      <c r="D54" s="1308">
        <v>0</v>
      </c>
      <c r="E54" s="1308">
        <v>1</v>
      </c>
      <c r="F54" s="1308">
        <v>916626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87</v>
      </c>
      <c r="D57" s="1308">
        <v>4629557.0479924101</v>
      </c>
      <c r="E57" s="1308">
        <v>127</v>
      </c>
      <c r="F57" s="1308">
        <v>2325061.51213222</v>
      </c>
    </row>
    <row r="58" spans="1:6">
      <c r="A58" s="1307" t="s">
        <v>48</v>
      </c>
      <c r="B58" s="1307" t="s">
        <v>50</v>
      </c>
      <c r="C58" s="1308">
        <v>48</v>
      </c>
      <c r="D58" s="1308">
        <v>7258779.0050764196</v>
      </c>
      <c r="E58" s="1308">
        <v>59</v>
      </c>
      <c r="F58" s="1308">
        <v>5848735.9315697998</v>
      </c>
    </row>
    <row r="59" spans="1:6">
      <c r="A59" s="1307" t="s">
        <v>48</v>
      </c>
      <c r="B59" s="1307" t="s">
        <v>51</v>
      </c>
      <c r="C59" s="1308">
        <v>164</v>
      </c>
      <c r="D59" s="1308">
        <v>8255501.1882871399</v>
      </c>
      <c r="E59" s="1308">
        <v>243</v>
      </c>
      <c r="F59" s="1308">
        <v>11199523.1538244</v>
      </c>
    </row>
    <row r="60" spans="1:6">
      <c r="A60" s="1307" t="s">
        <v>48</v>
      </c>
      <c r="B60" s="1307" t="s">
        <v>52</v>
      </c>
      <c r="C60" s="1308">
        <v>89</v>
      </c>
      <c r="D60" s="1308">
        <v>3990279.3319758899</v>
      </c>
      <c r="E60" s="1308">
        <v>110</v>
      </c>
      <c r="F60" s="1308">
        <v>2378281.3299225201</v>
      </c>
    </row>
    <row r="61" spans="1:6">
      <c r="A61" s="1307" t="s">
        <v>48</v>
      </c>
      <c r="B61" s="1307" t="s">
        <v>53</v>
      </c>
      <c r="C61" s="1308">
        <v>153</v>
      </c>
      <c r="D61" s="1308">
        <v>6719241.0355727999</v>
      </c>
      <c r="E61" s="1308">
        <v>430</v>
      </c>
      <c r="F61" s="1308">
        <v>5429863.8186633503</v>
      </c>
    </row>
    <row r="62" spans="1:6">
      <c r="A62" s="1307" t="s">
        <v>48</v>
      </c>
      <c r="B62" s="1307" t="s">
        <v>54</v>
      </c>
      <c r="C62" s="1308">
        <v>21</v>
      </c>
      <c r="D62" s="1308">
        <v>2324088.7386262999</v>
      </c>
      <c r="E62" s="1308">
        <v>23</v>
      </c>
      <c r="F62" s="1308">
        <v>862575.83221451798</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4</v>
      </c>
      <c r="D65" s="1308">
        <v>1077600.94061083</v>
      </c>
      <c r="E65" s="1308">
        <v>0</v>
      </c>
      <c r="F65" s="1308">
        <v>0</v>
      </c>
    </row>
    <row r="66" spans="1:6">
      <c r="A66" s="1307" t="s">
        <v>55</v>
      </c>
      <c r="B66" s="1307" t="s">
        <v>57</v>
      </c>
      <c r="C66" s="1308">
        <v>0</v>
      </c>
      <c r="D66" s="1308">
        <v>0</v>
      </c>
      <c r="E66" s="1308">
        <v>19</v>
      </c>
      <c r="F66" s="1308">
        <v>421072.90542813198</v>
      </c>
    </row>
    <row r="67" spans="1:6">
      <c r="A67" s="1309" t="s">
        <v>55</v>
      </c>
      <c r="B67" s="1309" t="s">
        <v>58</v>
      </c>
      <c r="C67" s="1308">
        <v>0</v>
      </c>
      <c r="D67" s="1308">
        <v>0</v>
      </c>
      <c r="E67" s="1308">
        <v>0</v>
      </c>
      <c r="F67" s="1308">
        <v>0</v>
      </c>
    </row>
    <row r="68" spans="1:6">
      <c r="A68" s="1302" t="s">
        <v>55</v>
      </c>
      <c r="B68" s="1302" t="s">
        <v>59</v>
      </c>
      <c r="C68" s="1311">
        <v>0</v>
      </c>
      <c r="D68" s="1311">
        <v>0</v>
      </c>
      <c r="E68" s="1311">
        <v>11</v>
      </c>
      <c r="F68" s="1311">
        <v>320723.56273523299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63569452</v>
      </c>
      <c r="E73" s="447"/>
      <c r="F73" s="326"/>
    </row>
    <row r="74" spans="1:6">
      <c r="A74" s="1307" t="s">
        <v>63</v>
      </c>
      <c r="B74" s="1307" t="s">
        <v>639</v>
      </c>
      <c r="C74" s="1321" t="s">
        <v>641</v>
      </c>
      <c r="D74" s="1322">
        <v>7466480.6874861652</v>
      </c>
      <c r="E74" s="447"/>
      <c r="F74" s="326"/>
    </row>
    <row r="75" spans="1:6">
      <c r="A75" s="1307" t="s">
        <v>64</v>
      </c>
      <c r="B75" s="1307" t="s">
        <v>638</v>
      </c>
      <c r="C75" s="1321" t="s">
        <v>642</v>
      </c>
      <c r="D75" s="1322">
        <v>15763292</v>
      </c>
      <c r="E75" s="447"/>
      <c r="F75" s="326"/>
    </row>
    <row r="76" spans="1:6">
      <c r="A76" s="1307" t="s">
        <v>64</v>
      </c>
      <c r="B76" s="1307" t="s">
        <v>639</v>
      </c>
      <c r="C76" s="1321" t="s">
        <v>643</v>
      </c>
      <c r="D76" s="1322">
        <v>2371871.6874861657</v>
      </c>
      <c r="E76" s="447"/>
      <c r="F76" s="326"/>
    </row>
    <row r="77" spans="1:6">
      <c r="A77" s="1307" t="s">
        <v>65</v>
      </c>
      <c r="B77" s="1307" t="s">
        <v>638</v>
      </c>
      <c r="C77" s="1321" t="s">
        <v>644</v>
      </c>
      <c r="D77" s="1322">
        <v>66882328</v>
      </c>
      <c r="E77" s="447"/>
      <c r="F77" s="326"/>
    </row>
    <row r="78" spans="1:6">
      <c r="A78" s="1302" t="s">
        <v>65</v>
      </c>
      <c r="B78" s="1302" t="s">
        <v>639</v>
      </c>
      <c r="C78" s="1302" t="s">
        <v>645</v>
      </c>
      <c r="D78" s="1323">
        <v>26451959</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313992.62502766901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3848.602091647997</v>
      </c>
      <c r="C91" s="326"/>
      <c r="D91" s="326"/>
      <c r="E91" s="326"/>
      <c r="F91" s="326"/>
    </row>
    <row r="92" spans="1:6">
      <c r="A92" s="1302" t="s">
        <v>68</v>
      </c>
      <c r="B92" s="1303">
        <v>8843.0569002553784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2583</v>
      </c>
      <c r="C97" s="326"/>
      <c r="D97" s="326"/>
      <c r="E97" s="326"/>
      <c r="F97" s="326"/>
    </row>
    <row r="98" spans="1:6">
      <c r="A98" s="1307" t="s">
        <v>71</v>
      </c>
      <c r="B98" s="1308">
        <v>0</v>
      </c>
      <c r="C98" s="326"/>
      <c r="D98" s="326"/>
      <c r="E98" s="326"/>
      <c r="F98" s="326"/>
    </row>
    <row r="99" spans="1:6">
      <c r="A99" s="1307" t="s">
        <v>72</v>
      </c>
      <c r="B99" s="1308">
        <v>141</v>
      </c>
      <c r="C99" s="326"/>
      <c r="D99" s="326"/>
      <c r="E99" s="326"/>
      <c r="F99" s="326"/>
    </row>
    <row r="100" spans="1:6">
      <c r="A100" s="1307" t="s">
        <v>73</v>
      </c>
      <c r="B100" s="1308">
        <v>366</v>
      </c>
      <c r="C100" s="326"/>
      <c r="D100" s="326"/>
      <c r="E100" s="326"/>
      <c r="F100" s="326"/>
    </row>
    <row r="101" spans="1:6">
      <c r="A101" s="1307" t="s">
        <v>74</v>
      </c>
      <c r="B101" s="1308">
        <v>85</v>
      </c>
      <c r="C101" s="326"/>
      <c r="D101" s="326"/>
      <c r="E101" s="326"/>
      <c r="F101" s="326"/>
    </row>
    <row r="102" spans="1:6">
      <c r="A102" s="1307" t="s">
        <v>75</v>
      </c>
      <c r="B102" s="1308">
        <v>65</v>
      </c>
      <c r="C102" s="326"/>
      <c r="D102" s="326"/>
      <c r="E102" s="326"/>
      <c r="F102" s="326"/>
    </row>
    <row r="103" spans="1:6">
      <c r="A103" s="1307" t="s">
        <v>76</v>
      </c>
      <c r="B103" s="1308">
        <v>106</v>
      </c>
      <c r="C103" s="326"/>
      <c r="D103" s="326"/>
      <c r="E103" s="326"/>
      <c r="F103" s="326"/>
    </row>
    <row r="104" spans="1:6">
      <c r="A104" s="1307" t="s">
        <v>77</v>
      </c>
      <c r="B104" s="1308">
        <v>1077</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1</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13</v>
      </c>
      <c r="C123" s="1308">
        <v>23</v>
      </c>
      <c r="D123" s="326"/>
      <c r="E123" s="326"/>
      <c r="F123" s="326"/>
    </row>
    <row r="124" spans="1:6" s="43" customFormat="1">
      <c r="A124" s="1309" t="s">
        <v>88</v>
      </c>
      <c r="B124" s="1330">
        <v>2</v>
      </c>
      <c r="C124" s="1330">
        <v>5</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238</v>
      </c>
      <c r="C129" s="326"/>
      <c r="D129" s="326"/>
      <c r="E129" s="326"/>
      <c r="F129" s="326"/>
    </row>
    <row r="130" spans="1:6">
      <c r="A130" s="1307" t="s">
        <v>290</v>
      </c>
      <c r="B130" s="1308">
        <v>7</v>
      </c>
      <c r="C130" s="326"/>
      <c r="D130" s="326"/>
      <c r="E130" s="326"/>
      <c r="F130" s="326"/>
    </row>
    <row r="131" spans="1:6">
      <c r="A131" s="1307" t="s">
        <v>291</v>
      </c>
      <c r="B131" s="1308">
        <v>2</v>
      </c>
      <c r="C131" s="326"/>
      <c r="D131" s="326"/>
      <c r="E131" s="326"/>
      <c r="F131" s="326"/>
    </row>
    <row r="132" spans="1:6">
      <c r="A132" s="1302" t="s">
        <v>292</v>
      </c>
      <c r="B132" s="1303">
        <v>10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110807.17179820056</v>
      </c>
      <c r="C3" s="43" t="s">
        <v>169</v>
      </c>
      <c r="D3" s="43"/>
      <c r="E3" s="154"/>
      <c r="F3" s="43"/>
      <c r="G3" s="43"/>
      <c r="H3" s="43"/>
      <c r="I3" s="43"/>
      <c r="J3" s="43"/>
      <c r="K3" s="96"/>
    </row>
    <row r="4" spans="1:11">
      <c r="A4" s="354" t="s">
        <v>170</v>
      </c>
      <c r="B4" s="49">
        <f>IF(ISERROR('SEAP template'!B78+'SEAP template'!C78),0,'SEAP template'!B78+'SEAP template'!C78)</f>
        <v>14044.808991903375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311.19882352941175</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0.19579672192367437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444.56974789915967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1933.0714285714287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0.22998102466793169</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916.62599999999998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916.62599999999998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0.19579672192367437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179.47236603000994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15151.5539515743</v>
      </c>
      <c r="C5" s="17">
        <f>IF(ISERROR('Eigen informatie GS &amp; warmtenet'!B59),0,'Eigen informatie GS &amp; warmtenet'!B59)</f>
        <v>0</v>
      </c>
      <c r="D5" s="30">
        <f>(SUM(HH_hh_gas_kWh,HH_rest_gas_kWh)/1000)*0.903</f>
        <v>44972.52515702122</v>
      </c>
      <c r="E5" s="17">
        <f>B32*B41</f>
        <v>872.56386444625048</v>
      </c>
      <c r="F5" s="17">
        <f>B36*B45</f>
        <v>19819.311437774937</v>
      </c>
      <c r="G5" s="18"/>
      <c r="H5" s="17"/>
      <c r="I5" s="17"/>
      <c r="J5" s="17">
        <f>B35*B44+C35*C44</f>
        <v>99.152671221422651</v>
      </c>
      <c r="K5" s="17"/>
      <c r="L5" s="17"/>
      <c r="M5" s="17"/>
      <c r="N5" s="17">
        <f>B34*B43+C34*C43</f>
        <v>6810.5667442616459</v>
      </c>
      <c r="O5" s="17">
        <f>B52*B53*B54</f>
        <v>527.73288635695042</v>
      </c>
      <c r="P5" s="17">
        <f>B60*B61*B62/1000-B60*B61*B62/1000/B63</f>
        <v>263.34898269212556</v>
      </c>
    </row>
    <row r="6" spans="1:16">
      <c r="A6" s="16" t="s">
        <v>604</v>
      </c>
      <c r="B6" s="779">
        <f>kWh_PV_kleiner_dan_10kW</f>
        <v>3848.602091647997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19000.156043222298</v>
      </c>
      <c r="C8" s="21">
        <f>C5</f>
        <v>0</v>
      </c>
      <c r="D8" s="21">
        <f>D5</f>
        <v>44972.52515702122</v>
      </c>
      <c r="E8" s="21">
        <f>E5</f>
        <v>872.56386444625048</v>
      </c>
      <c r="F8" s="21">
        <f>F5</f>
        <v>19819.311437774937</v>
      </c>
      <c r="G8" s="21"/>
      <c r="H8" s="21"/>
      <c r="I8" s="21"/>
      <c r="J8" s="21">
        <f>J5</f>
        <v>99.152671221422651</v>
      </c>
      <c r="K8" s="21"/>
      <c r="L8" s="21">
        <f>L5</f>
        <v>0</v>
      </c>
      <c r="M8" s="21">
        <f>M5</f>
        <v>0</v>
      </c>
      <c r="N8" s="21">
        <f>N5</f>
        <v>6810.5667442616459</v>
      </c>
      <c r="O8" s="21">
        <f>O5</f>
        <v>527.73288635695042</v>
      </c>
      <c r="P8" s="21">
        <f>P5</f>
        <v>263.34898269212556</v>
      </c>
    </row>
    <row r="9" spans="1:16">
      <c r="B9" s="19"/>
      <c r="C9" s="19"/>
      <c r="D9" s="254"/>
      <c r="E9" s="19"/>
      <c r="F9" s="19"/>
      <c r="G9" s="19"/>
      <c r="H9" s="19"/>
      <c r="I9" s="19"/>
      <c r="J9" s="19"/>
      <c r="K9" s="19"/>
      <c r="L9" s="19"/>
      <c r="M9" s="19"/>
      <c r="N9" s="19"/>
      <c r="O9" s="19"/>
      <c r="P9" s="19"/>
    </row>
    <row r="10" spans="1:16">
      <c r="A10" s="24" t="s">
        <v>213</v>
      </c>
      <c r="B10" s="25">
        <f ca="1">'EF ele_warmte'!B12</f>
        <v>0.19579672192367437</v>
      </c>
      <c r="C10" s="25">
        <f ca="1">'EF ele_warmte'!B22</f>
        <v>0.22998102466793169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3720.1682693012172</v>
      </c>
      <c r="C12" s="23">
        <f ca="1">C10*C8</f>
        <v>0</v>
      </c>
      <c r="D12" s="23">
        <f>D8*D10</f>
        <v>9084.450081718287</v>
      </c>
      <c r="E12" s="23">
        <f>E10*E8</f>
        <v>198.07199722929886</v>
      </c>
      <c r="F12" s="23">
        <f>F10*F8</f>
        <v>5291.7561538859081</v>
      </c>
      <c r="G12" s="23"/>
      <c r="H12" s="23"/>
      <c r="I12" s="23"/>
      <c r="J12" s="23">
        <f>J10*J8</f>
        <v>35.100045612383617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5212</v>
      </c>
      <c r="C26" s="36"/>
      <c r="D26" s="225"/>
    </row>
    <row r="27" spans="1:5" s="15" customFormat="1">
      <c r="A27" s="227" t="s">
        <v>817</v>
      </c>
      <c r="B27" s="37">
        <f>SUM(HH_hh_gas_aantal,HH_rest_gas_aantal)</f>
        <v>3981</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3781.95</v>
      </c>
      <c r="C31" s="34" t="s">
        <v>110</v>
      </c>
      <c r="D31" s="171"/>
    </row>
    <row r="32" spans="1:5">
      <c r="A32" s="168" t="s">
        <v>72</v>
      </c>
      <c r="B32" s="33">
        <f>IF((B21*($B$26-($B$27-0.05*$B$27)-$B$60))&lt;0,0,B21*($B$26-($B$27-0.05*$B$27)-$B$60))</f>
        <v>21.625628986079064</v>
      </c>
      <c r="C32" s="34" t="s">
        <v>110</v>
      </c>
      <c r="D32" s="171"/>
    </row>
    <row r="33" spans="1:6">
      <c r="A33" s="168" t="s">
        <v>73</v>
      </c>
      <c r="B33" s="33">
        <f>IF((B22*($B$26-($B$27-0.05*$B$27)-$B$60))&lt;0,0,B22*($B$26-($B$27-0.05*$B$27)-$B$60))</f>
        <v>351.15738470561951</v>
      </c>
      <c r="C33" s="34" t="s">
        <v>110</v>
      </c>
      <c r="D33" s="171"/>
    </row>
    <row r="34" spans="1:6">
      <c r="A34" s="168" t="s">
        <v>74</v>
      </c>
      <c r="B34" s="33">
        <f>IF((B24*($B$26-($B$27-0.05*$B$27)-$B$60))&lt;0,0,B24*($B$26-($B$27-0.05*$B$27)-$B$60))</f>
        <v>67.263553253527448</v>
      </c>
      <c r="C34" s="33">
        <f>B26*C24</f>
        <v>1067.2815674865374</v>
      </c>
      <c r="D34" s="230"/>
    </row>
    <row r="35" spans="1:6">
      <c r="A35" s="168" t="s">
        <v>76</v>
      </c>
      <c r="B35" s="33">
        <f>IF((B19*($B$26-($B$27-0.05*$B$27)-$B$60))&lt;0,0,B19*($B$26-($B$27-0.05*$B$27)-$B$60))</f>
        <v>9.4006093633378836</v>
      </c>
      <c r="C35" s="33">
        <f>B35/2</f>
        <v>4.7003046816689418</v>
      </c>
      <c r="D35" s="230"/>
    </row>
    <row r="36" spans="1:6">
      <c r="A36" s="168" t="s">
        <v>77</v>
      </c>
      <c r="B36" s="33">
        <f>IF((B18*($B$26-($B$27-0.05*$B$27)-$B$60))&lt;0,0,B18*($B$26-($B$27-0.05*$B$27)-$B$60))</f>
        <v>955.6028236914359</v>
      </c>
      <c r="C36" s="34" t="s">
        <v>110</v>
      </c>
      <c r="D36" s="171"/>
    </row>
    <row r="37" spans="1:6">
      <c r="A37" s="168" t="s">
        <v>78</v>
      </c>
      <c r="B37" s="33">
        <f>B60</f>
        <v>25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266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28044.041578326811</v>
      </c>
      <c r="C5" s="17">
        <f>IF(ISERROR('Eigen informatie GS &amp; warmtenet'!B60),0,'Eigen informatie GS &amp; warmtenet'!B60)</f>
        <v>0</v>
      </c>
      <c r="D5" s="30">
        <f>SUM(D6:D12)</f>
        <v>29959.234051820458</v>
      </c>
      <c r="E5" s="17">
        <f>SUM(E6:E12)</f>
        <v>73.961081979632439</v>
      </c>
      <c r="F5" s="17">
        <f>SUM(F6:F12)</f>
        <v>3936.6385289590094</v>
      </c>
      <c r="G5" s="18"/>
      <c r="H5" s="17"/>
      <c r="I5" s="17"/>
      <c r="J5" s="17">
        <f>SUM(J6:J12)</f>
        <v>2.2961889231781323E-2</v>
      </c>
      <c r="K5" s="17"/>
      <c r="L5" s="17"/>
      <c r="M5" s="17"/>
      <c r="N5" s="17">
        <f>SUM(N6:N12)</f>
        <v>882.93298189591428</v>
      </c>
      <c r="O5" s="17">
        <f>B38*B39*B40</f>
        <v>34.280825360888088</v>
      </c>
      <c r="P5" s="17">
        <f>B46*B47*B48/1000-B46*B47*B48/1000/B49</f>
        <v>105.07827661299004</v>
      </c>
      <c r="R5" s="32"/>
    </row>
    <row r="6" spans="1:18">
      <c r="A6" s="32" t="s">
        <v>53</v>
      </c>
      <c r="B6" s="37">
        <f>B26</f>
        <v>5429.8638186633507</v>
      </c>
      <c r="C6" s="33"/>
      <c r="D6" s="37">
        <f>IF(ISERROR(TER_kantoor_gas_kWh/1000),0,TER_kantoor_gas_kWh/1000)*0.903</f>
        <v>6067.4746551222388</v>
      </c>
      <c r="E6" s="33">
        <f>$C$26*'E Balans VL '!I12/100/3.6*1000000</f>
        <v>1.3008663051573497</v>
      </c>
      <c r="F6" s="33">
        <f>$C$26*('E Balans VL '!L12+'E Balans VL '!N12)/100/3.6*1000000</f>
        <v>514.90760837841924</v>
      </c>
      <c r="G6" s="34"/>
      <c r="H6" s="33"/>
      <c r="I6" s="33"/>
      <c r="J6" s="33">
        <f>$C$26*('E Balans VL '!D12+'E Balans VL '!E12)/100/3.6*1000000</f>
        <v>0</v>
      </c>
      <c r="K6" s="33"/>
      <c r="L6" s="33"/>
      <c r="M6" s="33"/>
      <c r="N6" s="33">
        <f>$C$26*'E Balans VL '!Y12/100/3.6*1000000</f>
        <v>2.7580899672564518</v>
      </c>
      <c r="O6" s="33"/>
      <c r="P6" s="33"/>
      <c r="R6" s="32"/>
    </row>
    <row r="7" spans="1:18">
      <c r="A7" s="32" t="s">
        <v>52</v>
      </c>
      <c r="B7" s="37">
        <f t="shared" ref="B7:B12" si="0">B27</f>
        <v>2378.2813299225199</v>
      </c>
      <c r="C7" s="33"/>
      <c r="D7" s="37">
        <f>IF(ISERROR(TER_horeca_gas_kWh/1000),0,TER_horeca_gas_kWh/1000)*0.903</f>
        <v>3603.2222367742288</v>
      </c>
      <c r="E7" s="33">
        <f>$C$27*'E Balans VL '!I9/100/3.6*1000000</f>
        <v>0</v>
      </c>
      <c r="F7" s="33">
        <f>$C$27*('E Balans VL '!L9+'E Balans VL '!N9)/100/3.6*1000000</f>
        <v>195.01347845317588</v>
      </c>
      <c r="G7" s="34"/>
      <c r="H7" s="33"/>
      <c r="I7" s="33"/>
      <c r="J7" s="33">
        <f>$C$27*('E Balans VL '!D9+'E Balans VL '!E9)/100/3.6*1000000</f>
        <v>0</v>
      </c>
      <c r="K7" s="33"/>
      <c r="L7" s="33"/>
      <c r="M7" s="33"/>
      <c r="N7" s="33">
        <f>$C$27*'E Balans VL '!Y9/100/3.6*1000000</f>
        <v>0.72903877995788413</v>
      </c>
      <c r="O7" s="33"/>
      <c r="P7" s="33"/>
      <c r="R7" s="32"/>
    </row>
    <row r="8" spans="1:18">
      <c r="A8" s="6" t="s">
        <v>51</v>
      </c>
      <c r="B8" s="37">
        <f t="shared" si="0"/>
        <v>11199.523153824401</v>
      </c>
      <c r="C8" s="33"/>
      <c r="D8" s="37">
        <f>IF(ISERROR(TER_handel_gas_kWh/1000),0,TER_handel_gas_kWh/1000)*0.903</f>
        <v>7454.7175730232884</v>
      </c>
      <c r="E8" s="33">
        <f>$C$28*'E Balans VL '!I13/100/3.6*1000000</f>
        <v>39.360202751568274</v>
      </c>
      <c r="F8" s="33">
        <f>$C$28*('E Balans VL '!L13+'E Balans VL '!N13)/100/3.6*1000000</f>
        <v>1024.7362561083719</v>
      </c>
      <c r="G8" s="34"/>
      <c r="H8" s="33"/>
      <c r="I8" s="33"/>
      <c r="J8" s="33">
        <f>$C$28*('E Balans VL '!D13+'E Balans VL '!E13)/100/3.6*1000000</f>
        <v>0</v>
      </c>
      <c r="K8" s="33"/>
      <c r="L8" s="33"/>
      <c r="M8" s="33"/>
      <c r="N8" s="33">
        <f>$C$28*'E Balans VL '!Y13/100/3.6*1000000</f>
        <v>4.0559851287988575</v>
      </c>
      <c r="O8" s="33"/>
      <c r="P8" s="33"/>
      <c r="R8" s="32"/>
    </row>
    <row r="9" spans="1:18">
      <c r="A9" s="32" t="s">
        <v>50</v>
      </c>
      <c r="B9" s="37">
        <f t="shared" si="0"/>
        <v>5848.7359315697995</v>
      </c>
      <c r="C9" s="33"/>
      <c r="D9" s="37">
        <f>IF(ISERROR(TER_gezond_gas_kWh/1000),0,TER_gezond_gas_kWh/1000)*0.903</f>
        <v>6554.6774415840073</v>
      </c>
      <c r="E9" s="33">
        <f>$C$29*'E Balans VL '!I10/100/3.6*1000000</f>
        <v>0</v>
      </c>
      <c r="F9" s="33">
        <f>$C$29*('E Balans VL '!L10+'E Balans VL '!N10)/100/3.6*1000000</f>
        <v>716.9476251750441</v>
      </c>
      <c r="G9" s="34"/>
      <c r="H9" s="33"/>
      <c r="I9" s="33"/>
      <c r="J9" s="33">
        <f>$C$29*('E Balans VL '!D10+'E Balans VL '!E10)/100/3.6*1000000</f>
        <v>0</v>
      </c>
      <c r="K9" s="33"/>
      <c r="L9" s="33"/>
      <c r="M9" s="33"/>
      <c r="N9" s="33">
        <f>$C$29*'E Balans VL '!Y10/100/3.6*1000000</f>
        <v>43.130351775412819</v>
      </c>
      <c r="O9" s="33"/>
      <c r="P9" s="33"/>
      <c r="R9" s="32"/>
    </row>
    <row r="10" spans="1:18">
      <c r="A10" s="32" t="s">
        <v>49</v>
      </c>
      <c r="B10" s="37">
        <f t="shared" si="0"/>
        <v>2325.0615121322198</v>
      </c>
      <c r="C10" s="33"/>
      <c r="D10" s="37">
        <f>IF(ISERROR(TER_ander_gas_kWh/1000),0,TER_ander_gas_kWh/1000)*0.903</f>
        <v>4180.490014337146</v>
      </c>
      <c r="E10" s="33">
        <f>$C$30*'E Balans VL '!I14/100/3.6*1000000</f>
        <v>33.300012922906824</v>
      </c>
      <c r="F10" s="33">
        <f>$C$30*('E Balans VL '!L14+'E Balans VL '!N14)/100/3.6*1000000</f>
        <v>1384.1881741490497</v>
      </c>
      <c r="G10" s="34"/>
      <c r="H10" s="33"/>
      <c r="I10" s="33"/>
      <c r="J10" s="33">
        <f>$C$30*('E Balans VL '!D14+'E Balans VL '!E14)/100/3.6*1000000</f>
        <v>2.2961889231781323E-2</v>
      </c>
      <c r="K10" s="33"/>
      <c r="L10" s="33"/>
      <c r="M10" s="33"/>
      <c r="N10" s="33">
        <f>$C$30*'E Balans VL '!Y14/100/3.6*1000000</f>
        <v>829.83060175160506</v>
      </c>
      <c r="O10" s="33"/>
      <c r="P10" s="33"/>
      <c r="R10" s="32"/>
    </row>
    <row r="11" spans="1:18">
      <c r="A11" s="32" t="s">
        <v>54</v>
      </c>
      <c r="B11" s="37">
        <f t="shared" si="0"/>
        <v>862.57583221451796</v>
      </c>
      <c r="C11" s="33"/>
      <c r="D11" s="37">
        <f>IF(ISERROR(TER_onderwijs_gas_kWh/1000),0,TER_onderwijs_gas_kWh/1000)*0.903</f>
        <v>2098.6521309795489</v>
      </c>
      <c r="E11" s="33">
        <f>$C$31*'E Balans VL '!I11/100/3.6*1000000</f>
        <v>0</v>
      </c>
      <c r="F11" s="33">
        <f>$C$31*('E Balans VL '!L11+'E Balans VL '!N11)/100/3.6*1000000</f>
        <v>100.84538669494842</v>
      </c>
      <c r="G11" s="34"/>
      <c r="H11" s="33"/>
      <c r="I11" s="33"/>
      <c r="J11" s="33">
        <f>$C$31*('E Balans VL '!D11+'E Balans VL '!E11)/100/3.6*1000000</f>
        <v>0</v>
      </c>
      <c r="K11" s="33"/>
      <c r="L11" s="33"/>
      <c r="M11" s="33"/>
      <c r="N11" s="33">
        <f>$C$31*'E Balans VL '!Y11/100/3.6*1000000</f>
        <v>2.4289144928832647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1309.5</v>
      </c>
      <c r="C13" s="243">
        <f ca="1">'lokale energieproductie'!O39+'lokale energieproductie'!O32</f>
        <v>1870.7142857142858</v>
      </c>
      <c r="D13" s="304">
        <f ca="1">('lokale energieproductie'!P32+'lokale energieproductie'!P39)*(-1)</f>
        <v>-3741.4285714285716</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29353.541578326811</v>
      </c>
      <c r="C16" s="21">
        <f t="shared" ca="1" si="1"/>
        <v>1870.7142857142858</v>
      </c>
      <c r="D16" s="21">
        <f t="shared" ca="1" si="1"/>
        <v>26217.805480391886</v>
      </c>
      <c r="E16" s="21">
        <f t="shared" si="1"/>
        <v>73.961081979632439</v>
      </c>
      <c r="F16" s="21">
        <f t="shared" ca="1" si="1"/>
        <v>3936.6385289590094</v>
      </c>
      <c r="G16" s="21">
        <f t="shared" si="1"/>
        <v>0</v>
      </c>
      <c r="H16" s="21">
        <f t="shared" si="1"/>
        <v>0</v>
      </c>
      <c r="I16" s="21">
        <f t="shared" si="1"/>
        <v>0</v>
      </c>
      <c r="J16" s="21">
        <f t="shared" si="1"/>
        <v>2.2961889231781323E-2</v>
      </c>
      <c r="K16" s="21">
        <f t="shared" si="1"/>
        <v>0</v>
      </c>
      <c r="L16" s="21">
        <f t="shared" ca="1" si="1"/>
        <v>0</v>
      </c>
      <c r="M16" s="21">
        <f t="shared" si="1"/>
        <v>0</v>
      </c>
      <c r="N16" s="21">
        <f t="shared" ca="1" si="1"/>
        <v>882.93298189591428</v>
      </c>
      <c r="O16" s="21">
        <f>O5</f>
        <v>34.280825360888088</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0.19579672192367437</v>
      </c>
      <c r="C18" s="25">
        <f ca="1">'EF ele_warmte'!B22</f>
        <v>0.22998102466793169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5747.3272178866682</v>
      </c>
      <c r="C20" s="23">
        <f t="shared" ref="C20:P20" ca="1" si="2">C16*C18</f>
        <v>430.22878828950934</v>
      </c>
      <c r="D20" s="23">
        <f t="shared" ca="1" si="2"/>
        <v>5295.9967070391613</v>
      </c>
      <c r="E20" s="23">
        <f t="shared" si="2"/>
        <v>16.789165609376564</v>
      </c>
      <c r="F20" s="23">
        <f t="shared" ca="1" si="2"/>
        <v>1051.0824872320557</v>
      </c>
      <c r="G20" s="23">
        <f t="shared" si="2"/>
        <v>0</v>
      </c>
      <c r="H20" s="23">
        <f t="shared" si="2"/>
        <v>0</v>
      </c>
      <c r="I20" s="23">
        <f t="shared" si="2"/>
        <v>0</v>
      </c>
      <c r="J20" s="23">
        <f t="shared" si="2"/>
        <v>8.1285087880505879E-3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5429.8638186633507</v>
      </c>
      <c r="C26" s="39">
        <f>IF(ISERROR(B26*3.6/1000000/'E Balans VL '!Z12*100),0,B26*3.6/1000000/'E Balans VL '!Z12*100)</f>
        <v>0.15313653869371002</v>
      </c>
      <c r="D26" s="233" t="s">
        <v>691</v>
      </c>
      <c r="F26" s="6"/>
    </row>
    <row r="27" spans="1:18">
      <c r="A27" s="228" t="s">
        <v>52</v>
      </c>
      <c r="B27" s="33">
        <f>IF(ISERROR(TER_horeca_ele_kWh/1000),0,TER_horeca_ele_kWh/1000)</f>
        <v>2378.2813299225199</v>
      </c>
      <c r="C27" s="39">
        <f>IF(ISERROR(B27*3.6/1000000/'E Balans VL '!Z9*100),0,B27*3.6/1000000/'E Balans VL '!Z9*100)</f>
        <v>0.17632034419525389</v>
      </c>
      <c r="D27" s="233" t="s">
        <v>691</v>
      </c>
      <c r="F27" s="6"/>
    </row>
    <row r="28" spans="1:18">
      <c r="A28" s="168" t="s">
        <v>51</v>
      </c>
      <c r="B28" s="33">
        <f>IF(ISERROR(TER_handel_ele_kWh/1000),0,TER_handel_ele_kWh/1000)</f>
        <v>11199.523153824401</v>
      </c>
      <c r="C28" s="39">
        <f>IF(ISERROR(B28*3.6/1000000/'E Balans VL '!Z13*100),0,B28*3.6/1000000/'E Balans VL '!Z13*100)</f>
        <v>0.3355110858281084</v>
      </c>
      <c r="D28" s="233" t="s">
        <v>691</v>
      </c>
      <c r="F28" s="6"/>
    </row>
    <row r="29" spans="1:18">
      <c r="A29" s="228" t="s">
        <v>50</v>
      </c>
      <c r="B29" s="33">
        <f>IF(ISERROR(TER_gezond_ele_kWh/1000),0,TER_gezond_ele_kWh/1000)</f>
        <v>5848.7359315697995</v>
      </c>
      <c r="C29" s="39">
        <f>IF(ISERROR(B29*3.6/1000000/'E Balans VL '!Z10*100),0,B29*3.6/1000000/'E Balans VL '!Z10*100)</f>
        <v>0.57832530131462723</v>
      </c>
      <c r="D29" s="233" t="s">
        <v>691</v>
      </c>
      <c r="F29" s="6"/>
    </row>
    <row r="30" spans="1:18">
      <c r="A30" s="228" t="s">
        <v>49</v>
      </c>
      <c r="B30" s="33">
        <f>IF(ISERROR(TER_ander_ele_kWh/1000),0,TER_ander_ele_kWh/1000)</f>
        <v>2325.0615121322198</v>
      </c>
      <c r="C30" s="39">
        <f>IF(ISERROR(B30*3.6/1000000/'E Balans VL '!Z14*100),0,B30*3.6/1000000/'E Balans VL '!Z14*100)</f>
        <v>9.4041867160879145E-2</v>
      </c>
      <c r="D30" s="233" t="s">
        <v>691</v>
      </c>
      <c r="F30" s="6"/>
    </row>
    <row r="31" spans="1:18">
      <c r="A31" s="228" t="s">
        <v>54</v>
      </c>
      <c r="B31" s="33">
        <f>IF(ISERROR(TER_onderwijs_ele_kWh/1000),0,TER_onderwijs_ele_kWh/1000)</f>
        <v>862.57583221451796</v>
      </c>
      <c r="C31" s="39">
        <f>IF(ISERROR(B31*3.6/1000000/'E Balans VL '!Z11*100),0,B31*3.6/1000000/'E Balans VL '!Z11*100)</f>
        <v>0.23698730554940559</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7</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56006.247118518557</v>
      </c>
      <c r="C5" s="17">
        <f>IF(ISERROR('Eigen informatie GS &amp; warmtenet'!B61),0,'Eigen informatie GS &amp; warmtenet'!B61)</f>
        <v>0</v>
      </c>
      <c r="D5" s="30">
        <f>SUM(D6:D15)</f>
        <v>170391.21677674275</v>
      </c>
      <c r="E5" s="17">
        <f>SUM(E6:E15)</f>
        <v>147.51053202394093</v>
      </c>
      <c r="F5" s="17">
        <f>SUM(F6:F15)</f>
        <v>5890.9080353556637</v>
      </c>
      <c r="G5" s="18"/>
      <c r="H5" s="17"/>
      <c r="I5" s="17"/>
      <c r="J5" s="17">
        <f>SUM(J6:J15)</f>
        <v>5.0121013834504877</v>
      </c>
      <c r="K5" s="17"/>
      <c r="L5" s="17"/>
      <c r="M5" s="17"/>
      <c r="N5" s="17">
        <f>SUM(N6:N15)</f>
        <v>1857.8175301464607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1932.4259969493501</v>
      </c>
      <c r="C8" s="33"/>
      <c r="D8" s="37">
        <f>IF( ISERROR(IND_metaal_Gas_kWH/1000),0,IND_metaal_Gas_kWH/1000)*0.903</f>
        <v>4059.1207097953843</v>
      </c>
      <c r="E8" s="33">
        <f>C30*'E Balans VL '!I18/100/3.6*1000000</f>
        <v>9.7436290450037468</v>
      </c>
      <c r="F8" s="33">
        <f>C30*'E Balans VL '!L18/100/3.6*1000000+C30*'E Balans VL '!N18/100/3.6*1000000</f>
        <v>132.0272929294681</v>
      </c>
      <c r="G8" s="34"/>
      <c r="H8" s="33"/>
      <c r="I8" s="33"/>
      <c r="J8" s="40">
        <f>C30*'E Balans VL '!D18/100/3.6*1000000+C30*'E Balans VL '!E18/100/3.6*1000000</f>
        <v>1.7132604843566615</v>
      </c>
      <c r="K8" s="33"/>
      <c r="L8" s="33"/>
      <c r="M8" s="33"/>
      <c r="N8" s="33">
        <f>C30*'E Balans VL '!Y18/100/3.6*1000000</f>
        <v>25.681952967491675</v>
      </c>
      <c r="O8" s="33"/>
      <c r="P8" s="33"/>
      <c r="R8" s="32"/>
    </row>
    <row r="9" spans="1:18">
      <c r="A9" s="6" t="s">
        <v>32</v>
      </c>
      <c r="B9" s="37">
        <f t="shared" si="0"/>
        <v>8001.3253269273</v>
      </c>
      <c r="C9" s="33"/>
      <c r="D9" s="37">
        <f>IF( ISERROR(IND_andere_gas_kWh/1000),0,IND_andere_gas_kWh/1000)*0.903</f>
        <v>1954.7745487180707</v>
      </c>
      <c r="E9" s="33">
        <f>C31*'E Balans VL '!I19/100/3.6*1000000</f>
        <v>25.222068490151166</v>
      </c>
      <c r="F9" s="33">
        <f>C31*'E Balans VL '!L19/100/3.6*1000000+C31*'E Balans VL '!N19/100/3.6*1000000</f>
        <v>4898.0748397121051</v>
      </c>
      <c r="G9" s="34"/>
      <c r="H9" s="33"/>
      <c r="I9" s="33"/>
      <c r="J9" s="40">
        <f>C31*'E Balans VL '!D19/100/3.6*1000000+C31*'E Balans VL '!E19/100/3.6*1000000</f>
        <v>0</v>
      </c>
      <c r="K9" s="33"/>
      <c r="L9" s="33"/>
      <c r="M9" s="33"/>
      <c r="N9" s="33">
        <f>C31*'E Balans VL '!Y19/100/3.6*1000000</f>
        <v>335.50643532452636</v>
      </c>
      <c r="O9" s="33"/>
      <c r="P9" s="33"/>
      <c r="R9" s="32"/>
    </row>
    <row r="10" spans="1:18">
      <c r="A10" s="6" t="s">
        <v>40</v>
      </c>
      <c r="B10" s="37">
        <f t="shared" si="0"/>
        <v>43691.339858241401</v>
      </c>
      <c r="C10" s="33"/>
      <c r="D10" s="37">
        <f>IF( ISERROR(IND_voed_gas_kWh/1000),0,IND_voed_gas_kWh/1000)*0.903</f>
        <v>163786.15891759534</v>
      </c>
      <c r="E10" s="33">
        <f>C32*'E Balans VL '!I20/100/3.6*1000000</f>
        <v>69.631725318088684</v>
      </c>
      <c r="F10" s="33">
        <f>C32*'E Balans VL '!L20/100/3.6*1000000+C32*'E Balans VL '!N20/100/3.6*1000000</f>
        <v>709.87813440069431</v>
      </c>
      <c r="G10" s="34"/>
      <c r="H10" s="33"/>
      <c r="I10" s="33"/>
      <c r="J10" s="40">
        <f>C32*'E Balans VL '!D20/100/3.6*1000000+C32*'E Balans VL '!E20/100/3.6*1000000</f>
        <v>0</v>
      </c>
      <c r="K10" s="33"/>
      <c r="L10" s="33"/>
      <c r="M10" s="33"/>
      <c r="N10" s="33">
        <f>C32*'E Balans VL '!Y20/100/3.6*1000000</f>
        <v>1379.9907235242588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524.04847739206593</v>
      </c>
      <c r="C12" s="33"/>
      <c r="D12" s="37">
        <f>IF( ISERROR(IND_min_gas_kWh/1000),0,IND_min_gas_kWh/1000)*0.903</f>
        <v>0</v>
      </c>
      <c r="E12" s="33">
        <f>C34*'E Balans VL '!I22/100/3.6*1000000</f>
        <v>2.2676996657478949</v>
      </c>
      <c r="F12" s="33">
        <f>C34*'E Balans VL '!L22/100/3.6*1000000+C34*'E Balans VL '!N22/100/3.6*1000000</f>
        <v>20.008817767648843</v>
      </c>
      <c r="G12" s="34"/>
      <c r="H12" s="33"/>
      <c r="I12" s="33"/>
      <c r="J12" s="40">
        <f>C34*'E Balans VL '!D22/100/3.6*1000000+C34*'E Balans VL '!E22/100/3.6*1000000</f>
        <v>0</v>
      </c>
      <c r="K12" s="33"/>
      <c r="L12" s="33"/>
      <c r="M12" s="33"/>
      <c r="N12" s="33">
        <f>C34*'E Balans VL '!Y22/100/3.6*1000000</f>
        <v>89.390865303834914</v>
      </c>
      <c r="O12" s="33"/>
      <c r="P12" s="33"/>
      <c r="R12" s="32"/>
    </row>
    <row r="13" spans="1:18">
      <c r="A13" s="6" t="s">
        <v>38</v>
      </c>
      <c r="B13" s="37">
        <f t="shared" si="0"/>
        <v>244.564624232211</v>
      </c>
      <c r="C13" s="33"/>
      <c r="D13" s="37">
        <f>IF( ISERROR(IND_papier_gas_kWh/1000),0,IND_papier_gas_kWh/1000)*0.903</f>
        <v>111.52635446358354</v>
      </c>
      <c r="E13" s="33">
        <f>C35*'E Balans VL '!I23/100/3.6*1000000</f>
        <v>0</v>
      </c>
      <c r="F13" s="33">
        <f>C35*'E Balans VL '!L23/100/3.6*1000000+C35*'E Balans VL '!N23/100/3.6*1000000</f>
        <v>1.0595676717860136E-2</v>
      </c>
      <c r="G13" s="34"/>
      <c r="H13" s="33"/>
      <c r="I13" s="33"/>
      <c r="J13" s="40">
        <f>C35*'E Balans VL '!D23/100/3.6*1000000+C35*'E Balans VL '!E23/100/3.6*1000000</f>
        <v>6.7389217903775674E-3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1612.5428347762299</v>
      </c>
      <c r="C15" s="33"/>
      <c r="D15" s="37">
        <f>IF( ISERROR(IND_rest_gas_kWh/1000),0,IND_rest_gas_kWh/1000)*0.903</f>
        <v>479.63624617034793</v>
      </c>
      <c r="E15" s="33">
        <f>C37*'E Balans VL '!I15/100/3.6*1000000</f>
        <v>40.645409504949441</v>
      </c>
      <c r="F15" s="33">
        <f>C37*'E Balans VL '!L15/100/3.6*1000000+C37*'E Balans VL '!N15/100/3.6*1000000</f>
        <v>130.90835486903023</v>
      </c>
      <c r="G15" s="34"/>
      <c r="H15" s="33"/>
      <c r="I15" s="33"/>
      <c r="J15" s="40">
        <f>C37*'E Balans VL '!D15/100/3.6*1000000+C37*'E Balans VL '!E15/100/3.6*1000000</f>
        <v>3.292101977303449</v>
      </c>
      <c r="K15" s="33"/>
      <c r="L15" s="33"/>
      <c r="M15" s="33"/>
      <c r="N15" s="33">
        <f>C37*'E Balans VL '!Y15/100/3.6*1000000</f>
        <v>27.247553026348847</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56006.247118518557</v>
      </c>
      <c r="C18" s="21">
        <f>C5+C16</f>
        <v>0</v>
      </c>
      <c r="D18" s="21">
        <f>MAX((D5+D16),0)</f>
        <v>170391.21677674275</v>
      </c>
      <c r="E18" s="21">
        <f>MAX((E5+E16),0)</f>
        <v>147.51053202394093</v>
      </c>
      <c r="F18" s="21">
        <f>MAX((F5+F16),0)</f>
        <v>5890.9080353556637</v>
      </c>
      <c r="G18" s="21"/>
      <c r="H18" s="21"/>
      <c r="I18" s="21"/>
      <c r="J18" s="21">
        <f>MAX((J5+J16),0)</f>
        <v>5.0121013834504877</v>
      </c>
      <c r="K18" s="21"/>
      <c r="L18" s="21">
        <f>MAX((L5+L16),0)</f>
        <v>0</v>
      </c>
      <c r="M18" s="21"/>
      <c r="N18" s="21">
        <f>MAX((N5+N16),0)</f>
        <v>1857.8175301464607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0.19579672192367437</v>
      </c>
      <c r="C20" s="25">
        <f ca="1">'EF ele_warmte'!B22</f>
        <v>0.22998102466793169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10965.839593053166</v>
      </c>
      <c r="C22" s="23">
        <f ca="1">C18*C20</f>
        <v>0</v>
      </c>
      <c r="D22" s="23">
        <f>D18*D20</f>
        <v>34419.025788902036</v>
      </c>
      <c r="E22" s="23">
        <f>E18*E20</f>
        <v>33.484890769434593</v>
      </c>
      <c r="F22" s="23">
        <f>F18*F20</f>
        <v>1572.8724454399623</v>
      </c>
      <c r="G22" s="23"/>
      <c r="H22" s="23"/>
      <c r="I22" s="23"/>
      <c r="J22" s="23">
        <f>J18*J20</f>
        <v>1.7742838897414726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1932.4259969493501</v>
      </c>
      <c r="C30" s="39">
        <f>IF(ISERROR(B30*3.6/1000000/'E Balans VL '!Z18*100),0,B30*3.6/1000000/'E Balans VL '!Z18*100)</f>
        <v>9.5921271285909215E-2</v>
      </c>
      <c r="D30" s="233" t="s">
        <v>691</v>
      </c>
    </row>
    <row r="31" spans="1:18">
      <c r="A31" s="6" t="s">
        <v>32</v>
      </c>
      <c r="B31" s="37">
        <f>IF( ISERROR(IND_ander_ele_kWh/1000),0,IND_ander_ele_kWh/1000)</f>
        <v>8001.3253269273</v>
      </c>
      <c r="C31" s="39">
        <f>IF(ISERROR(B31*3.6/1000000/'E Balans VL '!Z19*100),0,B31*3.6/1000000/'E Balans VL '!Z19*100)</f>
        <v>0.27000372845586318</v>
      </c>
      <c r="D31" s="233" t="s">
        <v>691</v>
      </c>
    </row>
    <row r="32" spans="1:18">
      <c r="A32" s="168" t="s">
        <v>40</v>
      </c>
      <c r="B32" s="37">
        <f>IF( ISERROR(IND_voed_ele_kWh/1000),0,IND_voed_ele_kWh/1000)</f>
        <v>43691.339858241401</v>
      </c>
      <c r="C32" s="39">
        <f>IF(ISERROR(B32*3.6/1000000/'E Balans VL '!Z20*100),0,B32*3.6/1000000/'E Balans VL '!Z20*100)</f>
        <v>1.0260611041281276</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524.04847739206593</v>
      </c>
      <c r="C34" s="39">
        <f>IF(ISERROR(B34*3.6/1000000/'E Balans VL '!Z22*100),0,B34*3.6/1000000/'E Balans VL '!Z22*100)</f>
        <v>7.4347155004043902E-2</v>
      </c>
      <c r="D34" s="233" t="s">
        <v>691</v>
      </c>
    </row>
    <row r="35" spans="1:5">
      <c r="A35" s="168" t="s">
        <v>38</v>
      </c>
      <c r="B35" s="37">
        <f>IF( ISERROR(IND_papier_ele_kWh/1000),0,IND_papier_ele_kWh/1000)</f>
        <v>244.564624232211</v>
      </c>
      <c r="C35" s="39">
        <f>IF(ISERROR(B35*3.6/1000000/'E Balans VL '!Z22*100),0,B35*3.6/1000000/'E Balans VL '!Z22*100)</f>
        <v>3.4696568754067E-2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1612.5428347762299</v>
      </c>
      <c r="C37" s="39">
        <f>IF(ISERROR(B37*3.6/1000000/'E Balans VL '!Z15*100),0,B37*3.6/1000000/'E Balans VL '!Z15*100)</f>
        <v>6.0430513639112482E-3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4537.8687527476595</v>
      </c>
      <c r="C5" s="17">
        <f>'Eigen informatie GS &amp; warmtenet'!B62</f>
        <v>0</v>
      </c>
      <c r="D5" s="30">
        <f>IF(ISERROR(SUM(LB_lb_gas_kWh,LB_rest_gas_kWh)/1000),0,SUM(LB_lb_gas_kWh,LB_rest_gas_kWh)/1000)*0.903</f>
        <v>222.94830455791143</v>
      </c>
      <c r="E5" s="17">
        <f>B17*'E Balans VL '!I25/3.6*1000000/100</f>
        <v>169.23100614030926</v>
      </c>
      <c r="F5" s="17">
        <f>B17*('E Balans VL '!L25/3.6*1000000+'E Balans VL '!N25/3.6*1000000)/100</f>
        <v>14722.599735422658</v>
      </c>
      <c r="G5" s="18"/>
      <c r="H5" s="17"/>
      <c r="I5" s="17"/>
      <c r="J5" s="17">
        <f>('E Balans VL '!D25+'E Balans VL '!E25)/3.6*1000000*landbouw!B17/100</f>
        <v>1191.2129506328774</v>
      </c>
      <c r="K5" s="17"/>
      <c r="L5" s="17">
        <f>L6*(-1)</f>
        <v>0</v>
      </c>
      <c r="M5" s="17"/>
      <c r="N5" s="17">
        <f>N6*(-1)</f>
        <v>124.71428571428569</v>
      </c>
      <c r="O5" s="17"/>
      <c r="P5" s="17"/>
      <c r="R5" s="32"/>
    </row>
    <row r="6" spans="1:18">
      <c r="A6" s="16" t="s">
        <v>473</v>
      </c>
      <c r="B6" s="17" t="s">
        <v>210</v>
      </c>
      <c r="C6" s="17">
        <f>'lokale energieproductie'!O40+'lokale energieproductie'!O33</f>
        <v>62.357142857142847</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4537.8687527476595</v>
      </c>
      <c r="C8" s="21">
        <f>C5+C6</f>
        <v>62.357142857142847</v>
      </c>
      <c r="D8" s="21">
        <f>MAX((D5+D6),0)</f>
        <v>222.94830455791143</v>
      </c>
      <c r="E8" s="21">
        <f>MAX((E5+E6),0)</f>
        <v>169.23100614030926</v>
      </c>
      <c r="F8" s="21">
        <f>MAX((F5+F6),0)</f>
        <v>14722.599735422658</v>
      </c>
      <c r="G8" s="21"/>
      <c r="H8" s="21"/>
      <c r="I8" s="21"/>
      <c r="J8" s="21">
        <f>MAX((J5+J6),0)</f>
        <v>1191.2129506328774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0.19579672192367437</v>
      </c>
      <c r="C10" s="31">
        <f ca="1">'EF ele_warmte'!B22</f>
        <v>0.22998102466793169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888.49982630786451</v>
      </c>
      <c r="C12" s="23">
        <f ca="1">C8*C10</f>
        <v>14.340959609650309</v>
      </c>
      <c r="D12" s="23">
        <f>D8*D10</f>
        <v>45.035557520698113</v>
      </c>
      <c r="E12" s="23">
        <f>E8*E10</f>
        <v>38.415438393850202</v>
      </c>
      <c r="F12" s="23">
        <f>F8*F10</f>
        <v>3930.93412935785</v>
      </c>
      <c r="G12" s="23"/>
      <c r="H12" s="23"/>
      <c r="I12" s="23"/>
      <c r="J12" s="23">
        <f>J8*J10</f>
        <v>421.68938452403859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0.6232644315380923</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887.02117409613822</v>
      </c>
      <c r="C26" s="243">
        <f>B26*'GWP N2O_CH4'!B5</f>
        <v>18627.444656018903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483.48762761581219</v>
      </c>
      <c r="C27" s="243">
        <f>B27*'GWP N2O_CH4'!B5</f>
        <v>10153.240179932056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14.628728299318047</v>
      </c>
      <c r="C28" s="243">
        <f>B28*'GWP N2O_CH4'!B4</f>
        <v>4534.9057727885947</v>
      </c>
      <c r="D28" s="50"/>
    </row>
    <row r="29" spans="1:4">
      <c r="A29" s="41" t="s">
        <v>272</v>
      </c>
      <c r="B29" s="243">
        <f>B34*'ha_N2O bodem landbouw'!B4</f>
        <v>52.437923117056179</v>
      </c>
      <c r="C29" s="243">
        <f>B29*'GWP N2O_CH4'!B4</f>
        <v>16255.756166287416</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1.1950752431220703E-2</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8.4261668049095463E-4</v>
      </c>
      <c r="C5" s="434" t="s">
        <v>210</v>
      </c>
      <c r="D5" s="419">
        <f>SUM(D6:D11)</f>
        <v>1.367132527099591E-3</v>
      </c>
      <c r="E5" s="419">
        <f>SUM(E6:E11)</f>
        <v>8.2519732566497324E-4</v>
      </c>
      <c r="F5" s="432" t="s">
        <v>210</v>
      </c>
      <c r="G5" s="419">
        <f>SUM(G6:G11)</f>
        <v>0.57443894598707279</v>
      </c>
      <c r="H5" s="419">
        <f>SUM(H6:H11)</f>
        <v>8.4824323011740144E-2</v>
      </c>
      <c r="I5" s="434" t="s">
        <v>210</v>
      </c>
      <c r="J5" s="434" t="s">
        <v>210</v>
      </c>
      <c r="K5" s="434" t="s">
        <v>210</v>
      </c>
      <c r="L5" s="434" t="s">
        <v>210</v>
      </c>
      <c r="M5" s="419">
        <f>SUM(M6:M11)</f>
        <v>3.8238270085874104E-2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3.1729086081154397E-4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5.5135175396136789E-4</v>
      </c>
      <c r="E6" s="885">
        <f>vkm_GW_PW*SUMIFS(TableVerdeelsleutelVkm[LPG],TableVerdeelsleutelVkm[Voertuigtype],"Lichte voertuigen")*SUMIFS(TableECFTransport[EnergieConsumptieFactor (PJ per km)],TableECFTransport[Index],CONCATENATE($A6,"_LPG_LPG"))</f>
        <v>3.0658754157678606E-4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9.2132471260707186E-2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3.3591807023267868E-2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7.5223943262447517E-3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1.7283557946072826E-6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7.1532321653136166E-2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7.2771023390220729E-7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4.0273799906774006E-3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1.0421816530429679E-4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2.3252554142763179E-4</v>
      </c>
      <c r="E8" s="422">
        <f>vkm_NGW_PW*SUMIFS(TableVerdeelsleutelVkm[LPG],TableVerdeelsleutelVkm[Voertuigtype],"Lichte voertuigen")*SUMIFS(TableECFTransport[EnergieConsumptieFactor (PJ per km)],TableECFTransport[Index],CONCATENATE($A8,"_LPG_LPG"))</f>
        <v>1.2384262155262148E-4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3.4249783979260838E-2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1.3993448732539274E-2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2.9010980150916852E-3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5.4904557404164098E-7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2.926273200669078E-2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2.7902953393740626E-7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1.6475356288478851E-3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4.1270710094461227E-4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5.8325523171059122E-4</v>
      </c>
      <c r="E10" s="422">
        <f>vkm_SW_PW*SUMIFS(TableVerdeelsleutelVkm[LPG],TableVerdeelsleutelVkm[Voertuigtype],"Lichte voertuigen")*SUMIFS(TableECFTransport[EnergieConsumptieFactor (PJ per km)],TableECFTransport[Index],CONCATENATE($A10,"_LPG_LPG"))</f>
        <v>3.9476716253556576E-4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0.10784859731481997</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3.7235406944527434E-2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8.6605237280953755E-3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6.1231520618526976E-6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0.2394130397724579</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2.6535716377312294E-6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1.3479338396917003E-2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234.06018902526517</v>
      </c>
      <c r="C14" s="21"/>
      <c r="D14" s="21">
        <f t="shared" ref="D14:M14" si="0">((D5)*10^9/3600)+D12</f>
        <v>379.75903530544196</v>
      </c>
      <c r="E14" s="21">
        <f t="shared" si="0"/>
        <v>229.22147935138145</v>
      </c>
      <c r="F14" s="21"/>
      <c r="G14" s="21">
        <f t="shared" si="0"/>
        <v>159566.373885298</v>
      </c>
      <c r="H14" s="21">
        <f t="shared" si="0"/>
        <v>23562.311947705595</v>
      </c>
      <c r="I14" s="21"/>
      <c r="J14" s="21"/>
      <c r="K14" s="21"/>
      <c r="L14" s="21"/>
      <c r="M14" s="21">
        <f t="shared" si="0"/>
        <v>10621.741690520585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0.19579672192367437</v>
      </c>
      <c r="C16" s="56">
        <f ca="1">'EF ele_warmte'!B22</f>
        <v>0.22998102466793169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45.828217743982506</v>
      </c>
      <c r="C18" s="23"/>
      <c r="D18" s="23">
        <f t="shared" ref="D18:M18" si="1">D14*D16</f>
        <v>76.711325131699283</v>
      </c>
      <c r="E18" s="23">
        <f t="shared" si="1"/>
        <v>52.033275812763591</v>
      </c>
      <c r="F18" s="23"/>
      <c r="G18" s="23">
        <f t="shared" si="1"/>
        <v>42604.221827374568</v>
      </c>
      <c r="H18" s="23">
        <f t="shared" si="1"/>
        <v>5867.0156749786929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5.3478610102282434E-5</v>
      </c>
      <c r="C50" s="315">
        <f t="shared" ref="C50:P50" si="2">SUM(C51:C52)</f>
        <v>0</v>
      </c>
      <c r="D50" s="315">
        <f t="shared" si="2"/>
        <v>0</v>
      </c>
      <c r="E50" s="315">
        <f t="shared" si="2"/>
        <v>0</v>
      </c>
      <c r="F50" s="315">
        <f t="shared" si="2"/>
        <v>0</v>
      </c>
      <c r="G50" s="315">
        <f t="shared" si="2"/>
        <v>3.8172067799035342E-3</v>
      </c>
      <c r="H50" s="315">
        <f t="shared" si="2"/>
        <v>0</v>
      </c>
      <c r="I50" s="315">
        <f t="shared" si="2"/>
        <v>0</v>
      </c>
      <c r="J50" s="315">
        <f t="shared" si="2"/>
        <v>0</v>
      </c>
      <c r="K50" s="315">
        <f t="shared" si="2"/>
        <v>0</v>
      </c>
      <c r="L50" s="315">
        <f t="shared" si="2"/>
        <v>0</v>
      </c>
      <c r="M50" s="315">
        <f t="shared" si="2"/>
        <v>2.1078079081151977E-4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5.3478610102282434E-5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3.8172067799035342E-3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2.1078079081151977E-4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14.855169472856232</v>
      </c>
      <c r="C54" s="21">
        <f t="shared" ref="C54:P54" si="3">(C50)*10^9/3600</f>
        <v>0</v>
      </c>
      <c r="D54" s="21">
        <f t="shared" si="3"/>
        <v>0</v>
      </c>
      <c r="E54" s="21">
        <f t="shared" si="3"/>
        <v>0</v>
      </c>
      <c r="F54" s="21">
        <f t="shared" si="3"/>
        <v>0</v>
      </c>
      <c r="G54" s="21">
        <f t="shared" si="3"/>
        <v>1060.3352166398706</v>
      </c>
      <c r="H54" s="21">
        <f t="shared" si="3"/>
        <v>0</v>
      </c>
      <c r="I54" s="21">
        <f t="shared" si="3"/>
        <v>0</v>
      </c>
      <c r="J54" s="21">
        <f t="shared" si="3"/>
        <v>0</v>
      </c>
      <c r="K54" s="21">
        <f t="shared" si="3"/>
        <v>0</v>
      </c>
      <c r="L54" s="21">
        <f t="shared" si="3"/>
        <v>0</v>
      </c>
      <c r="M54" s="21">
        <f t="shared" si="3"/>
        <v>58.550219669866607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0.19579672192367437</v>
      </c>
      <c r="C56" s="56">
        <f ca="1">'EF ele_warmte'!B22</f>
        <v>0.22998102466793169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2.9085934864058882</v>
      </c>
      <c r="C58" s="23">
        <f t="shared" ref="C58:P58" ca="1" si="4">C54*C56</f>
        <v>0</v>
      </c>
      <c r="D58" s="23">
        <f t="shared" si="4"/>
        <v>0</v>
      </c>
      <c r="E58" s="23">
        <f t="shared" si="4"/>
        <v>0</v>
      </c>
      <c r="F58" s="23">
        <f t="shared" si="4"/>
        <v>0</v>
      </c>
      <c r="G58" s="23">
        <f t="shared" si="4"/>
        <v>283.10950284284547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12691.658991903376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1353.15</v>
      </c>
      <c r="C8" s="544">
        <f>B49</f>
        <v>1540.5882352941176</v>
      </c>
      <c r="D8" s="545"/>
      <c r="E8" s="545">
        <f>E49</f>
        <v>0</v>
      </c>
      <c r="F8" s="546"/>
      <c r="G8" s="547"/>
      <c r="H8" s="545">
        <f>I49</f>
        <v>0</v>
      </c>
      <c r="I8" s="545">
        <f>G49+F49</f>
        <v>0</v>
      </c>
      <c r="J8" s="545">
        <f>H49+D49+C49</f>
        <v>51.35294117647058</v>
      </c>
      <c r="K8" s="545"/>
      <c r="L8" s="545"/>
      <c r="M8" s="545"/>
      <c r="N8" s="548"/>
      <c r="O8" s="549">
        <f>C8*$C$12+D8*$D$12+E8*$E$12+F8*$F$12+G8*$G$12+H8*$H$12+I8*$I$12+J8*$J$12</f>
        <v>311.19882352941175</v>
      </c>
      <c r="P8" s="1253"/>
      <c r="Q8" s="1254"/>
      <c r="S8" s="539"/>
      <c r="T8" s="1241"/>
      <c r="U8" s="1241"/>
    </row>
    <row r="9" spans="1:21" s="530" customFormat="1" ht="17.45" customHeight="1" thickBot="1">
      <c r="A9" s="550" t="s">
        <v>243</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14044.808991903375</v>
      </c>
      <c r="C10" s="559">
        <f t="shared" ref="C10:L10" si="0">SUM(C8:C9)</f>
        <v>1540.5882352941176</v>
      </c>
      <c r="D10" s="559">
        <f t="shared" si="0"/>
        <v>0</v>
      </c>
      <c r="E10" s="559">
        <f t="shared" si="0"/>
        <v>0</v>
      </c>
      <c r="F10" s="559">
        <f t="shared" si="0"/>
        <v>0</v>
      </c>
      <c r="G10" s="559">
        <f t="shared" si="0"/>
        <v>0</v>
      </c>
      <c r="H10" s="559">
        <f t="shared" si="0"/>
        <v>0</v>
      </c>
      <c r="I10" s="559">
        <f t="shared" si="0"/>
        <v>0</v>
      </c>
      <c r="J10" s="559">
        <f t="shared" si="0"/>
        <v>51.35294117647058</v>
      </c>
      <c r="K10" s="559">
        <f t="shared" si="0"/>
        <v>0</v>
      </c>
      <c r="L10" s="559">
        <f t="shared" si="0"/>
        <v>0</v>
      </c>
      <c r="M10" s="960"/>
      <c r="N10" s="960"/>
      <c r="O10" s="560">
        <f>SUM(O4:O9)</f>
        <v>311.19882352941175</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1933.0714285714287</v>
      </c>
      <c r="C17" s="575">
        <f>B50</f>
        <v>2200.8403361344535</v>
      </c>
      <c r="D17" s="576"/>
      <c r="E17" s="576">
        <f>E50</f>
        <v>0</v>
      </c>
      <c r="F17" s="577"/>
      <c r="G17" s="578"/>
      <c r="H17" s="575">
        <f>I50</f>
        <v>0</v>
      </c>
      <c r="I17" s="576">
        <f>G50+F50</f>
        <v>0</v>
      </c>
      <c r="J17" s="576">
        <f>H50+D50+C50</f>
        <v>73.3613445378151</v>
      </c>
      <c r="K17" s="576"/>
      <c r="L17" s="576"/>
      <c r="M17" s="576"/>
      <c r="N17" s="961"/>
      <c r="O17" s="579">
        <f>C17*$C$22+E17*$E$22+H17*$H$22+I17*$I$22+J17*$J$22+D17*$D$22+F17*$F$22+G17*$G$22+K17*$K$22+L17*$L$22</f>
        <v>444.56974789915967</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1933.0714285714287</v>
      </c>
      <c r="C20" s="558">
        <f>SUM(C17:C19)</f>
        <v>2200.8403361344535</v>
      </c>
      <c r="D20" s="558">
        <f t="shared" ref="D20:L20" si="1">SUM(D17:D19)</f>
        <v>0</v>
      </c>
      <c r="E20" s="558">
        <f t="shared" si="1"/>
        <v>0</v>
      </c>
      <c r="F20" s="558">
        <f t="shared" si="1"/>
        <v>0</v>
      </c>
      <c r="G20" s="558">
        <f t="shared" si="1"/>
        <v>0</v>
      </c>
      <c r="H20" s="558">
        <f t="shared" si="1"/>
        <v>0</v>
      </c>
      <c r="I20" s="558">
        <f t="shared" si="1"/>
        <v>0</v>
      </c>
      <c r="J20" s="558">
        <f t="shared" si="1"/>
        <v>73.3613445378151</v>
      </c>
      <c r="K20" s="558">
        <f t="shared" si="1"/>
        <v>0</v>
      </c>
      <c r="L20" s="558">
        <f t="shared" si="1"/>
        <v>0</v>
      </c>
      <c r="M20" s="558"/>
      <c r="N20" s="558"/>
      <c r="O20" s="584">
        <f>SUM(O17:O19)</f>
        <v>444.56974789915967</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51">
      <c r="A28" s="588"/>
      <c r="B28" s="786">
        <v>38025</v>
      </c>
      <c r="C28" s="786">
        <v>8630</v>
      </c>
      <c r="D28" s="636" t="s">
        <v>883</v>
      </c>
      <c r="E28" s="635" t="s">
        <v>884</v>
      </c>
      <c r="F28" s="635" t="s">
        <v>885</v>
      </c>
      <c r="G28" s="635" t="s">
        <v>886</v>
      </c>
      <c r="H28" s="635" t="s">
        <v>887</v>
      </c>
      <c r="I28" s="635" t="s">
        <v>884</v>
      </c>
      <c r="J28" s="785">
        <v>40345</v>
      </c>
      <c r="K28" s="785">
        <v>40452</v>
      </c>
      <c r="L28" s="635" t="s">
        <v>888</v>
      </c>
      <c r="M28" s="635">
        <v>291</v>
      </c>
      <c r="N28" s="635">
        <v>1309.5</v>
      </c>
      <c r="O28" s="635">
        <v>1870.7142857142858</v>
      </c>
      <c r="P28" s="635">
        <v>3741.4285714285716</v>
      </c>
      <c r="Q28" s="635">
        <v>0</v>
      </c>
      <c r="R28" s="635">
        <v>0</v>
      </c>
      <c r="S28" s="635">
        <v>0</v>
      </c>
      <c r="T28" s="635">
        <v>0</v>
      </c>
      <c r="U28" s="635">
        <v>0</v>
      </c>
      <c r="V28" s="635">
        <v>0</v>
      </c>
      <c r="W28" s="635">
        <v>0</v>
      </c>
      <c r="X28" s="635">
        <v>1500</v>
      </c>
      <c r="Y28" s="635" t="s">
        <v>50</v>
      </c>
      <c r="Z28" s="637" t="s">
        <v>155</v>
      </c>
    </row>
    <row r="29" spans="1:26" s="589" customFormat="1" ht="25.5">
      <c r="A29" s="588"/>
      <c r="B29" s="786">
        <v>38025</v>
      </c>
      <c r="C29" s="786">
        <v>8630</v>
      </c>
      <c r="D29" s="636" t="s">
        <v>889</v>
      </c>
      <c r="E29" s="635" t="s">
        <v>890</v>
      </c>
      <c r="F29" s="635" t="s">
        <v>891</v>
      </c>
      <c r="G29" s="635" t="s">
        <v>886</v>
      </c>
      <c r="H29" s="635" t="s">
        <v>887</v>
      </c>
      <c r="I29" s="635" t="s">
        <v>892</v>
      </c>
      <c r="J29" s="785">
        <v>41117</v>
      </c>
      <c r="K29" s="785">
        <v>41244</v>
      </c>
      <c r="L29" s="635" t="s">
        <v>888</v>
      </c>
      <c r="M29" s="635">
        <v>9.6999999999999993</v>
      </c>
      <c r="N29" s="635">
        <v>43.649999999999991</v>
      </c>
      <c r="O29" s="635">
        <v>62.357142857142847</v>
      </c>
      <c r="P29" s="635">
        <v>0</v>
      </c>
      <c r="Q29" s="635">
        <v>124.71428571428569</v>
      </c>
      <c r="R29" s="635">
        <v>0</v>
      </c>
      <c r="S29" s="635">
        <v>0</v>
      </c>
      <c r="T29" s="635">
        <v>0</v>
      </c>
      <c r="U29" s="635">
        <v>0</v>
      </c>
      <c r="V29" s="635">
        <v>0</v>
      </c>
      <c r="W29" s="635">
        <v>0</v>
      </c>
      <c r="X29" s="635">
        <v>10</v>
      </c>
      <c r="Y29" s="635" t="s">
        <v>111</v>
      </c>
      <c r="Z29" s="637" t="s">
        <v>111</v>
      </c>
    </row>
    <row r="30" spans="1:26" s="569" customFormat="1">
      <c r="A30" s="591" t="s">
        <v>275</v>
      </c>
      <c r="B30" s="592"/>
      <c r="C30" s="592"/>
      <c r="D30" s="592"/>
      <c r="E30" s="592"/>
      <c r="F30" s="592"/>
      <c r="G30" s="592"/>
      <c r="H30" s="592"/>
      <c r="I30" s="592"/>
      <c r="J30" s="592"/>
      <c r="K30" s="592"/>
      <c r="L30" s="593"/>
      <c r="M30" s="593">
        <f>SUM(M28:M29)</f>
        <v>300.7</v>
      </c>
      <c r="N30" s="593">
        <f>SUM(N28:N29)</f>
        <v>1353.15</v>
      </c>
      <c r="O30" s="593">
        <f>SUM(O28:O29)</f>
        <v>1933.0714285714287</v>
      </c>
      <c r="P30" s="593">
        <f>SUM(P28:P29)</f>
        <v>3741.4285714285716</v>
      </c>
      <c r="Q30" s="593">
        <f>SUM(Q28:Q29)</f>
        <v>124.71428571428569</v>
      </c>
      <c r="R30" s="593">
        <f>SUM(R28:R29)</f>
        <v>0</v>
      </c>
      <c r="S30" s="593">
        <f>SUM(S28:S29)</f>
        <v>0</v>
      </c>
      <c r="T30" s="593">
        <f>SUM(T28:T29)</f>
        <v>0</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0</v>
      </c>
      <c r="N31" s="593">
        <f>SUMIF($Z$28:$Z$29,"industrie",N28:N29)</f>
        <v>0</v>
      </c>
      <c r="O31" s="593">
        <f>SUMIF($Z$28:$Z$29,"industrie",O28:O29)</f>
        <v>0</v>
      </c>
      <c r="P31" s="593">
        <f>SUMIF($Z$28:$Z$29,"industrie",P28:P29)</f>
        <v>0</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291</v>
      </c>
      <c r="N32" s="593">
        <f ca="1">SUMIF($Z$28:AD29,"tertiair",N28:N29)</f>
        <v>1309.5</v>
      </c>
      <c r="O32" s="593">
        <f ca="1">SUMIF($Z$28:AE29,"tertiair",O28:O29)</f>
        <v>1870.7142857142858</v>
      </c>
      <c r="P32" s="593">
        <f ca="1">SUMIF($Z$28:AF29,"tertiair",P28:P29)</f>
        <v>3741.4285714285716</v>
      </c>
      <c r="Q32" s="593">
        <f ca="1">SUMIF($Z$28:AG29,"tertiair",Q28:Q29)</f>
        <v>0</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9.6999999999999993</v>
      </c>
      <c r="N33" s="598">
        <f>SUMIF($Z$28:$Z$29,"landbouw",N28:N29)</f>
        <v>43.649999999999991</v>
      </c>
      <c r="O33" s="598">
        <f>SUMIF($Z$28:$Z$29,"landbouw",O28:O29)</f>
        <v>62.357142857142847</v>
      </c>
      <c r="P33" s="598">
        <f>SUMIF($Z$28:$Z$29,"landbouw",P28:P29)</f>
        <v>0</v>
      </c>
      <c r="Q33" s="598">
        <f>SUMIF($Z$28:$Z$29,"landbouw",Q28:Q29)</f>
        <v>124.71428571428569</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12.75">
      <c r="A36" s="590"/>
      <c r="B36" s="786"/>
      <c r="C36" s="786"/>
      <c r="D36" s="638"/>
      <c r="E36" s="638"/>
      <c r="F36" s="638"/>
      <c r="G36" s="638"/>
      <c r="H36" s="638"/>
      <c r="I36" s="638"/>
      <c r="J36" s="785"/>
      <c r="K36" s="785"/>
      <c r="L36" s="638"/>
      <c r="M36" s="638"/>
      <c r="N36" s="638"/>
      <c r="O36" s="638"/>
      <c r="P36" s="638"/>
      <c r="Q36" s="638"/>
      <c r="R36" s="638"/>
      <c r="S36" s="638"/>
      <c r="T36" s="638"/>
      <c r="U36" s="638"/>
      <c r="V36" s="638"/>
      <c r="W36" s="638"/>
      <c r="X36" s="638"/>
      <c r="Y36" s="638"/>
      <c r="Z36" s="639"/>
    </row>
    <row r="37" spans="1:27" s="569" customFormat="1">
      <c r="A37" s="591" t="s">
        <v>275</v>
      </c>
      <c r="B37" s="592"/>
      <c r="C37" s="592"/>
      <c r="D37" s="592"/>
      <c r="E37" s="592"/>
      <c r="F37" s="592"/>
      <c r="G37" s="592"/>
      <c r="H37" s="592"/>
      <c r="I37" s="592"/>
      <c r="J37" s="592"/>
      <c r="K37" s="592"/>
      <c r="L37" s="593"/>
      <c r="M37" s="593">
        <f>SUM(M36:M36)</f>
        <v>0</v>
      </c>
      <c r="N37" s="593">
        <f>SUM(N36:N36)</f>
        <v>0</v>
      </c>
      <c r="O37" s="593">
        <f>SUM(O36:O36)</f>
        <v>0</v>
      </c>
      <c r="P37" s="593">
        <f>SUM(P36:P36)</f>
        <v>0</v>
      </c>
      <c r="Q37" s="593">
        <f>SUM(Q36:Q36)</f>
        <v>0</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0.58823529411764697</v>
      </c>
      <c r="C46" s="618">
        <f>IF(ISERROR(N30/(O30+N30)),0,N30/(N30+O30))</f>
        <v>0.41176470588235292</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1540.5882352941176</v>
      </c>
      <c r="C49" s="627">
        <f t="shared" si="2"/>
        <v>51.35294117647058</v>
      </c>
      <c r="D49" s="627">
        <f t="shared" si="2"/>
        <v>0</v>
      </c>
      <c r="E49" s="627">
        <f t="shared" si="2"/>
        <v>0</v>
      </c>
      <c r="F49" s="627">
        <f t="shared" si="2"/>
        <v>0</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2200.8403361344535</v>
      </c>
      <c r="C50" s="630">
        <f t="shared" si="3"/>
        <v>73.3613445378151</v>
      </c>
      <c r="D50" s="630">
        <f t="shared" si="3"/>
        <v>0</v>
      </c>
      <c r="E50" s="630">
        <f t="shared" si="3"/>
        <v>0</v>
      </c>
      <c r="F50" s="630">
        <f t="shared" si="3"/>
        <v>0</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2021-06-29T14:33:09Z</dcterms:modified>
</cp:coreProperties>
</file>